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680" yWindow="-45" windowWidth="10950" windowHeight="10245"/>
  </bookViews>
  <sheets>
    <sheet name="Financial Statements" sheetId="9" r:id="rId1"/>
    <sheet name="Operating Assumptions" sheetId="11" r:id="rId2"/>
    <sheet name="Ratios" sheetId="13" r:id="rId3"/>
    <sheet name="WACC" sheetId="10" r:id="rId4"/>
    <sheet name="DCF" sheetId="8" r:id="rId5"/>
    <sheet name="Comps" sheetId="12" r:id="rId6"/>
    <sheet name="Valuation Summary" sheetId="14" r:id="rId7"/>
  </sheets>
  <definedNames>
    <definedName name="Company_Name">'Financial Statements'!$E$7</definedName>
    <definedName name="Days_In_Year">'Financial Statements'!$J$8</definedName>
    <definedName name="Equity_Value">'Financial Statements'!$E$11</definedName>
    <definedName name="Historical_Year">'Financial Statements'!$J$7</definedName>
    <definedName name="Share_Price">'Financial Statements'!$E$8</definedName>
    <definedName name="Shares_Outstanding">'Financial Statements'!$E$10</definedName>
    <definedName name="Tax_Rate">DCF!$T$8</definedName>
  </definedNames>
  <calcPr calcId="145621" iterate="1"/>
</workbook>
</file>

<file path=xl/calcChain.xml><?xml version="1.0" encoding="utf-8"?>
<calcChain xmlns="http://schemas.openxmlformats.org/spreadsheetml/2006/main">
  <c r="T7" i="8" l="1"/>
  <c r="F24" i="9"/>
  <c r="I140" i="9" l="1"/>
  <c r="H140" i="9"/>
  <c r="G140" i="9"/>
  <c r="F128" i="9"/>
  <c r="G120" i="9"/>
  <c r="F120" i="9"/>
  <c r="I119" i="9"/>
  <c r="I120" i="9" s="1"/>
  <c r="H119" i="9"/>
  <c r="H120" i="9" s="1"/>
  <c r="F119" i="9"/>
  <c r="I112" i="9"/>
  <c r="G111" i="9"/>
  <c r="G106" i="9"/>
  <c r="F106" i="9"/>
  <c r="H104" i="9"/>
  <c r="H112" i="9" s="1"/>
  <c r="G104" i="9"/>
  <c r="G112" i="9" s="1"/>
  <c r="F104" i="9"/>
  <c r="F112" i="9" s="1"/>
  <c r="I92" i="9"/>
  <c r="H92" i="9"/>
  <c r="G92" i="9"/>
  <c r="F92" i="9"/>
  <c r="I89" i="9"/>
  <c r="H89" i="9"/>
  <c r="G89" i="9"/>
  <c r="F89" i="9"/>
  <c r="I76" i="9"/>
  <c r="I82" i="9" s="1"/>
  <c r="H76" i="9"/>
  <c r="G76" i="9"/>
  <c r="G82" i="9" s="1"/>
  <c r="F76" i="9"/>
  <c r="F82" i="9" s="1"/>
  <c r="H72" i="9"/>
  <c r="I51" i="9"/>
  <c r="H51" i="9"/>
  <c r="H52" i="9" s="1"/>
  <c r="G51" i="9"/>
  <c r="I38" i="9"/>
  <c r="H38" i="9"/>
  <c r="G38" i="9"/>
  <c r="F38" i="9"/>
  <c r="I37" i="9"/>
  <c r="I43" i="9" s="1"/>
  <c r="I48" i="9" s="1"/>
  <c r="I52" i="9" s="1"/>
  <c r="H37" i="9"/>
  <c r="H43" i="9" s="1"/>
  <c r="H48" i="9" s="1"/>
  <c r="G37" i="9"/>
  <c r="G43" i="9" s="1"/>
  <c r="G48" i="9" s="1"/>
  <c r="G52" i="9" s="1"/>
  <c r="F37" i="9"/>
  <c r="F43" i="9" s="1"/>
  <c r="F48" i="9" s="1"/>
  <c r="F52" i="9" s="1"/>
  <c r="J173" i="9"/>
  <c r="K173" i="9" s="1"/>
  <c r="L173" i="9" s="1"/>
  <c r="M173" i="9" s="1"/>
  <c r="N173" i="9" s="1"/>
  <c r="H82" i="9" l="1"/>
  <c r="I54" i="9"/>
  <c r="I57" i="9" s="1"/>
  <c r="I60" i="9" s="1"/>
  <c r="H54" i="9"/>
  <c r="H57" i="9" s="1"/>
  <c r="H60" i="9" s="1"/>
  <c r="H63" i="9" s="1"/>
  <c r="H62" i="9" s="1"/>
  <c r="G54" i="9"/>
  <c r="G57" i="9" s="1"/>
  <c r="G60" i="9" s="1"/>
  <c r="F54" i="9"/>
  <c r="F57" i="9" s="1"/>
  <c r="F60" i="9" s="1"/>
  <c r="F62" i="9" s="1"/>
  <c r="I63" i="9"/>
  <c r="I62" i="9" s="1"/>
  <c r="J172" i="9"/>
  <c r="J118" i="9"/>
  <c r="K115" i="9"/>
  <c r="L115" i="9" s="1"/>
  <c r="M115" i="9" s="1"/>
  <c r="N115" i="9" s="1"/>
  <c r="J115" i="9"/>
  <c r="J41" i="9"/>
  <c r="Q19" i="14"/>
  <c r="P19" i="14"/>
  <c r="N19" i="14"/>
  <c r="O19" i="14"/>
  <c r="M19" i="14"/>
  <c r="C39" i="8"/>
  <c r="C40" i="8" s="1"/>
  <c r="C41" i="8" s="1"/>
  <c r="C37" i="8"/>
  <c r="C36" i="8" s="1"/>
  <c r="C29" i="8"/>
  <c r="C30" i="8" s="1"/>
  <c r="C31" i="8" s="1"/>
  <c r="C27" i="8"/>
  <c r="C26" i="8" s="1"/>
  <c r="G62" i="9" l="1"/>
  <c r="G126" i="9"/>
  <c r="H126" i="9" s="1"/>
  <c r="I126" i="9" s="1"/>
  <c r="I170" i="9"/>
  <c r="H170" i="9"/>
  <c r="G170" i="9"/>
  <c r="G124" i="9" s="1"/>
  <c r="I177" i="9"/>
  <c r="H177" i="9"/>
  <c r="G177" i="9"/>
  <c r="I141" i="9"/>
  <c r="H141" i="9"/>
  <c r="G141" i="9"/>
  <c r="J174" i="9"/>
  <c r="K174" i="9" s="1"/>
  <c r="L174" i="9" s="1"/>
  <c r="M174" i="9" s="1"/>
  <c r="N174" i="9" s="1"/>
  <c r="H161" i="9"/>
  <c r="I161" i="9"/>
  <c r="G161" i="9"/>
  <c r="H158" i="9"/>
  <c r="I158" i="9"/>
  <c r="G158" i="9"/>
  <c r="I184" i="9"/>
  <c r="H184" i="9"/>
  <c r="G184" i="9"/>
  <c r="F184" i="9"/>
  <c r="G128" i="9" l="1"/>
  <c r="H124" i="9"/>
  <c r="B38" i="12"/>
  <c r="I124" i="9" l="1"/>
  <c r="I128" i="9" s="1"/>
  <c r="H128" i="9"/>
  <c r="C30" i="12"/>
  <c r="R30" i="12" s="1"/>
  <c r="B30" i="12"/>
  <c r="C29" i="12"/>
  <c r="S29" i="12" s="1"/>
  <c r="R29" i="12" l="1"/>
  <c r="R28" i="12"/>
  <c r="C28" i="12"/>
  <c r="S28" i="12" s="1"/>
  <c r="R27" i="12"/>
  <c r="C27" i="12"/>
  <c r="S27" i="12" s="1"/>
  <c r="B27" i="12"/>
  <c r="C26" i="12"/>
  <c r="S26" i="12" s="1"/>
  <c r="B26" i="12"/>
  <c r="R25" i="12"/>
  <c r="C25" i="12"/>
  <c r="B25" i="12"/>
  <c r="B20" i="12"/>
  <c r="S18" i="12"/>
  <c r="R18" i="12"/>
  <c r="Q18" i="12"/>
  <c r="P18" i="12"/>
  <c r="O18" i="12"/>
  <c r="N18" i="12"/>
  <c r="M18" i="12"/>
  <c r="L18" i="12"/>
  <c r="J18" i="12"/>
  <c r="I18" i="12"/>
  <c r="H18" i="12"/>
  <c r="G18" i="12"/>
  <c r="F18" i="12"/>
  <c r="C18" i="12"/>
  <c r="S17" i="12"/>
  <c r="R17" i="12"/>
  <c r="Q17" i="12"/>
  <c r="P17" i="12"/>
  <c r="O17" i="12"/>
  <c r="N17" i="12"/>
  <c r="M17" i="12"/>
  <c r="L17" i="12"/>
  <c r="J17" i="12"/>
  <c r="I17" i="12"/>
  <c r="H17" i="12"/>
  <c r="G17" i="12"/>
  <c r="F17" i="12"/>
  <c r="C17" i="12"/>
  <c r="S16" i="12"/>
  <c r="R16" i="12"/>
  <c r="Q16" i="12"/>
  <c r="P16" i="12"/>
  <c r="O16" i="12"/>
  <c r="N16" i="12"/>
  <c r="M16" i="12"/>
  <c r="L16" i="12"/>
  <c r="J16" i="12"/>
  <c r="I16" i="12"/>
  <c r="H16" i="12"/>
  <c r="G16" i="12"/>
  <c r="F16" i="12"/>
  <c r="C16" i="12"/>
  <c r="S15" i="12"/>
  <c r="R15" i="12"/>
  <c r="Q15" i="12"/>
  <c r="P15" i="12"/>
  <c r="O15" i="12"/>
  <c r="N15" i="12"/>
  <c r="M15" i="12"/>
  <c r="L15" i="12"/>
  <c r="J15" i="12"/>
  <c r="I15" i="12"/>
  <c r="H15" i="12"/>
  <c r="G15" i="12"/>
  <c r="F15" i="12"/>
  <c r="C15" i="12"/>
  <c r="S14" i="12"/>
  <c r="R14" i="12"/>
  <c r="Q14" i="12"/>
  <c r="P14" i="12"/>
  <c r="O14" i="12"/>
  <c r="N14" i="12"/>
  <c r="M14" i="12"/>
  <c r="L14" i="12"/>
  <c r="J14" i="12"/>
  <c r="I14" i="12"/>
  <c r="H14" i="12"/>
  <c r="G14" i="12"/>
  <c r="F14" i="12"/>
  <c r="C14" i="12"/>
  <c r="V12" i="12"/>
  <c r="U12" i="12"/>
  <c r="T12" i="12"/>
  <c r="E12" i="12"/>
  <c r="E30" i="12" s="1"/>
  <c r="V11" i="12"/>
  <c r="U11" i="12"/>
  <c r="T11" i="12"/>
  <c r="E11" i="12"/>
  <c r="E29" i="12" s="1"/>
  <c r="V10" i="12"/>
  <c r="U10" i="12"/>
  <c r="T10" i="12"/>
  <c r="E10" i="12"/>
  <c r="E28" i="12" s="1"/>
  <c r="V9" i="12"/>
  <c r="U9" i="12"/>
  <c r="T9" i="12"/>
  <c r="E9" i="12"/>
  <c r="E27" i="12" s="1"/>
  <c r="V8" i="12"/>
  <c r="U8" i="12"/>
  <c r="T8" i="12"/>
  <c r="E8" i="12"/>
  <c r="K8" i="12" s="1"/>
  <c r="K26" i="12" s="1"/>
  <c r="V7" i="12"/>
  <c r="V17" i="12" s="1"/>
  <c r="U7" i="12"/>
  <c r="U16" i="12" s="1"/>
  <c r="T7" i="12"/>
  <c r="T17" i="12" s="1"/>
  <c r="E7" i="12"/>
  <c r="E25" i="12" s="1"/>
  <c r="M6" i="12"/>
  <c r="M24" i="12" s="1"/>
  <c r="L6" i="12"/>
  <c r="N6" i="12" s="1"/>
  <c r="C1" i="12"/>
  <c r="T33" i="8"/>
  <c r="T30" i="8"/>
  <c r="T29" i="8"/>
  <c r="L20" i="8"/>
  <c r="M20" i="8" s="1"/>
  <c r="N20" i="8" s="1"/>
  <c r="O20" i="8" s="1"/>
  <c r="L19" i="8"/>
  <c r="M19" i="8" s="1"/>
  <c r="N19" i="8" s="1"/>
  <c r="O19" i="8" s="1"/>
  <c r="I14" i="8"/>
  <c r="H14" i="8"/>
  <c r="G14" i="8"/>
  <c r="F14" i="8"/>
  <c r="B3" i="8"/>
  <c r="B1" i="8"/>
  <c r="C24" i="10"/>
  <c r="G29" i="10" s="1"/>
  <c r="B24" i="10"/>
  <c r="C22" i="10"/>
  <c r="E20" i="10"/>
  <c r="D20" i="10"/>
  <c r="E19" i="10"/>
  <c r="D19" i="10"/>
  <c r="E18" i="10"/>
  <c r="D18" i="10"/>
  <c r="D17" i="10"/>
  <c r="E16" i="10"/>
  <c r="D16" i="10"/>
  <c r="E15" i="10"/>
  <c r="D15" i="10"/>
  <c r="B1" i="10"/>
  <c r="G60" i="13"/>
  <c r="F53" i="13"/>
  <c r="E53" i="13"/>
  <c r="D53" i="13"/>
  <c r="C53" i="13"/>
  <c r="F26" i="13"/>
  <c r="E26" i="13"/>
  <c r="D26" i="13"/>
  <c r="C26" i="13"/>
  <c r="R26" i="12" l="1"/>
  <c r="K11" i="12"/>
  <c r="K29" i="12" s="1"/>
  <c r="K12" i="12"/>
  <c r="K30" i="12" s="1"/>
  <c r="O30" i="12" s="1"/>
  <c r="V14" i="12"/>
  <c r="V18" i="12"/>
  <c r="V15" i="12"/>
  <c r="V16" i="12"/>
  <c r="U15" i="12"/>
  <c r="T16" i="12"/>
  <c r="U14" i="12"/>
  <c r="T15" i="12"/>
  <c r="U18" i="12"/>
  <c r="T14" i="12"/>
  <c r="U17" i="12"/>
  <c r="T18" i="12"/>
  <c r="O29" i="12"/>
  <c r="M29" i="12"/>
  <c r="N29" i="12"/>
  <c r="L29" i="12"/>
  <c r="K10" i="12"/>
  <c r="K28" i="12" s="1"/>
  <c r="E17" i="10"/>
  <c r="G17" i="10" s="1"/>
  <c r="K9" i="12"/>
  <c r="L26" i="12"/>
  <c r="M26" i="12"/>
  <c r="N26" i="12"/>
  <c r="O26" i="12"/>
  <c r="E26" i="12"/>
  <c r="E36" i="12"/>
  <c r="E35" i="12"/>
  <c r="E34" i="12"/>
  <c r="E33" i="12"/>
  <c r="E32" i="12"/>
  <c r="C36" i="12"/>
  <c r="C35" i="12"/>
  <c r="C34" i="12"/>
  <c r="C33" i="12"/>
  <c r="C32" i="12"/>
  <c r="S30" i="12" s="1"/>
  <c r="K7" i="12"/>
  <c r="E14" i="12"/>
  <c r="E18" i="12"/>
  <c r="S25" i="12"/>
  <c r="R36" i="12"/>
  <c r="R35" i="12"/>
  <c r="R34" i="12"/>
  <c r="R32" i="12"/>
  <c r="R33" i="12"/>
  <c r="E15" i="12"/>
  <c r="E16" i="12"/>
  <c r="E17" i="12"/>
  <c r="G28" i="10"/>
  <c r="G15" i="10"/>
  <c r="G16" i="10"/>
  <c r="P6" i="12"/>
  <c r="R6" i="12"/>
  <c r="G19" i="10"/>
  <c r="O6" i="12"/>
  <c r="L24" i="12"/>
  <c r="G18" i="10"/>
  <c r="G20" i="10"/>
  <c r="F24" i="13"/>
  <c r="E24" i="13"/>
  <c r="D24" i="13"/>
  <c r="C24" i="13"/>
  <c r="B1" i="13"/>
  <c r="L24" i="14"/>
  <c r="K24" i="14"/>
  <c r="I24" i="14"/>
  <c r="B16" i="14"/>
  <c r="B31" i="14" s="1"/>
  <c r="B15" i="14"/>
  <c r="B30" i="14" s="1"/>
  <c r="B14" i="14"/>
  <c r="B29" i="14" s="1"/>
  <c r="B13" i="14"/>
  <c r="B28" i="14" s="1"/>
  <c r="B12" i="14"/>
  <c r="B27" i="14" s="1"/>
  <c r="L11" i="14"/>
  <c r="B11" i="14"/>
  <c r="B26" i="14" s="1"/>
  <c r="B1" i="14"/>
  <c r="I47" i="11"/>
  <c r="H47" i="11"/>
  <c r="G47" i="11"/>
  <c r="F47" i="11"/>
  <c r="I46" i="11"/>
  <c r="H46" i="11"/>
  <c r="G46" i="11"/>
  <c r="F46" i="11"/>
  <c r="I44" i="11"/>
  <c r="H44" i="11"/>
  <c r="G44" i="11"/>
  <c r="F44" i="11"/>
  <c r="I43" i="11"/>
  <c r="H43" i="11"/>
  <c r="G43" i="11"/>
  <c r="F43" i="11"/>
  <c r="I42" i="11"/>
  <c r="H42" i="11"/>
  <c r="G42" i="11"/>
  <c r="F42" i="11"/>
  <c r="I37" i="11"/>
  <c r="H37" i="11"/>
  <c r="G37" i="11"/>
  <c r="F37" i="11"/>
  <c r="I35" i="11"/>
  <c r="H35" i="11"/>
  <c r="G35" i="11"/>
  <c r="F35" i="11"/>
  <c r="I33" i="11"/>
  <c r="H33" i="11"/>
  <c r="G33" i="11"/>
  <c r="F33" i="11"/>
  <c r="I32" i="11"/>
  <c r="H32" i="11"/>
  <c r="G32" i="11"/>
  <c r="F32" i="11"/>
  <c r="I30" i="11"/>
  <c r="H30" i="11"/>
  <c r="G30" i="11"/>
  <c r="F30" i="11"/>
  <c r="I26" i="11"/>
  <c r="H26" i="11"/>
  <c r="G26" i="11"/>
  <c r="F26" i="11"/>
  <c r="I21" i="11"/>
  <c r="H21" i="11"/>
  <c r="G21" i="11"/>
  <c r="F21" i="11"/>
  <c r="K19" i="11"/>
  <c r="H60" i="13" s="1"/>
  <c r="I18" i="11"/>
  <c r="H18" i="11"/>
  <c r="G18" i="11"/>
  <c r="F18" i="11"/>
  <c r="J17" i="11"/>
  <c r="K17" i="11" s="1"/>
  <c r="L17" i="11" s="1"/>
  <c r="M17" i="11" s="1"/>
  <c r="N17" i="11" s="1"/>
  <c r="G17" i="11"/>
  <c r="F17" i="11"/>
  <c r="K15" i="11"/>
  <c r="L15" i="11" s="1"/>
  <c r="I15" i="11"/>
  <c r="H15" i="11"/>
  <c r="G15" i="11"/>
  <c r="F15" i="11"/>
  <c r="I14" i="11"/>
  <c r="H14" i="11"/>
  <c r="G14" i="11"/>
  <c r="F14" i="11"/>
  <c r="I7" i="11"/>
  <c r="H7" i="11"/>
  <c r="G7" i="11"/>
  <c r="B1" i="11"/>
  <c r="F183" i="9"/>
  <c r="I178" i="9"/>
  <c r="H178" i="9"/>
  <c r="G178" i="9"/>
  <c r="I176" i="9"/>
  <c r="H176" i="9"/>
  <c r="G176" i="9"/>
  <c r="I175" i="9"/>
  <c r="H175" i="9"/>
  <c r="G175" i="9"/>
  <c r="K172" i="9"/>
  <c r="L30" i="12" l="1"/>
  <c r="N30" i="12"/>
  <c r="M30" i="12" s="1"/>
  <c r="V20" i="12"/>
  <c r="U20" i="12" s="1"/>
  <c r="T20" i="12" s="1"/>
  <c r="S20" i="12" s="1"/>
  <c r="R20" i="12" s="1"/>
  <c r="Q20" i="12" s="1"/>
  <c r="P20" i="12" s="1"/>
  <c r="O20" i="12" s="1"/>
  <c r="N20" i="12" s="1"/>
  <c r="M20" i="12" s="1"/>
  <c r="L20" i="12" s="1"/>
  <c r="N28" i="12"/>
  <c r="O28" i="12"/>
  <c r="L28" i="12"/>
  <c r="M28" i="12"/>
  <c r="S36" i="12"/>
  <c r="S35" i="12"/>
  <c r="S34" i="12"/>
  <c r="S32" i="12"/>
  <c r="S33" i="12"/>
  <c r="K15" i="12"/>
  <c r="K25" i="12"/>
  <c r="K18" i="12"/>
  <c r="K14" i="12"/>
  <c r="K17" i="12"/>
  <c r="K16" i="12"/>
  <c r="K20" i="12" s="1"/>
  <c r="J20" i="12" s="1"/>
  <c r="I20" i="12" s="1"/>
  <c r="H20" i="12" s="1"/>
  <c r="G20" i="12" s="1"/>
  <c r="F20" i="12" s="1"/>
  <c r="E20" i="12" s="1"/>
  <c r="C20" i="12" s="1"/>
  <c r="G22" i="10"/>
  <c r="H24" i="14"/>
  <c r="M24" i="14" s="1"/>
  <c r="Q24" i="14"/>
  <c r="Q6" i="12"/>
  <c r="S24" i="12" s="1"/>
  <c r="J171" i="9"/>
  <c r="R24" i="12"/>
  <c r="O24" i="12"/>
  <c r="N24" i="12" s="1"/>
  <c r="S6" i="12"/>
  <c r="V6" i="12" s="1"/>
  <c r="U6" i="12" s="1"/>
  <c r="L19" i="11"/>
  <c r="I60" i="13" s="1"/>
  <c r="I166" i="9"/>
  <c r="H166" i="9"/>
  <c r="G166" i="9"/>
  <c r="N25" i="12" l="1"/>
  <c r="O25" i="12"/>
  <c r="L25" i="12"/>
  <c r="M25" i="12"/>
  <c r="N24" i="14"/>
  <c r="I165" i="9"/>
  <c r="H165" i="9"/>
  <c r="G165" i="9"/>
  <c r="I163" i="9"/>
  <c r="H163" i="9"/>
  <c r="G163" i="9"/>
  <c r="I152" i="9" l="1"/>
  <c r="H152" i="9"/>
  <c r="G152" i="9"/>
  <c r="I151" i="9"/>
  <c r="H151" i="9"/>
  <c r="G151" i="9"/>
  <c r="I150" i="9"/>
  <c r="H150" i="9"/>
  <c r="G150" i="9"/>
  <c r="I149" i="9"/>
  <c r="H149" i="9"/>
  <c r="G149" i="9"/>
  <c r="I148" i="9"/>
  <c r="H148" i="9"/>
  <c r="G148" i="9"/>
  <c r="I147" i="9"/>
  <c r="H147" i="9"/>
  <c r="G147" i="9"/>
  <c r="I145" i="9"/>
  <c r="H145" i="9"/>
  <c r="G145" i="9"/>
  <c r="I144" i="9"/>
  <c r="H144" i="9"/>
  <c r="G144" i="9"/>
  <c r="I139" i="9"/>
  <c r="H139" i="9"/>
  <c r="G139" i="9"/>
  <c r="I138" i="9"/>
  <c r="I7" i="8" s="1"/>
  <c r="H138" i="9"/>
  <c r="G138" i="9"/>
  <c r="K127" i="9"/>
  <c r="K177" i="9" s="1"/>
  <c r="J127" i="9"/>
  <c r="J177" i="9" s="1"/>
  <c r="G7" i="8" l="1"/>
  <c r="T6" i="8" s="1"/>
  <c r="H7" i="8"/>
  <c r="C23" i="13"/>
  <c r="J125" i="9"/>
  <c r="J175" i="9" s="1"/>
  <c r="K125" i="9" l="1"/>
  <c r="K175" i="9" s="1"/>
  <c r="J123" i="9"/>
  <c r="J170" i="9" s="1"/>
  <c r="K118" i="9"/>
  <c r="J110" i="9"/>
  <c r="J105" i="9"/>
  <c r="G48" i="11" l="1"/>
  <c r="G179" i="9"/>
  <c r="G180" i="9" s="1"/>
  <c r="I48" i="11"/>
  <c r="I179" i="9"/>
  <c r="I180" i="9" s="1"/>
  <c r="H48" i="11"/>
  <c r="H179" i="9"/>
  <c r="H180" i="9" s="1"/>
  <c r="C43" i="13"/>
  <c r="C44" i="13"/>
  <c r="F48" i="11"/>
  <c r="K14" i="8"/>
  <c r="F130" i="9"/>
  <c r="K105" i="9"/>
  <c r="L105" i="9" s="1"/>
  <c r="M105" i="9" s="1"/>
  <c r="G48" i="13"/>
  <c r="J178" i="9"/>
  <c r="C41" i="13" l="1"/>
  <c r="C42" i="13"/>
  <c r="C40" i="13"/>
  <c r="C22" i="13"/>
  <c r="J93" i="9"/>
  <c r="I12" i="11"/>
  <c r="F96" i="9" l="1"/>
  <c r="G13" i="11"/>
  <c r="G36" i="11"/>
  <c r="G34" i="11"/>
  <c r="G29" i="11"/>
  <c r="F12" i="11"/>
  <c r="G162" i="9"/>
  <c r="H12" i="11"/>
  <c r="I162" i="9"/>
  <c r="H13" i="11"/>
  <c r="H36" i="11"/>
  <c r="H34" i="11"/>
  <c r="H29" i="11"/>
  <c r="G164" i="9"/>
  <c r="G12" i="11"/>
  <c r="H162" i="9"/>
  <c r="F13" i="11"/>
  <c r="F36" i="11"/>
  <c r="F34" i="11"/>
  <c r="F29" i="11"/>
  <c r="I36" i="11"/>
  <c r="I34" i="11"/>
  <c r="I29" i="11"/>
  <c r="I13" i="11"/>
  <c r="I96" i="9"/>
  <c r="H96" i="9"/>
  <c r="J85" i="9"/>
  <c r="K85" i="9" s="1"/>
  <c r="I146" i="9"/>
  <c r="G146" i="9"/>
  <c r="J73" i="9"/>
  <c r="J63" i="9"/>
  <c r="J58" i="9" s="1"/>
  <c r="K59" i="9"/>
  <c r="L59" i="9" s="1"/>
  <c r="M59" i="9" s="1"/>
  <c r="N59" i="9" s="1"/>
  <c r="K56" i="9"/>
  <c r="L56" i="9" s="1"/>
  <c r="M56" i="9" s="1"/>
  <c r="N56" i="9" s="1"/>
  <c r="K55" i="9"/>
  <c r="L55" i="9" s="1"/>
  <c r="M55" i="9" s="1"/>
  <c r="N55" i="9" s="1"/>
  <c r="K51" i="9"/>
  <c r="L51" i="9" s="1"/>
  <c r="M51" i="9" s="1"/>
  <c r="J49" i="9"/>
  <c r="J42" i="9"/>
  <c r="K42" i="9" s="1"/>
  <c r="L42" i="9" s="1"/>
  <c r="M42" i="9" s="1"/>
  <c r="N42" i="9" s="1"/>
  <c r="K41" i="9"/>
  <c r="L41" i="9" s="1"/>
  <c r="M41" i="9" s="1"/>
  <c r="N41" i="9" s="1"/>
  <c r="J40" i="9"/>
  <c r="I10" i="11"/>
  <c r="H10" i="11"/>
  <c r="G10" i="11"/>
  <c r="F10" i="11"/>
  <c r="I9" i="11"/>
  <c r="H9" i="11"/>
  <c r="G9" i="11"/>
  <c r="F9" i="11"/>
  <c r="C15" i="13"/>
  <c r="J35" i="9"/>
  <c r="K63" i="9" l="1"/>
  <c r="L63" i="9" s="1"/>
  <c r="G96" i="9"/>
  <c r="G98" i="9" s="1"/>
  <c r="H146" i="9"/>
  <c r="L85" i="9"/>
  <c r="L161" i="9" s="1"/>
  <c r="L58" i="9"/>
  <c r="I53" i="13" s="1"/>
  <c r="M63" i="9"/>
  <c r="D34" i="13"/>
  <c r="D31" i="13"/>
  <c r="E30" i="13"/>
  <c r="E29" i="13"/>
  <c r="E28" i="13"/>
  <c r="H8" i="11"/>
  <c r="H39" i="11"/>
  <c r="H40" i="11" s="1"/>
  <c r="H27" i="11"/>
  <c r="J158" i="9"/>
  <c r="J156" i="9"/>
  <c r="C27" i="13"/>
  <c r="G143" i="9"/>
  <c r="E15" i="13"/>
  <c r="F28" i="11"/>
  <c r="D30" i="13"/>
  <c r="D29" i="13"/>
  <c r="D28" i="13"/>
  <c r="G8" i="11"/>
  <c r="G39" i="11"/>
  <c r="G27" i="11"/>
  <c r="F27" i="13"/>
  <c r="I24" i="11"/>
  <c r="C31" i="13"/>
  <c r="C34" i="13"/>
  <c r="F98" i="9"/>
  <c r="J161" i="9"/>
  <c r="K161" i="9"/>
  <c r="K159" i="9"/>
  <c r="J159" i="9" s="1"/>
  <c r="D15" i="13"/>
  <c r="K40" i="9"/>
  <c r="E27" i="13"/>
  <c r="H24" i="11"/>
  <c r="I143" i="9"/>
  <c r="I8" i="8" s="1"/>
  <c r="H9" i="8"/>
  <c r="G9" i="8" s="1"/>
  <c r="I9" i="8"/>
  <c r="H28" i="11"/>
  <c r="I98" i="9"/>
  <c r="C30" i="13"/>
  <c r="C29" i="13"/>
  <c r="C28" i="13"/>
  <c r="F8" i="11"/>
  <c r="F39" i="11"/>
  <c r="F40" i="11" s="1"/>
  <c r="F27" i="11"/>
  <c r="F30" i="13"/>
  <c r="F29" i="13"/>
  <c r="F28" i="13"/>
  <c r="I39" i="11"/>
  <c r="I28" i="11"/>
  <c r="I27" i="11"/>
  <c r="I8" i="11"/>
  <c r="D27" i="13"/>
  <c r="G24" i="11"/>
  <c r="F24" i="11" s="1"/>
  <c r="H143" i="9"/>
  <c r="H8" i="8" s="1"/>
  <c r="F15" i="13"/>
  <c r="G28" i="11"/>
  <c r="H98" i="9"/>
  <c r="H164" i="9"/>
  <c r="H167" i="9" s="1"/>
  <c r="G167" i="9" s="1"/>
  <c r="G53" i="13"/>
  <c r="J176" i="9"/>
  <c r="K35" i="9"/>
  <c r="J47" i="9"/>
  <c r="L12" i="14"/>
  <c r="F20" i="9"/>
  <c r="G20" i="9" s="1"/>
  <c r="G21" i="9" s="1"/>
  <c r="E14" i="9"/>
  <c r="T28" i="8" s="1"/>
  <c r="E13" i="9"/>
  <c r="E11" i="9"/>
  <c r="C9" i="10" s="1"/>
  <c r="B1" i="9"/>
  <c r="K16" i="14"/>
  <c r="J16" i="14"/>
  <c r="I16" i="14"/>
  <c r="H16" i="14"/>
  <c r="G16" i="14"/>
  <c r="K15" i="8"/>
  <c r="I15" i="8"/>
  <c r="H15" i="8"/>
  <c r="G15" i="8"/>
  <c r="F15" i="8"/>
  <c r="K58" i="9" l="1"/>
  <c r="L176" i="9"/>
  <c r="G8" i="8"/>
  <c r="F21" i="9"/>
  <c r="F134" i="9" s="1"/>
  <c r="G4" i="8"/>
  <c r="G5" i="11"/>
  <c r="D4" i="13"/>
  <c r="G134" i="9"/>
  <c r="G33" i="9"/>
  <c r="G67" i="9"/>
  <c r="C8" i="10"/>
  <c r="T27" i="8"/>
  <c r="F71" i="9"/>
  <c r="F99" i="9" s="1"/>
  <c r="F100" i="9" s="1"/>
  <c r="M85" i="9"/>
  <c r="M161" i="9" s="1"/>
  <c r="H20" i="9"/>
  <c r="F4" i="8"/>
  <c r="C4" i="13"/>
  <c r="F5" i="11"/>
  <c r="F67" i="9"/>
  <c r="F33" i="9"/>
  <c r="E31" i="13"/>
  <c r="E34" i="13"/>
  <c r="F31" i="13"/>
  <c r="F34" i="13"/>
  <c r="N63" i="9"/>
  <c r="N58" i="9" s="1"/>
  <c r="M58" i="9"/>
  <c r="G40" i="11"/>
  <c r="H26" i="13"/>
  <c r="G26" i="13" s="1"/>
  <c r="K47" i="9"/>
  <c r="L35" i="9"/>
  <c r="H53" i="13" l="1"/>
  <c r="K176" i="9"/>
  <c r="N176" i="9"/>
  <c r="K53" i="13"/>
  <c r="N85" i="9"/>
  <c r="N161" i="9" s="1"/>
  <c r="C39" i="13"/>
  <c r="C59" i="13" s="1"/>
  <c r="C21" i="13"/>
  <c r="C45" i="13"/>
  <c r="C33" i="13"/>
  <c r="H21" i="9"/>
  <c r="I20" i="9"/>
  <c r="J53" i="13"/>
  <c r="M176" i="9"/>
  <c r="C36" i="13"/>
  <c r="C37" i="13"/>
  <c r="C25" i="13"/>
  <c r="C35" i="13"/>
  <c r="I26" i="13"/>
  <c r="L47" i="9"/>
  <c r="M35" i="9"/>
  <c r="N159" i="9" l="1"/>
  <c r="M159" i="9" s="1"/>
  <c r="L159" i="9" s="1"/>
  <c r="H4" i="8"/>
  <c r="H5" i="11"/>
  <c r="E4" i="13"/>
  <c r="H134" i="9"/>
  <c r="H33" i="9"/>
  <c r="H67" i="9"/>
  <c r="I21" i="9"/>
  <c r="J20" i="9"/>
  <c r="C58" i="13"/>
  <c r="C64" i="13"/>
  <c r="J26" i="13"/>
  <c r="N35" i="9"/>
  <c r="I4" i="8" l="1"/>
  <c r="I5" i="11"/>
  <c r="F4" i="13"/>
  <c r="I134" i="9"/>
  <c r="I67" i="9"/>
  <c r="I33" i="9"/>
  <c r="J21" i="9"/>
  <c r="K20" i="9"/>
  <c r="L13" i="14"/>
  <c r="I41" i="11"/>
  <c r="K26" i="13"/>
  <c r="N105" i="9"/>
  <c r="K4" i="8" l="1"/>
  <c r="G4" i="13"/>
  <c r="J5" i="11"/>
  <c r="J134" i="9"/>
  <c r="J67" i="9"/>
  <c r="J33" i="9"/>
  <c r="K21" i="9"/>
  <c r="L20" i="9"/>
  <c r="H41" i="11"/>
  <c r="F50" i="13"/>
  <c r="F47" i="13"/>
  <c r="F18" i="13"/>
  <c r="F65" i="13" s="1"/>
  <c r="F17" i="13"/>
  <c r="L4" i="8" l="1"/>
  <c r="K5" i="11"/>
  <c r="H4" i="13"/>
  <c r="K134" i="9"/>
  <c r="K33" i="9"/>
  <c r="K67" i="9"/>
  <c r="L21" i="9"/>
  <c r="M20" i="9"/>
  <c r="F57" i="13"/>
  <c r="F46" i="13"/>
  <c r="I19" i="11"/>
  <c r="G41" i="11"/>
  <c r="E47" i="13"/>
  <c r="E50" i="13"/>
  <c r="E18" i="13"/>
  <c r="E65" i="13" s="1"/>
  <c r="E17" i="13"/>
  <c r="M4" i="8" l="1"/>
  <c r="L5" i="11"/>
  <c r="I4" i="13"/>
  <c r="L134" i="9"/>
  <c r="L67" i="9"/>
  <c r="L33" i="9"/>
  <c r="M21" i="9"/>
  <c r="N20" i="9"/>
  <c r="N21" i="9" s="1"/>
  <c r="E46" i="13"/>
  <c r="E57" i="13"/>
  <c r="H19" i="11"/>
  <c r="D47" i="13"/>
  <c r="D50" i="13"/>
  <c r="D18" i="13"/>
  <c r="D65" i="13" s="1"/>
  <c r="D17" i="13"/>
  <c r="F41" i="11"/>
  <c r="T8" i="8"/>
  <c r="C7" i="10" s="1"/>
  <c r="F48" i="13"/>
  <c r="F60" i="13"/>
  <c r="I16" i="8"/>
  <c r="I6" i="8"/>
  <c r="I11" i="8" s="1"/>
  <c r="F54" i="13"/>
  <c r="F16" i="13"/>
  <c r="I137" i="9"/>
  <c r="I153" i="9" s="1"/>
  <c r="N4" i="8" l="1"/>
  <c r="M5" i="11"/>
  <c r="J4" i="13"/>
  <c r="M134" i="9"/>
  <c r="M67" i="9"/>
  <c r="M33" i="9"/>
  <c r="O4" i="8"/>
  <c r="K4" i="13"/>
  <c r="N5" i="11"/>
  <c r="N134" i="9"/>
  <c r="N67" i="9"/>
  <c r="N33" i="9"/>
  <c r="F51" i="13"/>
  <c r="I27" i="9"/>
  <c r="C50" i="13"/>
  <c r="C47" i="13"/>
  <c r="C18" i="13"/>
  <c r="C65" i="13" s="1"/>
  <c r="C66" i="13" s="1"/>
  <c r="C17" i="13"/>
  <c r="C12" i="13"/>
  <c r="C9" i="13"/>
  <c r="L15" i="14"/>
  <c r="K15" i="14" s="1"/>
  <c r="F19" i="13"/>
  <c r="I28" i="9"/>
  <c r="F7" i="13" s="1"/>
  <c r="E60" i="13"/>
  <c r="E48" i="13"/>
  <c r="H16" i="8"/>
  <c r="H6" i="8"/>
  <c r="H11" i="8" s="1"/>
  <c r="D46" i="13"/>
  <c r="D57" i="13"/>
  <c r="G19" i="11"/>
  <c r="E54" i="13"/>
  <c r="E16" i="13"/>
  <c r="H137" i="9"/>
  <c r="H153" i="9" s="1"/>
  <c r="E19" i="13" l="1"/>
  <c r="H28" i="9"/>
  <c r="E7" i="13" s="1"/>
  <c r="D54" i="13"/>
  <c r="D16" i="13"/>
  <c r="G137" i="9"/>
  <c r="G153" i="9" s="1"/>
  <c r="J15" i="14"/>
  <c r="Q15" i="14"/>
  <c r="L30" i="14" s="1"/>
  <c r="N51" i="9"/>
  <c r="C57" i="13"/>
  <c r="C46" i="13"/>
  <c r="F19" i="11"/>
  <c r="E51" i="13"/>
  <c r="H182" i="9"/>
  <c r="H27" i="9"/>
  <c r="D60" i="13"/>
  <c r="D48" i="13"/>
  <c r="G16" i="8"/>
  <c r="G6" i="8"/>
  <c r="G11" i="8" s="1"/>
  <c r="K171" i="9"/>
  <c r="L171" i="9" s="1"/>
  <c r="J180" i="9"/>
  <c r="C54" i="13" l="1"/>
  <c r="C16" i="13"/>
  <c r="C13" i="13"/>
  <c r="C11" i="13"/>
  <c r="C10" i="13"/>
  <c r="C8" i="13"/>
  <c r="D51" i="13"/>
  <c r="G27" i="9"/>
  <c r="D19" i="13"/>
  <c r="G28" i="9"/>
  <c r="D7" i="13" s="1"/>
  <c r="I15" i="14"/>
  <c r="P15" i="14"/>
  <c r="C60" i="13"/>
  <c r="C61" i="13" s="1"/>
  <c r="C48" i="13"/>
  <c r="F16" i="8"/>
  <c r="M171" i="9"/>
  <c r="K30" i="14" l="1"/>
  <c r="C19" i="13"/>
  <c r="F28" i="9"/>
  <c r="C7" i="13" s="1"/>
  <c r="H15" i="14"/>
  <c r="O15" i="14"/>
  <c r="J30" i="14" s="1"/>
  <c r="N171" i="9"/>
  <c r="L172" i="9"/>
  <c r="M172" i="9" s="1"/>
  <c r="G15" i="14" l="1"/>
  <c r="M15" i="14" s="1"/>
  <c r="N15" i="14"/>
  <c r="N172" i="9"/>
  <c r="H30" i="14" l="1"/>
  <c r="I30" i="14"/>
  <c r="F24" i="10"/>
  <c r="G31" i="10"/>
  <c r="E24" i="10"/>
  <c r="D24" i="10"/>
  <c r="G24" i="10" l="1"/>
  <c r="G32" i="10" s="1"/>
  <c r="K16" i="8"/>
  <c r="K17" i="8" s="1"/>
  <c r="J8" i="11"/>
  <c r="J36" i="9" s="1"/>
  <c r="J9" i="11"/>
  <c r="J38" i="9" s="1"/>
  <c r="J10" i="11"/>
  <c r="J39" i="9" s="1"/>
  <c r="J33" i="11"/>
  <c r="J87" i="9" s="1"/>
  <c r="J35" i="11"/>
  <c r="K35" i="11" s="1"/>
  <c r="L35" i="11" s="1"/>
  <c r="J34" i="11"/>
  <c r="J90" i="9" s="1"/>
  <c r="J36" i="11"/>
  <c r="K36" i="11" s="1"/>
  <c r="L36" i="11" s="1"/>
  <c r="M36" i="11" s="1"/>
  <c r="N36" i="11" s="1"/>
  <c r="J14" i="11"/>
  <c r="J46" i="9" s="1"/>
  <c r="M15" i="11"/>
  <c r="N15" i="11" s="1"/>
  <c r="N47" i="9" s="1"/>
  <c r="K110" i="9"/>
  <c r="L110" i="9" s="1"/>
  <c r="M19" i="11"/>
  <c r="N19" i="11" s="1"/>
  <c r="J46" i="11"/>
  <c r="K46" i="11" s="1"/>
  <c r="I25" i="11"/>
  <c r="J25" i="11" s="1"/>
  <c r="J26" i="11"/>
  <c r="K26" i="11" s="1"/>
  <c r="J27" i="11"/>
  <c r="K27" i="11" s="1"/>
  <c r="J30" i="11"/>
  <c r="K30" i="11" s="1"/>
  <c r="I40" i="11"/>
  <c r="J40" i="11" s="1"/>
  <c r="J41" i="11"/>
  <c r="K41" i="11" s="1"/>
  <c r="L41" i="11" s="1"/>
  <c r="M41" i="11" s="1"/>
  <c r="N41" i="11" s="1"/>
  <c r="J42" i="11"/>
  <c r="K42" i="11" s="1"/>
  <c r="J48" i="11"/>
  <c r="K48" i="11" s="1"/>
  <c r="J32" i="11"/>
  <c r="K32" i="11" s="1"/>
  <c r="J37" i="11"/>
  <c r="J95" i="9" s="1"/>
  <c r="J29" i="11"/>
  <c r="K29" i="11" s="1"/>
  <c r="L29" i="11" s="1"/>
  <c r="J28" i="11"/>
  <c r="K28" i="11" s="1"/>
  <c r="J44" i="11"/>
  <c r="K44" i="11" s="1"/>
  <c r="I164" i="9"/>
  <c r="I167" i="9" s="1"/>
  <c r="I182" i="9" s="1"/>
  <c r="L118" i="9"/>
  <c r="M118" i="9" s="1"/>
  <c r="N118" i="9" s="1"/>
  <c r="F185" i="9"/>
  <c r="J47" i="11"/>
  <c r="K47" i="11" s="1"/>
  <c r="L47" i="11" s="1"/>
  <c r="M47" i="11" s="1"/>
  <c r="N47" i="11" s="1"/>
  <c r="J12" i="11"/>
  <c r="K12" i="11" s="1"/>
  <c r="L12" i="11" s="1"/>
  <c r="M12" i="11" s="1"/>
  <c r="N12" i="11" s="1"/>
  <c r="J43" i="11"/>
  <c r="K43" i="11" s="1"/>
  <c r="L43" i="11" s="1"/>
  <c r="M43" i="11" s="1"/>
  <c r="N43" i="11" s="1"/>
  <c r="J13" i="11"/>
  <c r="K13" i="11" s="1"/>
  <c r="L13" i="11" s="1"/>
  <c r="M13" i="11" s="1"/>
  <c r="N13" i="11" s="1"/>
  <c r="H25" i="11"/>
  <c r="G25" i="11"/>
  <c r="F25" i="11"/>
  <c r="G25" i="8" l="1"/>
  <c r="H25" i="8" s="1"/>
  <c r="I25" i="8" s="1"/>
  <c r="J25" i="8" s="1"/>
  <c r="G35" i="8"/>
  <c r="F35" i="8" s="1"/>
  <c r="E35" i="8" s="1"/>
  <c r="D35" i="8" s="1"/>
  <c r="J60" i="13"/>
  <c r="H48" i="13"/>
  <c r="K49" i="9"/>
  <c r="L14" i="8"/>
  <c r="L15" i="8" s="1"/>
  <c r="L16" i="8" s="1"/>
  <c r="L17" i="8" s="1"/>
  <c r="K34" i="11"/>
  <c r="L34" i="11" s="1"/>
  <c r="M34" i="11" s="1"/>
  <c r="M90" i="9" s="1"/>
  <c r="M47" i="9"/>
  <c r="J116" i="9"/>
  <c r="J141" i="9" s="1"/>
  <c r="M110" i="9"/>
  <c r="M49" i="9"/>
  <c r="M14" i="8"/>
  <c r="M15" i="8" s="1"/>
  <c r="M16" i="8" s="1"/>
  <c r="M17" i="8" s="1"/>
  <c r="L49" i="9"/>
  <c r="L178" i="9"/>
  <c r="I48" i="13"/>
  <c r="K178" i="9"/>
  <c r="K180" i="9" s="1"/>
  <c r="J77" i="9"/>
  <c r="J144" i="9" s="1"/>
  <c r="K33" i="11"/>
  <c r="L33" i="11" s="1"/>
  <c r="M33" i="11" s="1"/>
  <c r="J140" i="9"/>
  <c r="J124" i="9" s="1"/>
  <c r="K14" i="11"/>
  <c r="K140" i="9" s="1"/>
  <c r="K8" i="11"/>
  <c r="L8" i="11" s="1"/>
  <c r="L26" i="11"/>
  <c r="L77" i="9" s="1"/>
  <c r="K77" i="9"/>
  <c r="K90" i="9"/>
  <c r="K91" i="9" s="1"/>
  <c r="K92" i="9" s="1"/>
  <c r="K10" i="11"/>
  <c r="J107" i="9"/>
  <c r="J151" i="9" s="1"/>
  <c r="L46" i="11"/>
  <c r="M46" i="11" s="1"/>
  <c r="K116" i="9"/>
  <c r="L28" i="11"/>
  <c r="M28" i="11" s="1"/>
  <c r="N28" i="11" s="1"/>
  <c r="K60" i="13"/>
  <c r="J111" i="9"/>
  <c r="J152" i="9" s="1"/>
  <c r="K37" i="11"/>
  <c r="J119" i="9"/>
  <c r="J179" i="9" s="1"/>
  <c r="J81" i="9"/>
  <c r="J147" i="9" s="1"/>
  <c r="L27" i="11"/>
  <c r="M27" i="11" s="1"/>
  <c r="N27" i="11" s="1"/>
  <c r="M35" i="11"/>
  <c r="N35" i="11" s="1"/>
  <c r="J91" i="9"/>
  <c r="J92" i="9" s="1"/>
  <c r="K111" i="9"/>
  <c r="L44" i="11"/>
  <c r="M29" i="11"/>
  <c r="N29" i="11" s="1"/>
  <c r="K86" i="9"/>
  <c r="L32" i="11"/>
  <c r="K81" i="9"/>
  <c r="L30" i="11"/>
  <c r="J24" i="11"/>
  <c r="J76" i="9" s="1"/>
  <c r="K25" i="11"/>
  <c r="J166" i="9"/>
  <c r="L48" i="11"/>
  <c r="K119" i="9"/>
  <c r="K179" i="9" s="1"/>
  <c r="L42" i="11"/>
  <c r="K107" i="9"/>
  <c r="K40" i="11"/>
  <c r="J39" i="11"/>
  <c r="J104" i="9" s="1"/>
  <c r="J80" i="9"/>
  <c r="J88" i="9"/>
  <c r="J89" i="9" s="1"/>
  <c r="J79" i="9"/>
  <c r="J37" i="9"/>
  <c r="J78" i="9"/>
  <c r="L36" i="9"/>
  <c r="M8" i="11"/>
  <c r="J86" i="9"/>
  <c r="K9" i="11"/>
  <c r="L90" i="9" l="1"/>
  <c r="L91" i="9" s="1"/>
  <c r="F25" i="8"/>
  <c r="E25" i="8" s="1"/>
  <c r="B19" i="14" s="1"/>
  <c r="B24" i="14" s="1"/>
  <c r="M26" i="11"/>
  <c r="M77" i="9" s="1"/>
  <c r="M144" i="9" s="1"/>
  <c r="K141" i="9"/>
  <c r="D25" i="8"/>
  <c r="K124" i="9"/>
  <c r="K87" i="9"/>
  <c r="K80" i="9" s="1"/>
  <c r="G130" i="9"/>
  <c r="G71" i="9" s="1"/>
  <c r="D11" i="13"/>
  <c r="D23" i="13"/>
  <c r="D43" i="13"/>
  <c r="D12" i="13"/>
  <c r="D13" i="13"/>
  <c r="D22" i="13"/>
  <c r="D42" i="13"/>
  <c r="D41" i="13"/>
  <c r="D10" i="13"/>
  <c r="D40" i="13"/>
  <c r="D44" i="13"/>
  <c r="N33" i="11"/>
  <c r="N87" i="9" s="1"/>
  <c r="M87" i="9"/>
  <c r="M88" i="9" s="1"/>
  <c r="L116" i="9"/>
  <c r="L141" i="9" s="1"/>
  <c r="N34" i="11"/>
  <c r="N90" i="9" s="1"/>
  <c r="N91" i="9" s="1"/>
  <c r="N92" i="9" s="1"/>
  <c r="N88" i="9"/>
  <c r="N89" i="9" s="1"/>
  <c r="L87" i="9"/>
  <c r="L88" i="9" s="1"/>
  <c r="J146" i="9"/>
  <c r="K151" i="9"/>
  <c r="L45" i="9"/>
  <c r="L165" i="9" s="1"/>
  <c r="L14" i="11"/>
  <c r="K46" i="9"/>
  <c r="J48" i="13"/>
  <c r="N14" i="8"/>
  <c r="N15" i="8" s="1"/>
  <c r="N16" i="8" s="1"/>
  <c r="N17" i="8" s="1"/>
  <c r="M178" i="9"/>
  <c r="N110" i="9"/>
  <c r="N49" i="9" s="1"/>
  <c r="K36" i="9"/>
  <c r="I130" i="9"/>
  <c r="I71" i="9" s="1"/>
  <c r="F10" i="13"/>
  <c r="F43" i="13"/>
  <c r="F41" i="13"/>
  <c r="F40" i="13"/>
  <c r="F23" i="13"/>
  <c r="F11" i="13"/>
  <c r="F13" i="13"/>
  <c r="F42" i="13"/>
  <c r="F12" i="13"/>
  <c r="F44" i="13"/>
  <c r="F22" i="13"/>
  <c r="E11" i="13"/>
  <c r="E40" i="13"/>
  <c r="E44" i="13"/>
  <c r="E22" i="13"/>
  <c r="H130" i="9"/>
  <c r="H71" i="9" s="1"/>
  <c r="E13" i="13"/>
  <c r="E23" i="13"/>
  <c r="E43" i="13"/>
  <c r="E10" i="13"/>
  <c r="E12" i="13"/>
  <c r="E41" i="13"/>
  <c r="E42" i="13"/>
  <c r="K144" i="9"/>
  <c r="L10" i="11"/>
  <c r="K39" i="9"/>
  <c r="K152" i="9"/>
  <c r="K95" i="9"/>
  <c r="L37" i="11"/>
  <c r="G29" i="13"/>
  <c r="J148" i="9"/>
  <c r="K38" i="9"/>
  <c r="L9" i="11"/>
  <c r="N8" i="11"/>
  <c r="N36" i="9" s="1"/>
  <c r="M36" i="9"/>
  <c r="K39" i="11"/>
  <c r="L40" i="11"/>
  <c r="M42" i="11"/>
  <c r="L107" i="9"/>
  <c r="L151" i="9" s="1"/>
  <c r="L25" i="11"/>
  <c r="K24" i="11"/>
  <c r="K76" i="9" s="1"/>
  <c r="K143" i="9" s="1"/>
  <c r="J45" i="9"/>
  <c r="K45" i="9"/>
  <c r="G27" i="13"/>
  <c r="J143" i="9"/>
  <c r="J164" i="9"/>
  <c r="K164" i="9"/>
  <c r="K147" i="9"/>
  <c r="L37" i="9"/>
  <c r="L78" i="9"/>
  <c r="L79" i="9"/>
  <c r="J145" i="9"/>
  <c r="G28" i="13"/>
  <c r="G24" i="13"/>
  <c r="J162" i="9"/>
  <c r="J96" i="9"/>
  <c r="L144" i="9"/>
  <c r="J43" i="9"/>
  <c r="G15" i="13"/>
  <c r="J44" i="9"/>
  <c r="M91" i="9"/>
  <c r="M92" i="9" s="1"/>
  <c r="L139" i="9"/>
  <c r="L119" i="9"/>
  <c r="L179" i="9" s="1"/>
  <c r="M48" i="11"/>
  <c r="L81" i="9"/>
  <c r="L147" i="9" s="1"/>
  <c r="M30" i="11"/>
  <c r="L86" i="9"/>
  <c r="M32" i="11"/>
  <c r="M44" i="11"/>
  <c r="L111" i="9"/>
  <c r="L152" i="9" s="1"/>
  <c r="M116" i="9"/>
  <c r="N46" i="11"/>
  <c r="N116" i="9" s="1"/>
  <c r="G30" i="13"/>
  <c r="L92" i="9" l="1"/>
  <c r="L164" i="9" s="1"/>
  <c r="K104" i="9"/>
  <c r="N80" i="9"/>
  <c r="H24" i="13"/>
  <c r="K88" i="9"/>
  <c r="K89" i="9" s="1"/>
  <c r="K162" i="9" s="1"/>
  <c r="N44" i="9"/>
  <c r="N138" i="9" s="1"/>
  <c r="N26" i="11"/>
  <c r="N77" i="9" s="1"/>
  <c r="N144" i="9" s="1"/>
  <c r="M80" i="9"/>
  <c r="L89" i="9"/>
  <c r="L80" i="9"/>
  <c r="D35" i="13"/>
  <c r="D25" i="13"/>
  <c r="D37" i="13"/>
  <c r="D36" i="13"/>
  <c r="G99" i="9"/>
  <c r="N164" i="9"/>
  <c r="E36" i="13"/>
  <c r="E35" i="13"/>
  <c r="H99" i="9"/>
  <c r="E37" i="13"/>
  <c r="E25" i="13"/>
  <c r="M14" i="11"/>
  <c r="L46" i="9"/>
  <c r="L140" i="9"/>
  <c r="L124" i="9" s="1"/>
  <c r="E12" i="9"/>
  <c r="F35" i="13"/>
  <c r="F36" i="13"/>
  <c r="I99" i="9"/>
  <c r="F37" i="13"/>
  <c r="F25" i="13"/>
  <c r="O14" i="8"/>
  <c r="O15" i="8" s="1"/>
  <c r="O16" i="8" s="1"/>
  <c r="T16" i="8" s="1"/>
  <c r="T19" i="8" s="1"/>
  <c r="N178" i="9"/>
  <c r="K48" i="13"/>
  <c r="M89" i="9"/>
  <c r="K37" i="9"/>
  <c r="H15" i="13" s="1"/>
  <c r="K79" i="9"/>
  <c r="K78" i="9"/>
  <c r="L145" i="9" s="1"/>
  <c r="L39" i="9"/>
  <c r="M10" i="11"/>
  <c r="M44" i="9"/>
  <c r="M138" i="9" s="1"/>
  <c r="L95" i="9"/>
  <c r="M37" i="11"/>
  <c r="I28" i="13"/>
  <c r="M141" i="9"/>
  <c r="I24" i="13"/>
  <c r="N45" i="9"/>
  <c r="M45" i="9"/>
  <c r="J106" i="9"/>
  <c r="J48" i="9"/>
  <c r="L14" i="14"/>
  <c r="H27" i="13"/>
  <c r="M40" i="11"/>
  <c r="L39" i="11"/>
  <c r="L104" i="9" s="1"/>
  <c r="L38" i="9"/>
  <c r="M9" i="11"/>
  <c r="I30" i="13"/>
  <c r="N32" i="11"/>
  <c r="N86" i="9" s="1"/>
  <c r="M86" i="9"/>
  <c r="N48" i="11"/>
  <c r="N119" i="9" s="1"/>
  <c r="M119" i="9"/>
  <c r="M179" i="9" s="1"/>
  <c r="I15" i="13"/>
  <c r="J139" i="9"/>
  <c r="J165" i="9"/>
  <c r="N42" i="11"/>
  <c r="N107" i="9" s="1"/>
  <c r="M107" i="9"/>
  <c r="M151" i="9" s="1"/>
  <c r="N37" i="9"/>
  <c r="N79" i="9"/>
  <c r="N78" i="9"/>
  <c r="K28" i="13" s="1"/>
  <c r="N141" i="9"/>
  <c r="N44" i="11"/>
  <c r="N111" i="9" s="1"/>
  <c r="M111" i="9"/>
  <c r="M152" i="9" s="1"/>
  <c r="J138" i="9"/>
  <c r="J163" i="9"/>
  <c r="K9" i="8" s="1"/>
  <c r="K165" i="9"/>
  <c r="K139" i="9"/>
  <c r="M37" i="9"/>
  <c r="M79" i="9"/>
  <c r="M78" i="9"/>
  <c r="M145" i="9" s="1"/>
  <c r="M164" i="9"/>
  <c r="N30" i="11"/>
  <c r="N81" i="9" s="1"/>
  <c r="M81" i="9"/>
  <c r="M25" i="11"/>
  <c r="L24" i="11"/>
  <c r="L76" i="9" s="1"/>
  <c r="L143" i="9" s="1"/>
  <c r="H29" i="13"/>
  <c r="K148" i="9"/>
  <c r="L44" i="9" l="1"/>
  <c r="L138" i="9" s="1"/>
  <c r="K44" i="9"/>
  <c r="L162" i="9"/>
  <c r="N163" i="9"/>
  <c r="M163" i="9"/>
  <c r="N146" i="9"/>
  <c r="D9" i="13"/>
  <c r="D33" i="13"/>
  <c r="G100" i="9"/>
  <c r="D8" i="13"/>
  <c r="D21" i="13"/>
  <c r="D39" i="13"/>
  <c r="D59" i="13" s="1"/>
  <c r="D45" i="13"/>
  <c r="N179" i="9"/>
  <c r="M146" i="9"/>
  <c r="L146" i="9"/>
  <c r="K146" i="9"/>
  <c r="K7" i="8"/>
  <c r="I100" i="9"/>
  <c r="F39" i="13"/>
  <c r="F59" i="13" s="1"/>
  <c r="F21" i="13"/>
  <c r="F33" i="13"/>
  <c r="F9" i="13"/>
  <c r="F8" i="13"/>
  <c r="F45" i="13"/>
  <c r="N151" i="9"/>
  <c r="K43" i="9"/>
  <c r="E17" i="9"/>
  <c r="J25" i="9" s="1"/>
  <c r="T26" i="8"/>
  <c r="V5" i="14" s="1"/>
  <c r="M46" i="9"/>
  <c r="M140" i="9"/>
  <c r="M124" i="9" s="1"/>
  <c r="N14" i="11"/>
  <c r="K145" i="9"/>
  <c r="H30" i="13"/>
  <c r="H28" i="13"/>
  <c r="E21" i="13"/>
  <c r="E9" i="13"/>
  <c r="H100" i="9"/>
  <c r="E33" i="13"/>
  <c r="E39" i="13"/>
  <c r="E59" i="13" s="1"/>
  <c r="E8" i="13"/>
  <c r="E45" i="13"/>
  <c r="O17" i="8"/>
  <c r="N10" i="11"/>
  <c r="N39" i="9" s="1"/>
  <c r="M39" i="9"/>
  <c r="M95" i="9"/>
  <c r="N37" i="11"/>
  <c r="N95" i="9" s="1"/>
  <c r="K30" i="13"/>
  <c r="N147" i="9"/>
  <c r="J15" i="13"/>
  <c r="N162" i="9"/>
  <c r="J24" i="13"/>
  <c r="N9" i="11"/>
  <c r="N38" i="9" s="1"/>
  <c r="M38" i="9"/>
  <c r="G50" i="13"/>
  <c r="K6" i="8"/>
  <c r="G17" i="13"/>
  <c r="G47" i="13"/>
  <c r="J167" i="9"/>
  <c r="M162" i="9"/>
  <c r="K15" i="13"/>
  <c r="N40" i="11"/>
  <c r="N39" i="11" s="1"/>
  <c r="N104" i="9" s="1"/>
  <c r="M39" i="11"/>
  <c r="M104" i="9" s="1"/>
  <c r="N165" i="9"/>
  <c r="N139" i="9"/>
  <c r="M147" i="9"/>
  <c r="N152" i="9"/>
  <c r="N145" i="9"/>
  <c r="J28" i="13"/>
  <c r="L148" i="9"/>
  <c r="I29" i="13"/>
  <c r="M139" i="9"/>
  <c r="M165" i="9"/>
  <c r="M24" i="11"/>
  <c r="M76" i="9" s="1"/>
  <c r="N25" i="11"/>
  <c r="N24" i="11" s="1"/>
  <c r="N76" i="9" s="1"/>
  <c r="K27" i="13" s="1"/>
  <c r="I27" i="13"/>
  <c r="K24" i="13"/>
  <c r="J149" i="9"/>
  <c r="J30" i="13"/>
  <c r="L163" i="9" l="1"/>
  <c r="K163" i="9"/>
  <c r="K138" i="9"/>
  <c r="L7" i="8" s="1"/>
  <c r="D64" i="13"/>
  <c r="D66" i="13" s="1"/>
  <c r="D58" i="13"/>
  <c r="D61" i="13" s="1"/>
  <c r="K48" i="9"/>
  <c r="K106" i="9"/>
  <c r="K149" i="9" s="1"/>
  <c r="N46" i="9"/>
  <c r="N140" i="9"/>
  <c r="L23" i="9"/>
  <c r="M23" i="9"/>
  <c r="N23" i="9"/>
  <c r="I25" i="9"/>
  <c r="I24" i="9"/>
  <c r="J24" i="9"/>
  <c r="I23" i="9"/>
  <c r="G25" i="9"/>
  <c r="G24" i="9"/>
  <c r="H25" i="9"/>
  <c r="H24" i="9"/>
  <c r="H23" i="9"/>
  <c r="F25" i="9"/>
  <c r="F23" i="9"/>
  <c r="G23" i="9"/>
  <c r="J23" i="9"/>
  <c r="K23" i="9"/>
  <c r="K24" i="9"/>
  <c r="F64" i="13"/>
  <c r="F66" i="13" s="1"/>
  <c r="F58" i="13"/>
  <c r="F61" i="13" s="1"/>
  <c r="E64" i="13"/>
  <c r="E66" i="13" s="1"/>
  <c r="E58" i="13"/>
  <c r="E61" i="13" s="1"/>
  <c r="K29" i="13"/>
  <c r="N148" i="9"/>
  <c r="J27" i="13"/>
  <c r="N143" i="9"/>
  <c r="M148" i="9"/>
  <c r="J29" i="13"/>
  <c r="M143" i="9"/>
  <c r="O30" i="14" l="1"/>
  <c r="N30" i="14"/>
  <c r="M30" i="14"/>
  <c r="Q30" i="14"/>
  <c r="P30" i="14"/>
  <c r="N124" i="9"/>
  <c r="K25" i="9"/>
  <c r="H47" i="13"/>
  <c r="H50" i="13"/>
  <c r="L6" i="8"/>
  <c r="H17" i="13"/>
  <c r="L40" i="9"/>
  <c r="L43" i="9" s="1"/>
  <c r="K123" i="9"/>
  <c r="L125" i="9"/>
  <c r="M125" i="9" s="1"/>
  <c r="M175" i="9" s="1"/>
  <c r="O7" i="8"/>
  <c r="N7" i="8"/>
  <c r="M7" i="8"/>
  <c r="K73" i="9"/>
  <c r="L73" i="9" s="1"/>
  <c r="K93" i="9"/>
  <c r="K166" i="9" s="1"/>
  <c r="L93" i="9"/>
  <c r="M93" i="9" s="1"/>
  <c r="L166" i="9"/>
  <c r="M9" i="8" s="1"/>
  <c r="K96" i="9"/>
  <c r="L127" i="9"/>
  <c r="L175" i="9" l="1"/>
  <c r="L180" i="9"/>
  <c r="M127" i="9"/>
  <c r="L177" i="9"/>
  <c r="L96" i="9"/>
  <c r="L123" i="9"/>
  <c r="K170" i="9"/>
  <c r="K156" i="9"/>
  <c r="L156" i="9"/>
  <c r="L158" i="9"/>
  <c r="K158" i="9"/>
  <c r="N125" i="9"/>
  <c r="N175" i="9" s="1"/>
  <c r="N93" i="9"/>
  <c r="N96" i="9" s="1"/>
  <c r="M96" i="9"/>
  <c r="M166" i="9"/>
  <c r="N9" i="8" s="1"/>
  <c r="L48" i="9"/>
  <c r="I50" i="13" s="1"/>
  <c r="L106" i="9"/>
  <c r="L149" i="9" s="1"/>
  <c r="L24" i="9"/>
  <c r="L9" i="8"/>
  <c r="M40" i="9"/>
  <c r="M73" i="9"/>
  <c r="M156" i="9" s="1"/>
  <c r="G182" i="9"/>
  <c r="G183" i="9" s="1"/>
  <c r="L167" i="9" l="1"/>
  <c r="N127" i="9"/>
  <c r="N177" i="9" s="1"/>
  <c r="N180" i="9" s="1"/>
  <c r="M177" i="9"/>
  <c r="M180" i="9" s="1"/>
  <c r="K167" i="9"/>
  <c r="M123" i="9"/>
  <c r="L170" i="9"/>
  <c r="M6" i="8"/>
  <c r="I17" i="13"/>
  <c r="L25" i="9"/>
  <c r="M158" i="9"/>
  <c r="M167" i="9" s="1"/>
  <c r="I47" i="13"/>
  <c r="N166" i="9"/>
  <c r="O9" i="8" s="1"/>
  <c r="M43" i="9"/>
  <c r="N40" i="9"/>
  <c r="N43" i="9" s="1"/>
  <c r="N73" i="9"/>
  <c r="N158" i="9" s="1"/>
  <c r="G185" i="9"/>
  <c r="H183" i="9"/>
  <c r="N123" i="9" l="1"/>
  <c r="N170" i="9" s="1"/>
  <c r="M170" i="9"/>
  <c r="N156" i="9"/>
  <c r="M48" i="9"/>
  <c r="M24" i="9"/>
  <c r="M106" i="9"/>
  <c r="M149" i="9" s="1"/>
  <c r="N48" i="9"/>
  <c r="N24" i="9"/>
  <c r="N106" i="9"/>
  <c r="N167" i="9"/>
  <c r="I183" i="9"/>
  <c r="H185" i="9"/>
  <c r="N149" i="9" l="1"/>
  <c r="J17" i="13"/>
  <c r="J50" i="13"/>
  <c r="N6" i="8"/>
  <c r="M25" i="9"/>
  <c r="J47" i="13"/>
  <c r="K17" i="13"/>
  <c r="N25" i="9"/>
  <c r="K47" i="13"/>
  <c r="O6" i="8"/>
  <c r="K50" i="13"/>
  <c r="I185" i="9"/>
  <c r="H35" i="8"/>
  <c r="I35" i="8" s="1"/>
  <c r="J35" i="8" s="1"/>
  <c r="J24" i="14"/>
  <c r="P24" i="14" l="1"/>
  <c r="O24" i="14"/>
  <c r="C38" i="12" l="1"/>
  <c r="R38" i="12" s="1"/>
  <c r="E38" i="12"/>
  <c r="S38" i="12" l="1"/>
  <c r="K27" i="12"/>
  <c r="L27" i="12" s="1"/>
  <c r="K32" i="12"/>
  <c r="K33" i="12" l="1"/>
  <c r="M27" i="12"/>
  <c r="O27" i="12"/>
  <c r="K36" i="12"/>
  <c r="N27" i="12"/>
  <c r="K35" i="12"/>
  <c r="L34" i="12"/>
  <c r="I11" i="14" s="1"/>
  <c r="O11" i="14" s="1"/>
  <c r="J26" i="14" s="1"/>
  <c r="L33" i="12"/>
  <c r="J11" i="14" s="1"/>
  <c r="P11" i="14" s="1"/>
  <c r="K26" i="14" s="1"/>
  <c r="L36" i="12"/>
  <c r="G11" i="14" s="1"/>
  <c r="M11" i="14" s="1"/>
  <c r="H26" i="14" s="1"/>
  <c r="M26" i="14" s="1"/>
  <c r="L35" i="12"/>
  <c r="H11" i="14" s="1"/>
  <c r="N11" i="14" s="1"/>
  <c r="I26" i="14" s="1"/>
  <c r="L32" i="12"/>
  <c r="K11" i="14" s="1"/>
  <c r="Q11" i="14" s="1"/>
  <c r="L26" i="14" s="1"/>
  <c r="O33" i="12"/>
  <c r="J14" i="14" s="1"/>
  <c r="P14" i="14" s="1"/>
  <c r="K29" i="14" s="1"/>
  <c r="O32" i="12"/>
  <c r="K14" i="14" s="1"/>
  <c r="Q14" i="14" s="1"/>
  <c r="L29" i="14" s="1"/>
  <c r="O35" i="12"/>
  <c r="H14" i="14" s="1"/>
  <c r="N14" i="14" s="1"/>
  <c r="I29" i="14" s="1"/>
  <c r="K34" i="12"/>
  <c r="K38" i="12" s="1"/>
  <c r="L38" i="12" s="1"/>
  <c r="N26" i="14" l="1"/>
  <c r="N33" i="12"/>
  <c r="J13" i="14" s="1"/>
  <c r="P13" i="14" s="1"/>
  <c r="K28" i="14" s="1"/>
  <c r="N34" i="12"/>
  <c r="I13" i="14" s="1"/>
  <c r="O13" i="14" s="1"/>
  <c r="J28" i="14" s="1"/>
  <c r="N35" i="12"/>
  <c r="H13" i="14" s="1"/>
  <c r="N13" i="14" s="1"/>
  <c r="I28" i="14" s="1"/>
  <c r="N36" i="12"/>
  <c r="G13" i="14" s="1"/>
  <c r="M13" i="14" s="1"/>
  <c r="H28" i="14" s="1"/>
  <c r="M28" i="14" s="1"/>
  <c r="N32" i="12"/>
  <c r="K13" i="14" s="1"/>
  <c r="Q13" i="14" s="1"/>
  <c r="L28" i="14" s="1"/>
  <c r="Q28" i="14" s="1"/>
  <c r="M35" i="12"/>
  <c r="H12" i="14" s="1"/>
  <c r="N12" i="14" s="1"/>
  <c r="I27" i="14" s="1"/>
  <c r="M33" i="12"/>
  <c r="J12" i="14" s="1"/>
  <c r="P12" i="14" s="1"/>
  <c r="K27" i="14" s="1"/>
  <c r="M34" i="12"/>
  <c r="I12" i="14" s="1"/>
  <c r="O12" i="14" s="1"/>
  <c r="J27" i="14" s="1"/>
  <c r="M32" i="12"/>
  <c r="K12" i="14" s="1"/>
  <c r="Q12" i="14" s="1"/>
  <c r="L27" i="14" s="1"/>
  <c r="M36" i="12"/>
  <c r="G12" i="14" s="1"/>
  <c r="M12" i="14" s="1"/>
  <c r="H27" i="14" s="1"/>
  <c r="M27" i="14" s="1"/>
  <c r="O36" i="12"/>
  <c r="G14" i="14" s="1"/>
  <c r="M14" i="14" s="1"/>
  <c r="H29" i="14" s="1"/>
  <c r="M29" i="14" s="1"/>
  <c r="O34" i="12"/>
  <c r="I14" i="14" s="1"/>
  <c r="O14" i="14" s="1"/>
  <c r="J29" i="14" s="1"/>
  <c r="P29" i="14" s="1"/>
  <c r="Q26" i="14"/>
  <c r="P26" i="14"/>
  <c r="N38" i="12"/>
  <c r="Q29" i="14"/>
  <c r="O26" i="14"/>
  <c r="M38" i="12"/>
  <c r="O38" i="12"/>
  <c r="Q27" i="14" l="1"/>
  <c r="O28" i="14"/>
  <c r="O29" i="14"/>
  <c r="P28" i="14"/>
  <c r="N27" i="14"/>
  <c r="N29" i="14"/>
  <c r="P27" i="14"/>
  <c r="N28" i="14"/>
  <c r="O27" i="14"/>
  <c r="K8" i="8"/>
  <c r="L8" i="8"/>
  <c r="M8" i="8"/>
  <c r="N8" i="8"/>
  <c r="O8" i="8"/>
  <c r="K11" i="8"/>
  <c r="L11" i="8"/>
  <c r="M11" i="8"/>
  <c r="N11" i="8"/>
  <c r="O11" i="8"/>
  <c r="K12" i="8"/>
  <c r="L12" i="8"/>
  <c r="M12" i="8"/>
  <c r="N12" i="8"/>
  <c r="O12" i="8"/>
  <c r="T15" i="8"/>
  <c r="T18" i="8"/>
  <c r="T20" i="8"/>
  <c r="T21" i="8"/>
  <c r="T23" i="8"/>
  <c r="C25" i="8"/>
  <c r="T25" i="8"/>
  <c r="T31" i="8"/>
  <c r="T34" i="8"/>
  <c r="C35" i="8"/>
  <c r="J27" i="9"/>
  <c r="K27" i="9"/>
  <c r="L27" i="9"/>
  <c r="M27" i="9"/>
  <c r="N27" i="9"/>
  <c r="J28" i="9"/>
  <c r="K28" i="9"/>
  <c r="L28" i="9"/>
  <c r="M28" i="9"/>
  <c r="N28" i="9"/>
  <c r="J50" i="9"/>
  <c r="K50" i="9"/>
  <c r="L50" i="9"/>
  <c r="M50" i="9"/>
  <c r="N50" i="9"/>
  <c r="J52" i="9"/>
  <c r="K52" i="9"/>
  <c r="L52" i="9"/>
  <c r="M52" i="9"/>
  <c r="N52" i="9"/>
  <c r="J53" i="9"/>
  <c r="K53" i="9"/>
  <c r="L53" i="9"/>
  <c r="M53" i="9"/>
  <c r="N53" i="9"/>
  <c r="J54" i="9"/>
  <c r="K54" i="9"/>
  <c r="L54" i="9"/>
  <c r="M54" i="9"/>
  <c r="N54" i="9"/>
  <c r="J57" i="9"/>
  <c r="K57" i="9"/>
  <c r="L57" i="9"/>
  <c r="M57" i="9"/>
  <c r="N57" i="9"/>
  <c r="J60" i="9"/>
  <c r="K60" i="9"/>
  <c r="L60" i="9"/>
  <c r="M60" i="9"/>
  <c r="N60" i="9"/>
  <c r="J62" i="9"/>
  <c r="K62" i="9"/>
  <c r="L62" i="9"/>
  <c r="M62" i="9"/>
  <c r="N62" i="9"/>
  <c r="J71" i="9"/>
  <c r="K71" i="9"/>
  <c r="L71" i="9"/>
  <c r="M71" i="9"/>
  <c r="N71" i="9"/>
  <c r="J72" i="9"/>
  <c r="K72" i="9"/>
  <c r="L72" i="9"/>
  <c r="M72" i="9"/>
  <c r="N72" i="9"/>
  <c r="J82" i="9"/>
  <c r="K82" i="9"/>
  <c r="L82" i="9"/>
  <c r="M82" i="9"/>
  <c r="N82" i="9"/>
  <c r="J98" i="9"/>
  <c r="K98" i="9"/>
  <c r="L98" i="9"/>
  <c r="M98" i="9"/>
  <c r="N98" i="9"/>
  <c r="J99" i="9"/>
  <c r="K99" i="9"/>
  <c r="L99" i="9"/>
  <c r="M99" i="9"/>
  <c r="N99" i="9"/>
  <c r="J100" i="9"/>
  <c r="K100" i="9"/>
  <c r="L100" i="9"/>
  <c r="M100" i="9"/>
  <c r="N100" i="9"/>
  <c r="J108" i="9"/>
  <c r="K108" i="9"/>
  <c r="L108" i="9"/>
  <c r="M108" i="9"/>
  <c r="N108" i="9"/>
  <c r="J112" i="9"/>
  <c r="K112" i="9"/>
  <c r="L112" i="9"/>
  <c r="M112" i="9"/>
  <c r="N112" i="9"/>
  <c r="J117" i="9"/>
  <c r="K117" i="9"/>
  <c r="L117" i="9"/>
  <c r="M117" i="9"/>
  <c r="N117" i="9"/>
  <c r="J120" i="9"/>
  <c r="K120" i="9"/>
  <c r="L120" i="9"/>
  <c r="M120" i="9"/>
  <c r="N120" i="9"/>
  <c r="J126" i="9"/>
  <c r="K126" i="9"/>
  <c r="L126" i="9"/>
  <c r="M126" i="9"/>
  <c r="N126" i="9"/>
  <c r="J128" i="9"/>
  <c r="K128" i="9"/>
  <c r="L128" i="9"/>
  <c r="M128" i="9"/>
  <c r="N128" i="9"/>
  <c r="J130" i="9"/>
  <c r="K130" i="9"/>
  <c r="L130" i="9"/>
  <c r="M130" i="9"/>
  <c r="N130" i="9"/>
  <c r="J137" i="9"/>
  <c r="K137" i="9"/>
  <c r="L137" i="9"/>
  <c r="M137" i="9"/>
  <c r="N137" i="9"/>
  <c r="J150" i="9"/>
  <c r="K150" i="9"/>
  <c r="L150" i="9"/>
  <c r="M150" i="9"/>
  <c r="N150" i="9"/>
  <c r="J153" i="9"/>
  <c r="K153" i="9"/>
  <c r="L153" i="9"/>
  <c r="M153" i="9"/>
  <c r="N153" i="9"/>
  <c r="J182" i="9"/>
  <c r="K182" i="9"/>
  <c r="L182" i="9"/>
  <c r="M182" i="9"/>
  <c r="N182" i="9"/>
  <c r="J183" i="9"/>
  <c r="K183" i="9"/>
  <c r="L183" i="9"/>
  <c r="M183" i="9"/>
  <c r="N183" i="9"/>
  <c r="G7" i="13"/>
  <c r="H7" i="13"/>
  <c r="I7" i="13"/>
  <c r="J7" i="13"/>
  <c r="K7" i="13"/>
  <c r="G8" i="13"/>
  <c r="H8" i="13"/>
  <c r="I8" i="13"/>
  <c r="J8" i="13"/>
  <c r="K8" i="13"/>
  <c r="G9" i="13"/>
  <c r="H9" i="13"/>
  <c r="I9" i="13"/>
  <c r="J9" i="13"/>
  <c r="K9" i="13"/>
  <c r="G10" i="13"/>
  <c r="H10" i="13"/>
  <c r="I10" i="13"/>
  <c r="J10" i="13"/>
  <c r="K10" i="13"/>
  <c r="G11" i="13"/>
  <c r="H11" i="13"/>
  <c r="I11" i="13"/>
  <c r="J11" i="13"/>
  <c r="K11" i="13"/>
  <c r="G12" i="13"/>
  <c r="H12" i="13"/>
  <c r="I12" i="13"/>
  <c r="J12" i="13"/>
  <c r="K12" i="13"/>
  <c r="G13" i="13"/>
  <c r="H13" i="13"/>
  <c r="I13" i="13"/>
  <c r="J13" i="13"/>
  <c r="K13" i="13"/>
  <c r="G16" i="13"/>
  <c r="H16" i="13"/>
  <c r="I16" i="13"/>
  <c r="J16" i="13"/>
  <c r="K16" i="13"/>
  <c r="G18" i="13"/>
  <c r="H18" i="13"/>
  <c r="I18" i="13"/>
  <c r="J18" i="13"/>
  <c r="K18" i="13"/>
  <c r="G19" i="13"/>
  <c r="H19" i="13"/>
  <c r="I19" i="13"/>
  <c r="J19" i="13"/>
  <c r="K19" i="13"/>
  <c r="G21" i="13"/>
  <c r="H21" i="13"/>
  <c r="I21" i="13"/>
  <c r="J21" i="13"/>
  <c r="K21" i="13"/>
  <c r="G22" i="13"/>
  <c r="H22" i="13"/>
  <c r="I22" i="13"/>
  <c r="J22" i="13"/>
  <c r="K22" i="13"/>
  <c r="G23" i="13"/>
  <c r="H23" i="13"/>
  <c r="I23" i="13"/>
  <c r="J23" i="13"/>
  <c r="K23" i="13"/>
  <c r="G25" i="13"/>
  <c r="H25" i="13"/>
  <c r="I25" i="13"/>
  <c r="J25" i="13"/>
  <c r="K25" i="13"/>
  <c r="G31" i="13"/>
  <c r="H31" i="13"/>
  <c r="I31" i="13"/>
  <c r="J31" i="13"/>
  <c r="K31" i="13"/>
  <c r="G33" i="13"/>
  <c r="H33" i="13"/>
  <c r="I33" i="13"/>
  <c r="J33" i="13"/>
  <c r="K33" i="13"/>
  <c r="G34" i="13"/>
  <c r="H34" i="13"/>
  <c r="I34" i="13"/>
  <c r="J34" i="13"/>
  <c r="K34" i="13"/>
  <c r="G35" i="13"/>
  <c r="H35" i="13"/>
  <c r="I35" i="13"/>
  <c r="J35" i="13"/>
  <c r="K35" i="13"/>
  <c r="G36" i="13"/>
  <c r="H36" i="13"/>
  <c r="I36" i="13"/>
  <c r="J36" i="13"/>
  <c r="K36" i="13"/>
  <c r="G37" i="13"/>
  <c r="H37" i="13"/>
  <c r="I37" i="13"/>
  <c r="J37" i="13"/>
  <c r="K37" i="13"/>
  <c r="G39" i="13"/>
  <c r="H39" i="13"/>
  <c r="I39" i="13"/>
  <c r="J39" i="13"/>
  <c r="K39" i="13"/>
  <c r="G40" i="13"/>
  <c r="H40" i="13"/>
  <c r="I40" i="13"/>
  <c r="J40" i="13"/>
  <c r="K40" i="13"/>
  <c r="G41" i="13"/>
  <c r="H41" i="13"/>
  <c r="I41" i="13"/>
  <c r="J41" i="13"/>
  <c r="K41" i="13"/>
  <c r="G42" i="13"/>
  <c r="H42" i="13"/>
  <c r="I42" i="13"/>
  <c r="J42" i="13"/>
  <c r="K42" i="13"/>
  <c r="G43" i="13"/>
  <c r="H43" i="13"/>
  <c r="I43" i="13"/>
  <c r="J43" i="13"/>
  <c r="K43" i="13"/>
  <c r="G44" i="13"/>
  <c r="H44" i="13"/>
  <c r="I44" i="13"/>
  <c r="J44" i="13"/>
  <c r="K44" i="13"/>
  <c r="G45" i="13"/>
  <c r="H45" i="13"/>
  <c r="I45" i="13"/>
  <c r="J45" i="13"/>
  <c r="K45" i="13"/>
  <c r="G46" i="13"/>
  <c r="H46" i="13"/>
  <c r="I46" i="13"/>
  <c r="J46" i="13"/>
  <c r="K46" i="13"/>
  <c r="G51" i="13"/>
  <c r="H51" i="13"/>
  <c r="I51" i="13"/>
  <c r="J51" i="13"/>
  <c r="K51" i="13"/>
  <c r="G54" i="13"/>
  <c r="H54" i="13"/>
  <c r="I54" i="13"/>
  <c r="J54" i="13"/>
  <c r="K54" i="13"/>
  <c r="G57" i="13"/>
  <c r="H57" i="13"/>
  <c r="I57" i="13"/>
  <c r="J57" i="13"/>
  <c r="K57" i="13"/>
  <c r="G58" i="13"/>
  <c r="H58" i="13"/>
  <c r="I58" i="13"/>
  <c r="J58" i="13"/>
  <c r="K58" i="13"/>
  <c r="G59" i="13"/>
  <c r="H59" i="13"/>
  <c r="I59" i="13"/>
  <c r="J59" i="13"/>
  <c r="K59" i="13"/>
  <c r="G61" i="13"/>
  <c r="H61" i="13"/>
  <c r="I61" i="13"/>
  <c r="J61" i="13"/>
  <c r="K61" i="13"/>
  <c r="G64" i="13"/>
  <c r="H64" i="13"/>
  <c r="I64" i="13"/>
  <c r="J64" i="13"/>
  <c r="K64" i="13"/>
  <c r="G65" i="13"/>
  <c r="H65" i="13"/>
  <c r="I65" i="13"/>
  <c r="J65" i="13"/>
  <c r="K65" i="13"/>
  <c r="G66" i="13"/>
  <c r="H66" i="13"/>
  <c r="I66" i="13"/>
  <c r="J66" i="13"/>
  <c r="K66" i="13"/>
  <c r="L16" i="14"/>
  <c r="M16" i="14"/>
  <c r="N16" i="14"/>
  <c r="O16" i="14"/>
  <c r="P16" i="14"/>
  <c r="Q16" i="14"/>
  <c r="H31" i="14"/>
  <c r="I31" i="14"/>
  <c r="J31" i="14"/>
  <c r="K31" i="14"/>
  <c r="L31" i="14"/>
  <c r="M31" i="14"/>
  <c r="N31" i="14"/>
  <c r="O31" i="14"/>
  <c r="P31" i="14"/>
  <c r="Q31" i="14"/>
</calcChain>
</file>

<file path=xl/comments1.xml><?xml version="1.0" encoding="utf-8"?>
<comments xmlns="http://schemas.openxmlformats.org/spreadsheetml/2006/main">
  <authors>
    <author>Ashton Wu</author>
  </authors>
  <commentList>
    <comment ref="B53" authorId="0">
      <text>
        <r>
          <rPr>
            <b/>
            <sz val="8"/>
            <color indexed="81"/>
            <rFont val="Tahoma"/>
            <family val="2"/>
          </rPr>
          <t>Ashton Wu:</t>
        </r>
        <r>
          <rPr>
            <sz val="8"/>
            <color indexed="81"/>
            <rFont val="Tahoma"/>
            <family val="2"/>
          </rPr>
          <t xml:space="preserve">
Important for Tax Rate</t>
        </r>
      </text>
    </comment>
    <comment ref="H128" authorId="0">
      <text>
        <r>
          <rPr>
            <b/>
            <sz val="8"/>
            <color indexed="81"/>
            <rFont val="Tahoma"/>
            <family val="2"/>
          </rPr>
          <t>Ashton Wu:</t>
        </r>
        <r>
          <rPr>
            <sz val="8"/>
            <color indexed="81"/>
            <rFont val="Tahoma"/>
            <family val="2"/>
          </rPr>
          <t xml:space="preserve">
2391 Noncontrolling interest</t>
        </r>
      </text>
    </comment>
  </commentList>
</comments>
</file>

<file path=xl/comments2.xml><?xml version="1.0" encoding="utf-8"?>
<comments xmlns="http://schemas.openxmlformats.org/spreadsheetml/2006/main">
  <authors>
    <author>Ashton Wu</author>
  </authors>
  <commentList>
    <comment ref="F14" authorId="0">
      <text>
        <r>
          <rPr>
            <b/>
            <sz val="8"/>
            <color indexed="81"/>
            <rFont val="Tahoma"/>
            <family val="2"/>
          </rPr>
          <t>Ashton Wu:</t>
        </r>
        <r>
          <rPr>
            <sz val="8"/>
            <color indexed="81"/>
            <rFont val="Tahoma"/>
            <family val="2"/>
          </rPr>
          <t xml:space="preserve">
Stock-Based Compensation calculated from Financing portion of Cash Flow</t>
        </r>
      </text>
    </comment>
  </commentList>
</comments>
</file>

<file path=xl/comments3.xml><?xml version="1.0" encoding="utf-8"?>
<comments xmlns="http://schemas.openxmlformats.org/spreadsheetml/2006/main">
  <authors>
    <author>Trojan Employee</author>
    <author>Yuri</author>
  </authors>
  <commentList>
    <comment ref="B7" authorId="0">
      <text>
        <r>
          <rPr>
            <sz val="8"/>
            <color indexed="81"/>
            <rFont val="Tahoma"/>
            <family val="2"/>
          </rPr>
          <t>(Market price per share) / (Net income per share): P/E ratio is the best indicatorof how investors judge the firm's future performance.  Often one-time charges and credits to income are excluded from the earnings per share figure. (p. 398)</t>
        </r>
      </text>
    </comment>
    <comment ref="B8" authorId="0">
      <text>
        <r>
          <rPr>
            <sz val="8"/>
            <color indexed="81"/>
            <rFont val="Tahoma"/>
            <family val="2"/>
          </rPr>
          <t>(Net income + Interest(1-tax rate)) / (total assets):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(all capital in this case), excluding the cost of the funds in the pool.</t>
        </r>
      </text>
    </comment>
    <comment ref="B9" authorId="1">
      <text>
        <r>
          <rPr>
            <sz val="8"/>
            <color indexed="81"/>
            <rFont val="Tahoma"/>
            <family val="2"/>
          </rPr>
          <t>(EBIT - taxes) / assets
FCF p. 452, 456</t>
        </r>
      </text>
    </comment>
    <comment ref="B10" authorId="0">
      <text>
        <r>
          <rPr>
            <sz val="8"/>
            <color indexed="81"/>
            <rFont val="Tahoma"/>
            <family val="2"/>
          </rPr>
          <t>(Net income + Interest(1-tax rate)) / (long-term liabilities + equity):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(permanent capital in this case), excluding the cost of the funds in the pool.</t>
        </r>
      </text>
    </comment>
    <comment ref="B11" authorId="0">
      <text>
        <r>
          <rPr>
            <sz val="8"/>
            <color indexed="81"/>
            <rFont val="Tahoma"/>
            <family val="2"/>
          </rPr>
          <t>(Net income + Interest(1-tax rate)) / (long-term liabilities + current portion of LTD + equity):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(permanent capital in this case), excluding the cost of the funds in the pool.</t>
        </r>
      </text>
    </comment>
    <comment ref="B12" authorId="0">
      <text>
        <r>
          <rPr>
            <sz val="8"/>
            <color indexed="81"/>
            <rFont val="Tahoma"/>
            <family val="2"/>
          </rPr>
          <t>EBIT/(long-term liabilities + equity):
similar to ROIC</t>
        </r>
      </text>
    </comment>
    <comment ref="B13" authorId="0">
      <text>
        <r>
          <rPr>
            <sz val="8"/>
            <color indexed="81"/>
            <rFont val="Tahoma"/>
            <family val="2"/>
          </rPr>
          <t>(net income)/equity:
in this case interest expense is included since interest accruing to the shareholders must reflect that payments (in the form of interest) have been made to the creditors for the use of their funds (p. 396)</t>
        </r>
      </text>
    </comment>
    <comment ref="B15" authorId="0">
      <text>
        <r>
          <rPr>
            <sz val="8"/>
            <color indexed="81"/>
            <rFont val="Tahoma"/>
            <family val="2"/>
          </rPr>
          <t>(gross margin)/(sales revenue): it measures the percentage of each sales dollar a company earns before considering period costs.</t>
        </r>
      </text>
    </comment>
    <comment ref="B16" authorId="0">
      <text>
        <r>
          <rPr>
            <sz val="8"/>
            <color indexed="81"/>
            <rFont val="Tahoma"/>
            <family val="2"/>
          </rPr>
          <t>(net income)/(net sales revenues): ROS
one of the most important measures of performance, but be careful - it does not take into account money invested.  Highly capital intensive companies could have a high profit margin, but low ROE.  Conversely, supermarkets have a high ROE but low ROS (p. 399).</t>
        </r>
      </text>
    </comment>
    <comment ref="B17" authorId="0">
      <text>
        <r>
          <rPr>
            <sz val="8"/>
            <color indexed="81"/>
            <rFont val="Tahoma"/>
            <family val="2"/>
          </rPr>
          <t>(EBIT)/(net sales revenues)</t>
        </r>
      </text>
    </comment>
    <comment ref="B18" authorId="1">
      <text>
        <r>
          <rPr>
            <sz val="8"/>
            <color indexed="81"/>
            <rFont val="Tahoma"/>
            <family val="2"/>
          </rPr>
          <t>(EBIT - taxes) / Sales
FCF p. 451</t>
        </r>
      </text>
    </comment>
    <comment ref="B19" authorId="0">
      <text>
        <r>
          <rPr>
            <sz val="8"/>
            <color indexed="81"/>
            <rFont val="Tahoma"/>
            <family val="2"/>
          </rPr>
          <t>(net income)/(net shares outstanding):
a measure of the company's per share performance over time.  The income used for basic earnings per share is the amount that remains after the claims of the senior securities have been deducted from net income (p. 263).</t>
        </r>
      </text>
    </comment>
    <comment ref="B21" authorId="0">
      <text>
        <r>
          <rPr>
            <sz val="8"/>
            <color indexed="81"/>
            <rFont val="Tahoma"/>
            <family val="2"/>
          </rPr>
          <t>(sales revenues)/(total assets):
this ratio is a multiplier in determining ROE/ROI.  A company with a higher asset turnover will require lower gross margins to attain the same ROE when compared to another company in the same industry with a lower asset turnover (p. 399).</t>
        </r>
      </text>
    </comment>
    <comment ref="B22" authorId="0">
      <text>
        <r>
          <rPr>
            <sz val="8"/>
            <color indexed="81"/>
            <rFont val="Tahoma"/>
            <family val="2"/>
          </rPr>
          <t>(sales revenues) / (longterm liabilities + equity):
see comments on asset turnover (p. 400).</t>
        </r>
      </text>
    </comment>
    <comment ref="B23" authorId="0">
      <text>
        <r>
          <rPr>
            <sz val="8"/>
            <color indexed="81"/>
            <rFont val="Tahoma"/>
            <family val="2"/>
          </rPr>
          <t>(sales revenues) / (equity):
see comments on asset turnover (p. 400).</t>
        </r>
      </text>
    </comment>
    <comment ref="B24" authorId="0">
      <text>
        <r>
          <rPr>
            <sz val="8"/>
            <color indexed="81"/>
            <rFont val="Tahoma"/>
            <family val="2"/>
          </rPr>
          <t>(sales revenues)/(property, plant and equipment):
companies with low capital intensity ratio (or conversely high plant to sales) are particularly vulnerable to cyclical fluctuations in business activity.  Because costs associated with plant are relatively fixed, they are unable to cover these costs during downturns (e.g. steel, pulp &amp; paper) (p. 400).</t>
        </r>
      </text>
    </comment>
    <comment ref="B25" authorId="0">
      <text>
        <r>
          <rPr>
            <sz val="8"/>
            <color indexed="81"/>
            <rFont val="Tahoma"/>
            <family val="2"/>
          </rPr>
          <t>(cash)/(cash expenses/365):
how many days' bills the cash on hand will pay; cash expenses can be calculated roughly by subtracting depreciation expenses from total expenses.  Some analysists use cash + marketable securities to estimate short term liquidity (p. 134).</t>
        </r>
      </text>
    </comment>
    <comment ref="B26" authorId="0">
      <text>
        <r>
          <rPr>
            <sz val="8"/>
            <color indexed="81"/>
            <rFont val="Tahoma"/>
            <family val="2"/>
          </rPr>
          <t>(gross accounts receivable)/(sales/365):
a measure of how many days' sales have not yet been paid for (p. 135)</t>
        </r>
      </text>
    </comment>
    <comment ref="B27" authorId="0">
      <text>
        <r>
          <rPr>
            <sz val="8"/>
            <color indexed="81"/>
            <rFont val="Tahoma"/>
            <family val="2"/>
          </rPr>
          <t>(net accounts receivable)/(sales/365):
a measure of how many days' sales have not yet been paid for (p. 135)</t>
        </r>
      </text>
    </comment>
    <comment ref="B28" authorId="0">
      <text>
        <r>
          <rPr>
            <sz val="8"/>
            <color indexed="81"/>
            <rFont val="Tahoma"/>
            <family val="2"/>
          </rPr>
          <t>(inventory)/(cost of sales / 365):
the number of days' inventory on hand.  Note that LIFO and FIFO will impact this number (p. 167)</t>
        </r>
      </text>
    </comment>
    <comment ref="B30" authorId="0">
      <text>
        <r>
          <rPr>
            <sz val="8"/>
            <color indexed="81"/>
            <rFont val="Tahoma"/>
            <family val="2"/>
          </rPr>
          <t>(cost of goods sold)/(inventory):
number of times the inventory turns over per year (p. 166).</t>
        </r>
      </text>
    </comment>
    <comment ref="B31" authorId="1">
      <text>
        <r>
          <rPr>
            <sz val="8"/>
            <color indexed="81"/>
            <rFont val="Tahoma"/>
            <family val="2"/>
          </rPr>
          <t>(sales revenues)/(working capital):
working capital = current assets - current liabilities (p. 400)</t>
        </r>
      </text>
    </comment>
    <comment ref="B33" authorId="1">
      <text>
        <r>
          <rPr>
            <sz val="8"/>
            <color indexed="81"/>
            <rFont val="Tahoma"/>
            <family val="2"/>
          </rPr>
          <t>(current assets - current liabilities) / total assets:
FCF p. 447</t>
        </r>
      </text>
    </comment>
    <comment ref="B34" authorId="1">
      <text>
        <r>
          <rPr>
            <sz val="8"/>
            <color indexed="81"/>
            <rFont val="Tahoma"/>
            <family val="2"/>
          </rPr>
          <t>(current assets) / (current liabilities):
a measure of liquidity and a measure of the margin of safety management maintains (p. 133).</t>
        </r>
      </text>
    </comment>
    <comment ref="B35" authorId="1">
      <text>
        <r>
          <rPr>
            <sz val="8"/>
            <color indexed="81"/>
            <rFont val="Tahoma"/>
            <family val="2"/>
          </rPr>
          <t>(Monetary current assets) / (current liabilities):
Quick assets are those that can be converted to cash quickly - exlcudes inventories and pre-paid expenses.  Use A/R if collecting well, otherwise remove A/R (p. 134).  Typically use cash + marketable securities + receivables.</t>
        </r>
      </text>
    </comment>
    <comment ref="B36" authorId="1">
      <text>
        <r>
          <rPr>
            <sz val="8"/>
            <color indexed="81"/>
            <rFont val="Tahoma"/>
            <family val="2"/>
          </rPr>
          <t>(cash + marketable securities) / (current liabilities)
See FCF p. 448.</t>
        </r>
      </text>
    </comment>
    <comment ref="B37" authorId="1">
      <text>
        <r>
          <rPr>
            <sz val="8"/>
            <color indexed="81"/>
            <rFont val="Tahoma"/>
            <family val="2"/>
          </rPr>
          <t>(cash+marketable securities+A/R) / (avg. daily expenditures from operations):
typically use COGS+selling and admin exp. (FCF p. 448)</t>
        </r>
      </text>
    </comment>
    <comment ref="B39" authorId="1">
      <text>
        <r>
          <rPr>
            <sz val="8"/>
            <color indexed="81"/>
            <rFont val="Tahoma"/>
            <family val="2"/>
          </rPr>
          <t xml:space="preserve">(assets) / (equity):
</t>
        </r>
      </text>
    </comment>
    <comment ref="B40" authorId="1">
      <text>
        <r>
          <rPr>
            <sz val="8"/>
            <color indexed="81"/>
            <rFont val="Tahoma"/>
            <family val="2"/>
          </rPr>
          <t>(longterm liabilites) / (equity):
a measure of how much the company is leveraged.  Shows the balance between the forces of risk and cost - debt is less expensive but has obligations, equity is more expensive but does not hold legal leverage against the company (p. 235)</t>
        </r>
      </text>
    </comment>
    <comment ref="B41" authorId="1">
      <text>
        <r>
          <rPr>
            <sz val="8"/>
            <color indexed="81"/>
            <rFont val="Tahoma"/>
            <family val="2"/>
          </rPr>
          <t>(total liabilites) / (equity):
a measure of how much the company is leveraged.  Shows the balance between the forces of risk and cost - debt is less expensive but has obligations, equity is more expensive but does not hold legal leverage against the company (p. 235)</t>
        </r>
      </text>
    </comment>
    <comment ref="B42" authorId="1">
      <text>
        <r>
          <rPr>
            <sz val="8"/>
            <color indexed="81"/>
            <rFont val="Tahoma"/>
            <family val="2"/>
          </rPr>
          <t>(longterm liabilities) / (longterm liabilities + equity): also called debt/capitalization ratio (p. 235)</t>
        </r>
      </text>
    </comment>
    <comment ref="B43" authorId="1">
      <text>
        <r>
          <rPr>
            <sz val="8"/>
            <color indexed="81"/>
            <rFont val="Tahoma"/>
            <family val="2"/>
          </rPr>
          <t>(long term debt + value of leases) / 
(long term debt + value of leases + equity):
FCF p. 444</t>
        </r>
      </text>
    </comment>
    <comment ref="B44" authorId="1">
      <text>
        <r>
          <rPr>
            <sz val="8"/>
            <color indexed="81"/>
            <rFont val="Tahoma"/>
            <family val="2"/>
          </rPr>
          <t>(interest bearing debt) / (equity):
FCF p. 444</t>
        </r>
      </text>
    </comment>
    <comment ref="B45" authorId="1">
      <text>
        <r>
          <rPr>
            <sz val="8"/>
            <color indexed="81"/>
            <rFont val="Tahoma"/>
            <family val="2"/>
          </rPr>
          <t>(liabilities) / (assets): FCF p. 444</t>
        </r>
      </text>
    </comment>
    <comment ref="B46" authorId="1">
      <text>
        <r>
          <rPr>
            <sz val="8"/>
            <color indexed="81"/>
            <rFont val="Tahoma"/>
            <family val="2"/>
          </rPr>
          <t>(pretax operating profit + interest) / (interest):
(pretax income before interest exp.) / (interest):
relationship between a company's pretax income before subtraction of interest expense to the interest expense (p. 235).</t>
        </r>
      </text>
    </comment>
    <comment ref="B47" authorId="1">
      <text>
        <r>
          <rPr>
            <sz val="8"/>
            <color indexed="81"/>
            <rFont val="Tahoma"/>
            <family val="2"/>
          </rPr>
          <t>(EBIT) / (interest):
FCF p. 445</t>
        </r>
      </text>
    </comment>
    <comment ref="B48" authorId="1">
      <text>
        <r>
          <rPr>
            <sz val="8"/>
            <color indexed="81"/>
            <rFont val="Tahoma"/>
            <family val="2"/>
          </rPr>
          <t>(principal repayment) / (1 - corp. tax rate):
FCF p. 445 - this amount is in dollars.  Use current portion of long term debt for principle repayment.</t>
        </r>
      </text>
    </comment>
    <comment ref="B49" authorId="1">
      <text>
        <r>
          <rPr>
            <sz val="8"/>
            <color indexed="81"/>
            <rFont val="Tahoma"/>
            <family val="2"/>
          </rPr>
          <t>(EBIT + lease payements) / (interest + lease payments + before tax cost of repayments of long-term debt):
Shows how many times greater is EBIT relative to the fixed payments that the company is obliged to make. (FCF p. 445)</t>
        </r>
      </text>
    </comment>
    <comment ref="B50" authorId="1">
      <text>
        <r>
          <rPr>
            <sz val="8"/>
            <color indexed="81"/>
            <rFont val="Tahoma"/>
            <family val="2"/>
          </rPr>
          <t>(EBIT + depr. + amortization) / (interest + before tax cost of long-term debt repayments):
FCF p. 446</t>
        </r>
      </text>
    </comment>
    <comment ref="B51" authorId="1">
      <text>
        <r>
          <rPr>
            <sz val="8"/>
            <color indexed="81"/>
            <rFont val="Tahoma"/>
            <family val="2"/>
          </rPr>
          <t xml:space="preserve">(cash from operations) / (total debt):
</t>
        </r>
      </text>
    </comment>
    <comment ref="B53" authorId="1">
      <text>
        <r>
          <rPr>
            <sz val="8"/>
            <color indexed="81"/>
            <rFont val="Tahoma"/>
            <family val="2"/>
          </rPr>
          <t>(dividends per share) / (market price per share):
sometimes compared to yield on bonds, but bonds do not increase in price - fair assessment could include a portion or all of income added to retained earnings (i.e. inverse of P/E ratio) (p. 402).</t>
        </r>
      </text>
    </comment>
    <comment ref="B54" authorId="1">
      <text>
        <r>
          <rPr>
            <sz val="8"/>
            <color indexed="81"/>
            <rFont val="Tahoma"/>
            <family val="2"/>
          </rPr>
          <t>(dividends)/(net income):
(p. 402)</t>
        </r>
      </text>
    </comment>
    <comment ref="B56" authorId="1">
      <text>
        <r>
          <rPr>
            <sz val="8"/>
            <color indexed="81"/>
            <rFont val="Tahoma"/>
            <family val="2"/>
          </rPr>
          <t>See p. 397</t>
        </r>
      </text>
    </comment>
    <comment ref="B57" authorId="1">
      <text>
        <r>
          <rPr>
            <sz val="8"/>
            <color indexed="81"/>
            <rFont val="Tahoma"/>
            <family val="2"/>
          </rPr>
          <t>(pretax income) / (sales revenues)</t>
        </r>
      </text>
    </comment>
    <comment ref="B60" authorId="1">
      <text>
        <r>
          <rPr>
            <sz val="8"/>
            <color indexed="81"/>
            <rFont val="Tahoma"/>
            <family val="2"/>
          </rPr>
          <t>(1 - Tax rate)</t>
        </r>
      </text>
    </comment>
    <comment ref="B63" authorId="1">
      <text>
        <r>
          <rPr>
            <sz val="8"/>
            <color indexed="81"/>
            <rFont val="Tahoma"/>
            <family val="2"/>
          </rPr>
          <t>See p. 397</t>
        </r>
      </text>
    </comment>
    <comment ref="B66" authorId="1">
      <text>
        <r>
          <rPr>
            <sz val="8"/>
            <color indexed="81"/>
            <rFont val="Tahoma"/>
            <family val="2"/>
          </rPr>
          <t>(EBIT - taxes) / Sales
FCF p. 456</t>
        </r>
      </text>
    </comment>
  </commentList>
</comments>
</file>

<file path=xl/comments4.xml><?xml version="1.0" encoding="utf-8"?>
<comments xmlns="http://schemas.openxmlformats.org/spreadsheetml/2006/main">
  <authors>
    <author>Alyssa</author>
  </authors>
  <commentList>
    <comment ref="T5" authorId="0">
      <text>
        <r>
          <rPr>
            <b/>
            <sz val="9"/>
            <color indexed="81"/>
            <rFont val="Tahoma"/>
            <family val="2"/>
          </rPr>
          <t>Alyssa:</t>
        </r>
        <r>
          <rPr>
            <sz val="9"/>
            <color indexed="81"/>
            <rFont val="Tahoma"/>
            <family val="2"/>
          </rPr>
          <t xml:space="preserve">
Historical Data = 0
Comparable Comp = 1</t>
        </r>
      </text>
    </comment>
    <comment ref="T12" authorId="0">
      <text>
        <r>
          <rPr>
            <b/>
            <sz val="9"/>
            <color indexed="81"/>
            <rFont val="Tahoma"/>
            <family val="2"/>
          </rPr>
          <t>Alyssa:</t>
        </r>
        <r>
          <rPr>
            <sz val="9"/>
            <color indexed="81"/>
            <rFont val="Tahoma"/>
            <family val="2"/>
          </rPr>
          <t xml:space="preserve">
Terminal Growth = 0
Multiple Growth = 1</t>
        </r>
      </text>
    </comment>
  </commentList>
</comments>
</file>

<file path=xl/sharedStrings.xml><?xml version="1.0" encoding="utf-8"?>
<sst xmlns="http://schemas.openxmlformats.org/spreadsheetml/2006/main" count="435" uniqueCount="364">
  <si>
    <t>Assets</t>
  </si>
  <si>
    <t>Equity</t>
  </si>
  <si>
    <t>Income Statement</t>
  </si>
  <si>
    <t>Cash</t>
  </si>
  <si>
    <t>EBITDA</t>
  </si>
  <si>
    <t>EBIT(1-t)</t>
  </si>
  <si>
    <t>Assumptions</t>
  </si>
  <si>
    <t>Beta</t>
  </si>
  <si>
    <t>Valuation Date:</t>
  </si>
  <si>
    <t>Company Name:</t>
  </si>
  <si>
    <t>Share Price:</t>
  </si>
  <si>
    <t xml:space="preserve">  Plus: Non-Cash Expenses</t>
  </si>
  <si>
    <t xml:space="preserve">  Less: Net Increase in Working Capital</t>
  </si>
  <si>
    <t xml:space="preserve">  Less: Capital Expenditures</t>
  </si>
  <si>
    <t>Unlevered Free Cash Flow</t>
  </si>
  <si>
    <t>PV of Free Cash Flow</t>
  </si>
  <si>
    <t xml:space="preserve">  Normal Discount Period</t>
  </si>
  <si>
    <t xml:space="preserve">  Mid-Year Discount Period</t>
  </si>
  <si>
    <t>Debt</t>
  </si>
  <si>
    <t>Interest Expense</t>
  </si>
  <si>
    <t>Tax Shield</t>
  </si>
  <si>
    <t>Tax Rate:</t>
  </si>
  <si>
    <t>PV of Tax Shield</t>
  </si>
  <si>
    <t>Assumptions &amp; Outputs</t>
  </si>
  <si>
    <t>Terminal EBITDA Multiples</t>
  </si>
  <si>
    <t>Terminal Growth Rate</t>
  </si>
  <si>
    <t>Terminal Value Method:</t>
  </si>
  <si>
    <t>Terminal EBITDA Multiples:</t>
  </si>
  <si>
    <t>Terminal Growth Rate:</t>
  </si>
  <si>
    <t>Growth on Tax Shield:</t>
  </si>
  <si>
    <t>Cost of Debt:</t>
  </si>
  <si>
    <t>PV of Cash Flow:</t>
  </si>
  <si>
    <t>Enterprise Value:</t>
  </si>
  <si>
    <t>Terminal Value % EV</t>
  </si>
  <si>
    <t xml:space="preserve">  Plus: Cash &amp; Investments</t>
  </si>
  <si>
    <t xml:space="preserve">  Less: Debts</t>
  </si>
  <si>
    <t xml:space="preserve">  Less: Minority Interest</t>
  </si>
  <si>
    <t xml:space="preserve">  Less: Preferred Stock</t>
  </si>
  <si>
    <t xml:space="preserve">  Less: Other Liabilities</t>
  </si>
  <si>
    <t>Implied Equity Value</t>
  </si>
  <si>
    <t>Implied Price Per Share:</t>
  </si>
  <si>
    <t>Diluted Shares Outstanding:</t>
  </si>
  <si>
    <t>Net Present Value - Sensitivity Analysis (Terminal Growth Rates)</t>
  </si>
  <si>
    <t>Discount Rate</t>
  </si>
  <si>
    <t>Net Present Vallue - Sensitivity Analysis (Terminal EBITDA Multiples)</t>
  </si>
  <si>
    <t>Tax Rate</t>
  </si>
  <si>
    <t>Comparable Companies - Unlevered Beta Calculation</t>
  </si>
  <si>
    <t>Name</t>
  </si>
  <si>
    <t>Median</t>
  </si>
  <si>
    <t>Levered</t>
  </si>
  <si>
    <t>Value</t>
  </si>
  <si>
    <t>Unlevered</t>
  </si>
  <si>
    <t>Risk-Free Rate:</t>
  </si>
  <si>
    <t>Market Rate:</t>
  </si>
  <si>
    <t>Market Debt:</t>
  </si>
  <si>
    <t>Market Equity:</t>
  </si>
  <si>
    <t>Levered Beta:</t>
  </si>
  <si>
    <t>Discount Rate Calculation</t>
  </si>
  <si>
    <t>Cost of Equity Based on Comparable Companies:</t>
  </si>
  <si>
    <t>Cost of Equity Based on Historical Beta:</t>
  </si>
  <si>
    <t>Unlevered Rate Based on Comparable Companies:</t>
  </si>
  <si>
    <t>Unlevered Rate Based on Historical Beta:</t>
  </si>
  <si>
    <t>Beta Based on:</t>
  </si>
  <si>
    <t>Cost of Equity:</t>
  </si>
  <si>
    <t>Unlevered Rate:</t>
  </si>
  <si>
    <t>Assumptions &amp; Overview</t>
  </si>
  <si>
    <t>Historical</t>
  </si>
  <si>
    <t>Projections</t>
  </si>
  <si>
    <t>EV / Revenue:</t>
  </si>
  <si>
    <t>EV / EBITDA:</t>
  </si>
  <si>
    <t>EV / EBIT:</t>
  </si>
  <si>
    <t>Equity Value / FCF:</t>
  </si>
  <si>
    <t>P / E:</t>
  </si>
  <si>
    <t>Revenue Growth %:</t>
  </si>
  <si>
    <t>Revenue</t>
  </si>
  <si>
    <t xml:space="preserve">  Less: COGS</t>
  </si>
  <si>
    <t>Sales Revenue:</t>
  </si>
  <si>
    <t>Gross Margin (Gross Profit):</t>
  </si>
  <si>
    <t xml:space="preserve">  Research &amp; Development</t>
  </si>
  <si>
    <t xml:space="preserve">  Loss (gain) on disposal 1:</t>
  </si>
  <si>
    <t xml:space="preserve">  Loss (gain) on disposal 2:</t>
  </si>
  <si>
    <t xml:space="preserve">  Sales &amp; Administrative expenses:</t>
  </si>
  <si>
    <t xml:space="preserve">  Other expenses:</t>
  </si>
  <si>
    <t xml:space="preserve">  Amortization of Intangible:</t>
  </si>
  <si>
    <t xml:space="preserve">  Stock-Based Compensation:</t>
  </si>
  <si>
    <t xml:space="preserve">  Other non-cash expenses:</t>
  </si>
  <si>
    <t>Income before interests and taxes:</t>
  </si>
  <si>
    <t xml:space="preserve">  Interest expenses:</t>
  </si>
  <si>
    <t>Income before taxes:</t>
  </si>
  <si>
    <t xml:space="preserve">  Provision for income taxes:</t>
  </si>
  <si>
    <t>Net income before extraordinary items:</t>
  </si>
  <si>
    <t xml:space="preserve">  Extraoridinary gain (loss) 3:</t>
  </si>
  <si>
    <t xml:space="preserve">  Extraoridinary gain (loss) 4:</t>
  </si>
  <si>
    <t>Net Income:</t>
  </si>
  <si>
    <t xml:space="preserve">  Less: Dividends</t>
  </si>
  <si>
    <t xml:space="preserve">  Other items:</t>
  </si>
  <si>
    <t>Balance Sheet</t>
  </si>
  <si>
    <t>Current Assets:</t>
  </si>
  <si>
    <t xml:space="preserve">  Cash (plug):</t>
  </si>
  <si>
    <t xml:space="preserve">  Cash:</t>
  </si>
  <si>
    <t xml:space="preserve">    Less: Allowance for bad debts:</t>
  </si>
  <si>
    <t xml:space="preserve">  Short-Term Securities:</t>
  </si>
  <si>
    <t xml:space="preserve">  Inventories:</t>
  </si>
  <si>
    <t xml:space="preserve">  Prepaid expenses:</t>
  </si>
  <si>
    <t xml:space="preserve">  Deferred Income Taxes:</t>
  </si>
  <si>
    <t xml:space="preserve">  Other current asset:</t>
  </si>
  <si>
    <t xml:space="preserve">    Total Current Assets:</t>
  </si>
  <si>
    <t>Non-Current Assets:</t>
  </si>
  <si>
    <t xml:space="preserve">  Land:</t>
  </si>
  <si>
    <t xml:space="preserve">  Gross fixed assets:</t>
  </si>
  <si>
    <t xml:space="preserve">    Accumulated depreciations:</t>
  </si>
  <si>
    <t xml:space="preserve">  Long-Term Securities:</t>
  </si>
  <si>
    <t xml:space="preserve">  Non-current deferred income taxes:</t>
  </si>
  <si>
    <t xml:space="preserve">  Other non-current assets:</t>
  </si>
  <si>
    <t xml:space="preserve">    Total Non-Current Assets:</t>
  </si>
  <si>
    <t>Total Asset:</t>
  </si>
  <si>
    <t>Total Asset (with plug):</t>
  </si>
  <si>
    <t xml:space="preserve">  Balance check</t>
  </si>
  <si>
    <t>Liabilities &amp; Shareholders' Equity</t>
  </si>
  <si>
    <t>Current Liabilities:</t>
  </si>
  <si>
    <t xml:space="preserve">  Account Payables:</t>
  </si>
  <si>
    <t xml:space="preserve">  Short-Term Debt:</t>
  </si>
  <si>
    <t xml:space="preserve">  Accrued Liabilities:</t>
  </si>
  <si>
    <t xml:space="preserve">  Deferred Revenue:</t>
  </si>
  <si>
    <t xml:space="preserve">  Income Tax Payable:</t>
  </si>
  <si>
    <t xml:space="preserve">  Current portion of long-term debt:</t>
  </si>
  <si>
    <t xml:space="preserve">  Other current liabilities:</t>
  </si>
  <si>
    <t xml:space="preserve">    Total Current Liabilities:</t>
  </si>
  <si>
    <t>Non-Current Liabilities:</t>
  </si>
  <si>
    <t xml:space="preserve">  Long-Term Debt (less current portion):</t>
  </si>
  <si>
    <t xml:space="preserve">  Minority Interest:</t>
  </si>
  <si>
    <t xml:space="preserve">  Other non-current liabilities:</t>
  </si>
  <si>
    <t xml:space="preserve">    Total Non-Current Liabilities:</t>
  </si>
  <si>
    <t>Shareholders' Equity:</t>
  </si>
  <si>
    <t>Addition to Equity:</t>
  </si>
  <si>
    <t xml:space="preserve">  Additional Paid-In Capital:</t>
  </si>
  <si>
    <t xml:space="preserve">  Common Stock:</t>
  </si>
  <si>
    <t xml:space="preserve">  Treasury Stock:</t>
  </si>
  <si>
    <t xml:space="preserve">  Retained Earnings:</t>
  </si>
  <si>
    <t xml:space="preserve">  Accumulated Other Comprehensive Income:</t>
  </si>
  <si>
    <t xml:space="preserve">    Total Shareholders' Equity:</t>
  </si>
  <si>
    <t>Total Liabilities &amp; Shareholder's Equity:</t>
  </si>
  <si>
    <t>Cash Flow Statement</t>
  </si>
  <si>
    <t>Operating Activities</t>
  </si>
  <si>
    <t xml:space="preserve">  Amortization of Intangibles:</t>
  </si>
  <si>
    <t xml:space="preserve">  Deferred Income Tax expenses:</t>
  </si>
  <si>
    <t>Changes in Operation:</t>
  </si>
  <si>
    <t xml:space="preserve">  Other current assets (increase):</t>
  </si>
  <si>
    <t xml:space="preserve">  Accounts Payables (decrease):</t>
  </si>
  <si>
    <t xml:space="preserve">  Deferred Revenues (decrease):</t>
  </si>
  <si>
    <t xml:space="preserve">  Other non-debt current liabilities (decrease):</t>
  </si>
  <si>
    <t>Cash Flow from Operations:</t>
  </si>
  <si>
    <t>Investing Activities</t>
  </si>
  <si>
    <t>Cash Flow from Investing:</t>
  </si>
  <si>
    <t>Financing Activities</t>
  </si>
  <si>
    <t>Proceeds from Common Stock:</t>
  </si>
  <si>
    <t>Common Stock Repurchased:</t>
  </si>
  <si>
    <t>Dividend Issued:</t>
  </si>
  <si>
    <t>Tax Benefit from Stock-Based Comp:</t>
  </si>
  <si>
    <t>Raise (payoff) of Long-Term Debt:</t>
  </si>
  <si>
    <t>Cash Flow from Financing:</t>
  </si>
  <si>
    <t>Increase / Decrease in Cash:</t>
  </si>
  <si>
    <t>Cash &amp; Cash Equivalents:</t>
  </si>
  <si>
    <t>Cash used for equity awards:</t>
  </si>
  <si>
    <t xml:space="preserve">  Adjustment for depreciation expenses:</t>
  </si>
  <si>
    <t xml:space="preserve">  Plant &amp; Equipment (net):</t>
  </si>
  <si>
    <t xml:space="preserve">  Goodwill:</t>
  </si>
  <si>
    <t xml:space="preserve">  Inventories (increase):</t>
  </si>
  <si>
    <t xml:space="preserve">  Accrued Liabilities (decrease):</t>
  </si>
  <si>
    <t>Purchase of Treasury Stock:</t>
  </si>
  <si>
    <t xml:space="preserve">  Depreciation and Amortization of PP&amp;E:</t>
  </si>
  <si>
    <t xml:space="preserve">  Adjustment for amortization expenses:</t>
  </si>
  <si>
    <t xml:space="preserve">  Accounts Receivable (increase):</t>
  </si>
  <si>
    <t xml:space="preserve">  Accounts Receivable (gross):</t>
  </si>
  <si>
    <t xml:space="preserve">  Accounts Receivable (net):</t>
  </si>
  <si>
    <t xml:space="preserve">  Other receivable (net):</t>
  </si>
  <si>
    <t xml:space="preserve">  Other Receivable (increase):</t>
  </si>
  <si>
    <t>SG&amp;A % Revenue:</t>
  </si>
  <si>
    <t>COGS % Revenue:</t>
  </si>
  <si>
    <t>R&amp;D % Revenue:</t>
  </si>
  <si>
    <t>Basic Shares Outstanding:</t>
  </si>
  <si>
    <t>Basic Equity Value:</t>
  </si>
  <si>
    <t xml:space="preserve">  Less: Cash &amp; Investments</t>
  </si>
  <si>
    <t xml:space="preserve">  Plus: Debt</t>
  </si>
  <si>
    <t xml:space="preserve">  Plus: Minority</t>
  </si>
  <si>
    <t xml:space="preserve">  Plus: Preferred Stock</t>
  </si>
  <si>
    <t xml:space="preserve">  Plus: Other Liabilities</t>
  </si>
  <si>
    <t>D&amp;A % PP&amp;E:</t>
  </si>
  <si>
    <t>Amortization % Intangibles:</t>
  </si>
  <si>
    <t>Stock-Based Compensation % Revenue:</t>
  </si>
  <si>
    <t>Other</t>
  </si>
  <si>
    <t>Other non-cash expenses % Revenue:</t>
  </si>
  <si>
    <t>Effective Cash Interest Rate:</t>
  </si>
  <si>
    <t>Debt Interest Rate:</t>
  </si>
  <si>
    <t xml:space="preserve">  Interest income:</t>
  </si>
  <si>
    <t xml:space="preserve">  Other incomes &amp; expenses:</t>
  </si>
  <si>
    <t>Effiective Tax Rate:</t>
  </si>
  <si>
    <t>Shares Outstanding:</t>
  </si>
  <si>
    <t>Earning Per Share (Diluted):</t>
  </si>
  <si>
    <t>Dividend Rate (annual):</t>
  </si>
  <si>
    <t>Purchase of Short-Term Securities:</t>
  </si>
  <si>
    <t>Purchase of Long-Term Securities:</t>
  </si>
  <si>
    <t xml:space="preserve">  Proceeds from Maturities &amp; Sales:</t>
  </si>
  <si>
    <t>Accounts Receivable % Revenue:</t>
  </si>
  <si>
    <t>Other Receivable % Revenue:</t>
  </si>
  <si>
    <t>Accounts Receivable Days:</t>
  </si>
  <si>
    <t>Days in Year:</t>
  </si>
  <si>
    <t>Last Historical Year:</t>
  </si>
  <si>
    <t>Prepaid Expenses % COGS:</t>
  </si>
  <si>
    <t>Inventories % COGS:</t>
  </si>
  <si>
    <t>Other current assets % Revenue:</t>
  </si>
  <si>
    <t xml:space="preserve">    Accumulated amortization:</t>
  </si>
  <si>
    <t>Deferred Income Taxes % Fixed Assets:</t>
  </si>
  <si>
    <t>Land % Revenue:</t>
  </si>
  <si>
    <t>Fixed Assets % Revenue:</t>
  </si>
  <si>
    <t>Intangibles % Revenue:</t>
  </si>
  <si>
    <t>D&amp;A of Fixed Assets:</t>
  </si>
  <si>
    <t>Amortization of Intangibles:</t>
  </si>
  <si>
    <t>Other non-current asset % Revenue:</t>
  </si>
  <si>
    <t>Accounts Payable Days:</t>
  </si>
  <si>
    <t>Accounts Payable % COGS:</t>
  </si>
  <si>
    <t>Accured Liabilities % Operating Expenses:</t>
  </si>
  <si>
    <t>Short-Term Deferred Revenue % Revenue:</t>
  </si>
  <si>
    <t>Long-Term Deferred Revenue % Revenue:</t>
  </si>
  <si>
    <t>Other non-current liabilities % Revenue:</t>
  </si>
  <si>
    <t>Other current liabilities % Revenue:</t>
  </si>
  <si>
    <t>Short-Term Income Tax Payable % Tax:</t>
  </si>
  <si>
    <t>Long-Term Income Tax Payable % Tax:</t>
  </si>
  <si>
    <t>Fiscal Year End:</t>
  </si>
  <si>
    <t>Company</t>
  </si>
  <si>
    <t>Share</t>
  </si>
  <si>
    <t>Price</t>
  </si>
  <si>
    <t>Outstanding</t>
  </si>
  <si>
    <t>Shares</t>
  </si>
  <si>
    <t>Minority</t>
  </si>
  <si>
    <t>Interest</t>
  </si>
  <si>
    <t>Preferred</t>
  </si>
  <si>
    <t>Liabilities</t>
  </si>
  <si>
    <t>Enterprise</t>
  </si>
  <si>
    <t>EPS</t>
  </si>
  <si>
    <t>Overall performance measures:</t>
  </si>
  <si>
    <t>Return on assets</t>
  </si>
  <si>
    <t>ROA (FCF)</t>
  </si>
  <si>
    <t>Return on invested capital</t>
  </si>
  <si>
    <t>Return on invested capital-my formula</t>
  </si>
  <si>
    <t>Return on permanent capital</t>
  </si>
  <si>
    <t>Return on equity</t>
  </si>
  <si>
    <t>Profitability measures</t>
  </si>
  <si>
    <t>Gross margin percentage</t>
  </si>
  <si>
    <t>Profit margin %</t>
  </si>
  <si>
    <t>EBIT margin %</t>
  </si>
  <si>
    <t>Operating profit margin (basic earnings power)</t>
  </si>
  <si>
    <t>Eargings per share</t>
  </si>
  <si>
    <t>Investment utilization (Efficiency Ratios)</t>
  </si>
  <si>
    <t>Asset turnover</t>
  </si>
  <si>
    <t>Invested capital turnover</t>
  </si>
  <si>
    <t>Equity turnover</t>
  </si>
  <si>
    <t>Capital intensity</t>
  </si>
  <si>
    <t>Days' cash (watch this formula)</t>
  </si>
  <si>
    <t>Days' receivables - gross A/R</t>
  </si>
  <si>
    <t>Days' receivables - net A/R</t>
  </si>
  <si>
    <t>Days' inventory</t>
  </si>
  <si>
    <t>Days' A/P</t>
  </si>
  <si>
    <t>Inventory turnover</t>
  </si>
  <si>
    <t>Working capital turnover</t>
  </si>
  <si>
    <t>Liquidity Ratios</t>
  </si>
  <si>
    <t>Net working cap. To assets</t>
  </si>
  <si>
    <t>Current ratio</t>
  </si>
  <si>
    <t>Acid-test (quick) ratio (watch this formula)</t>
  </si>
  <si>
    <t>Cash ratio</t>
  </si>
  <si>
    <t>Interval measure (days)</t>
  </si>
  <si>
    <t>Leverage Ratios</t>
  </si>
  <si>
    <t>Financial leverage ratio</t>
  </si>
  <si>
    <t>Debt to equity ratio - noncurrent liabilities</t>
  </si>
  <si>
    <t>Debt to equity ratio - total liabilities</t>
  </si>
  <si>
    <t>Debt ratio</t>
  </si>
  <si>
    <t>Long-term debt ratio (FCF)</t>
  </si>
  <si>
    <t>Debt to equity ratio (FCF)</t>
  </si>
  <si>
    <t>Total debt ratio (FCF)</t>
  </si>
  <si>
    <t>Times interest earned</t>
  </si>
  <si>
    <t>Times interest earned (FCF)</t>
  </si>
  <si>
    <t>Before tax cost of principle repayment (FCF)</t>
  </si>
  <si>
    <t>Fixed charge coverage ratio</t>
  </si>
  <si>
    <t>Cash flow coverage ratio</t>
  </si>
  <si>
    <t>Cash flow/debt</t>
  </si>
  <si>
    <t>Dividend policy</t>
  </si>
  <si>
    <t>Dividend yield</t>
  </si>
  <si>
    <t>Dividend payout</t>
  </si>
  <si>
    <t>Ratios to determine ROE</t>
  </si>
  <si>
    <t>Pretax margin %</t>
  </si>
  <si>
    <t>Asset turnover ratio</t>
  </si>
  <si>
    <t>Tax retention rate</t>
  </si>
  <si>
    <t>ROE</t>
  </si>
  <si>
    <t>Ratios to determine ROA</t>
  </si>
  <si>
    <t>Operating profit margin</t>
  </si>
  <si>
    <t>ROA</t>
  </si>
  <si>
    <t>Price/earnings ratio</t>
  </si>
  <si>
    <t>Ratios</t>
  </si>
  <si>
    <t>Public Companies</t>
  </si>
  <si>
    <t>Terminal Value of Tax Shield:</t>
  </si>
  <si>
    <t>PV of Terminal Value of Tax Shield:</t>
  </si>
  <si>
    <t>PV of Terminal Value of Cash Flow:</t>
  </si>
  <si>
    <t>Terminal Value of Cash Flow:</t>
  </si>
  <si>
    <t>Projected</t>
  </si>
  <si>
    <t>Growth</t>
  </si>
  <si>
    <t>EBITDA Margin</t>
  </si>
  <si>
    <t>Capitalization</t>
  </si>
  <si>
    <t>Net Income</t>
  </si>
  <si>
    <t>($ in thousands, expect per share amounts)</t>
  </si>
  <si>
    <t>($ in millions, excpet per share amounts)</t>
  </si>
  <si>
    <t>Maximum</t>
  </si>
  <si>
    <t>75th Percentile</t>
  </si>
  <si>
    <t>25th Percentile</t>
  </si>
  <si>
    <t>Minimum</t>
  </si>
  <si>
    <t>Valuation</t>
  </si>
  <si>
    <t>Enterprise Value /</t>
  </si>
  <si>
    <t>P / E Multiple</t>
  </si>
  <si>
    <t>Comparable Companies</t>
  </si>
  <si>
    <t>Discounted Cash Flow:</t>
  </si>
  <si>
    <t>Multiple</t>
  </si>
  <si>
    <t>25th</t>
  </si>
  <si>
    <t>Percentile</t>
  </si>
  <si>
    <t>75th</t>
  </si>
  <si>
    <t>Valuation Multiple</t>
  </si>
  <si>
    <t>Implied Price per Share</t>
  </si>
  <si>
    <t>Applicable</t>
  </si>
  <si>
    <t>Balance Sheet Adjustment</t>
  </si>
  <si>
    <t>Valuation Method</t>
  </si>
  <si>
    <t>Valuation Statistics</t>
  </si>
  <si>
    <t>Min.</t>
  </si>
  <si>
    <t>Max</t>
  </si>
  <si>
    <t>Min Point</t>
  </si>
  <si>
    <t>25 Point</t>
  </si>
  <si>
    <t>Med Point</t>
  </si>
  <si>
    <t>75 Point</t>
  </si>
  <si>
    <t>Max Point</t>
  </si>
  <si>
    <t>Actual Cash &amp; Cash Equivalents:</t>
  </si>
  <si>
    <t>Balance Check:</t>
  </si>
  <si>
    <t>Dec. 31</t>
  </si>
  <si>
    <t xml:space="preserve">  Content Library (gross):</t>
  </si>
  <si>
    <t xml:space="preserve">  Content Library (net):</t>
  </si>
  <si>
    <t>Blockbuster (BLOAQ)</t>
  </si>
  <si>
    <t>Amazon (AMZN)</t>
  </si>
  <si>
    <t>Comcast (CMCSA)</t>
  </si>
  <si>
    <t>Coinstar (CSTR)</t>
  </si>
  <si>
    <t>DISH Network (DISH)</t>
  </si>
  <si>
    <t>Walt Disney (DIS)</t>
  </si>
  <si>
    <t xml:space="preserve">  Prepaid Expenses (increase):</t>
  </si>
  <si>
    <t>Other non-current liabilities(decrease):</t>
  </si>
  <si>
    <t>Other non-current assets (increase):</t>
  </si>
  <si>
    <t>Change in Short-Term Securities (increase):</t>
  </si>
  <si>
    <t>Change in Long-Term Securities (increase):</t>
  </si>
  <si>
    <t>Net PP&amp;E (increase):</t>
  </si>
  <si>
    <t>Net Intangibles (increase):</t>
  </si>
  <si>
    <t>Change in Other Comprehensive Income:</t>
  </si>
  <si>
    <t>Issuance of Common Stock:</t>
  </si>
  <si>
    <t>Increment</t>
  </si>
  <si>
    <t>Competitor A</t>
  </si>
  <si>
    <t>Competitor B</t>
  </si>
  <si>
    <t>Competitor C</t>
  </si>
  <si>
    <t>Competitor D</t>
  </si>
  <si>
    <t>Competitor E</t>
  </si>
  <si>
    <t>Competitor F</t>
  </si>
  <si>
    <t>Cymer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</si>
</sst>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6" formatCode="&quot;$&quot;#,##0_);[Red]\(&quot;$&quot;#,##0\)"/>
    <numFmt numFmtId="8" formatCode="&quot;$&quot;#,##0.00_);[Red]\(&quot;$&quot;#,##0.00\)"/>
    <numFmt numFmtId="43" formatCode="_(* #,##0.00_);_(* \(#,##0.00\);_(* &quot;-&quot;??_);_(@_)"/>
    <numFmt numFmtId="164" formatCode="_-&quot;$&quot;* #,##0_-;\-&quot;$&quot;* #,##0_-;_-&quot;$&quot;* &quot;-&quot;_-;_-@_-"/>
    <numFmt numFmtId="165" formatCode="_-&quot;$&quot;* #,##0.00_-;\-&quot;$&quot;* #,##0.00_-;_-&quot;$&quot;* &quot;-&quot;??_-;_-@_-"/>
    <numFmt numFmtId="166" formatCode="0.0%"/>
    <numFmt numFmtId="167" formatCode="0.0"/>
    <numFmt numFmtId="168" formatCode="&quot;$&quot;#,##0.00;[Red]&quot;$&quot;#,##0.00"/>
    <numFmt numFmtId="169" formatCode="&quot;Multiples&quot;;&quot;Multiples&quot;;&quot;Growth Rate&quot;"/>
    <numFmt numFmtId="170" formatCode="0.0\ \x"/>
    <numFmt numFmtId="171" formatCode="&quot;Comparable Companies&quot;;&quot;Comparable Companies&quot;;&quot;Historical Data&quot;"/>
    <numFmt numFmtId="172" formatCode="_-&quot;$&quot;* #,##0_-;\-&quot;$&quot;* #,##0_-;_-&quot;$&quot;* &quot;-&quot;??_-;_-@_-"/>
    <numFmt numFmtId="173" formatCode="_(* #,##0_);_(* \(#,##0\);_(* &quot;-&quot;??_);_(@_)"/>
  </numFmts>
  <fonts count="19" x14ac:knownFonts="1">
    <font>
      <sz val="10"/>
      <name val="Arial"/>
    </font>
    <font>
      <sz val="10"/>
      <name val="Arial"/>
      <family val="2"/>
    </font>
    <font>
      <b/>
      <sz val="10"/>
      <name val="Arial"/>
      <family val="2"/>
    </font>
    <font>
      <sz val="10"/>
      <name val="Arial"/>
      <family val="2"/>
    </font>
    <font>
      <sz val="10"/>
      <color theme="4"/>
      <name val="Arial"/>
      <family val="2"/>
    </font>
    <font>
      <i/>
      <sz val="10"/>
      <name val="Arial"/>
      <family val="2"/>
    </font>
    <font>
      <sz val="10"/>
      <color theme="0"/>
      <name val="Arial"/>
      <family val="2"/>
    </font>
    <font>
      <b/>
      <sz val="10"/>
      <color theme="0"/>
      <name val="Arial"/>
      <family val="2"/>
    </font>
    <font>
      <sz val="9"/>
      <color indexed="81"/>
      <name val="Tahoma"/>
      <family val="2"/>
    </font>
    <font>
      <b/>
      <sz val="9"/>
      <color indexed="81"/>
      <name val="Tahoma"/>
      <family val="2"/>
    </font>
    <font>
      <sz val="10"/>
      <color theme="1"/>
      <name val="Arial"/>
      <family val="2"/>
    </font>
    <font>
      <b/>
      <sz val="10"/>
      <color theme="4"/>
      <name val="Arial"/>
      <family val="2"/>
    </font>
    <font>
      <sz val="10"/>
      <name val="Arial"/>
      <family val="2"/>
    </font>
    <font>
      <sz val="8"/>
      <color indexed="81"/>
      <name val="Tahoma"/>
      <family val="2"/>
    </font>
    <font>
      <b/>
      <u/>
      <sz val="10"/>
      <color theme="0"/>
      <name val="Arial"/>
      <family val="2"/>
    </font>
    <font>
      <b/>
      <sz val="10"/>
      <color theme="1"/>
      <name val="Arial"/>
      <family val="2"/>
    </font>
    <font>
      <b/>
      <sz val="8"/>
      <color indexed="81"/>
      <name val="Tahoma"/>
      <family val="2"/>
    </font>
    <font>
      <sz val="10"/>
      <name val="Arial"/>
      <family val="2"/>
    </font>
    <font>
      <sz val="10"/>
      <name val="Arial"/>
    </font>
  </fonts>
  <fills count="6">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bgColor indexed="64"/>
      </patternFill>
    </fill>
  </fills>
  <borders count="14">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s>
  <cellStyleXfs count="6">
    <xf numFmtId="0" fontId="0" fillId="0" borderId="0"/>
    <xf numFmtId="9" fontId="1" fillId="0" borderId="0" applyFont="0" applyFill="0" applyBorder="0" applyAlignment="0" applyProtection="0"/>
    <xf numFmtId="0" fontId="3" fillId="0" borderId="0"/>
    <xf numFmtId="164" fontId="12" fillId="0" borderId="0" applyFont="0" applyFill="0" applyBorder="0" applyAlignment="0" applyProtection="0"/>
    <xf numFmtId="165" fontId="17" fillId="0" borderId="0" applyFont="0" applyFill="0" applyBorder="0" applyAlignment="0" applyProtection="0"/>
    <xf numFmtId="43" fontId="18" fillId="0" borderId="0" applyFont="0" applyFill="0" applyBorder="0" applyAlignment="0" applyProtection="0"/>
  </cellStyleXfs>
  <cellXfs count="262">
    <xf numFmtId="0" fontId="0" fillId="0" borderId="0" xfId="0"/>
    <xf numFmtId="0" fontId="2" fillId="0" borderId="0" xfId="0" applyFont="1"/>
    <xf numFmtId="0" fontId="0" fillId="0" borderId="6" xfId="0" applyBorder="1"/>
    <xf numFmtId="0" fontId="0" fillId="0" borderId="0" xfId="0" applyBorder="1"/>
    <xf numFmtId="0" fontId="0" fillId="0" borderId="5" xfId="0" applyBorder="1"/>
    <xf numFmtId="0" fontId="2" fillId="0" borderId="5" xfId="0" applyFont="1" applyBorder="1"/>
    <xf numFmtId="0" fontId="2" fillId="0" borderId="5" xfId="0" applyFont="1" applyBorder="1" applyAlignment="1">
      <alignment horizontal="centerContinuous" vertical="center"/>
    </xf>
    <xf numFmtId="0" fontId="2" fillId="0" borderId="8" xfId="0" applyFont="1" applyBorder="1" applyAlignment="1">
      <alignment horizontal="centerContinuous" vertical="center"/>
    </xf>
    <xf numFmtId="168" fontId="6" fillId="0" borderId="0" xfId="0" applyNumberFormat="1" applyFont="1" applyBorder="1"/>
    <xf numFmtId="0" fontId="0" fillId="0" borderId="8" xfId="0" applyBorder="1"/>
    <xf numFmtId="0" fontId="3" fillId="0" borderId="6" xfId="0" applyFont="1" applyBorder="1"/>
    <xf numFmtId="10" fontId="4" fillId="0" borderId="0" xfId="0" applyNumberFormat="1" applyFont="1" applyBorder="1"/>
    <xf numFmtId="0" fontId="0" fillId="0" borderId="4" xfId="0" applyBorder="1"/>
    <xf numFmtId="0" fontId="5" fillId="0" borderId="6" xfId="0" applyFont="1" applyBorder="1"/>
    <xf numFmtId="167" fontId="4" fillId="0" borderId="0" xfId="0" applyNumberFormat="1" applyFont="1" applyBorder="1"/>
    <xf numFmtId="0" fontId="5" fillId="0" borderId="10" xfId="0" applyFont="1" applyBorder="1"/>
    <xf numFmtId="0" fontId="0" fillId="0" borderId="1" xfId="0" applyBorder="1"/>
    <xf numFmtId="167" fontId="4" fillId="0" borderId="1" xfId="0" applyNumberFormat="1" applyFont="1" applyBorder="1"/>
    <xf numFmtId="0" fontId="0" fillId="0" borderId="10" xfId="0" applyBorder="1"/>
    <xf numFmtId="0" fontId="0" fillId="0" borderId="9" xfId="0" applyBorder="1"/>
    <xf numFmtId="166" fontId="0" fillId="0" borderId="4" xfId="1" applyNumberFormat="1" applyFont="1" applyBorder="1"/>
    <xf numFmtId="10" fontId="4" fillId="0" borderId="4" xfId="0" applyNumberFormat="1" applyFont="1" applyBorder="1"/>
    <xf numFmtId="169" fontId="4" fillId="0" borderId="4" xfId="0" applyNumberFormat="1" applyFont="1" applyBorder="1"/>
    <xf numFmtId="10" fontId="4" fillId="0" borderId="4" xfId="1" applyNumberFormat="1" applyFont="1" applyBorder="1"/>
    <xf numFmtId="6" fontId="0" fillId="0" borderId="4" xfId="0" applyNumberFormat="1" applyBorder="1"/>
    <xf numFmtId="0" fontId="2" fillId="0" borderId="7" xfId="0" applyFont="1" applyBorder="1"/>
    <xf numFmtId="6" fontId="2" fillId="0" borderId="8" xfId="0" applyNumberFormat="1" applyFont="1" applyBorder="1"/>
    <xf numFmtId="0" fontId="2" fillId="0" borderId="10" xfId="0" applyFont="1" applyBorder="1"/>
    <xf numFmtId="168" fontId="2" fillId="0" borderId="9" xfId="0" applyNumberFormat="1" applyFont="1" applyBorder="1"/>
    <xf numFmtId="0" fontId="7" fillId="2" borderId="7" xfId="0" applyFont="1" applyFill="1" applyBorder="1"/>
    <xf numFmtId="0" fontId="7" fillId="2" borderId="5" xfId="0" applyFont="1" applyFill="1" applyBorder="1"/>
    <xf numFmtId="0" fontId="7" fillId="2" borderId="8" xfId="0" applyFont="1" applyFill="1" applyBorder="1"/>
    <xf numFmtId="0" fontId="7" fillId="2" borderId="10" xfId="0" applyFont="1" applyFill="1" applyBorder="1"/>
    <xf numFmtId="0" fontId="7" fillId="2" borderId="1" xfId="0" applyFont="1" applyFill="1" applyBorder="1"/>
    <xf numFmtId="0" fontId="7" fillId="2" borderId="9" xfId="0" applyFont="1" applyFill="1" applyBorder="1"/>
    <xf numFmtId="0" fontId="7" fillId="2" borderId="11" xfId="0" applyFont="1" applyFill="1" applyBorder="1"/>
    <xf numFmtId="0" fontId="7" fillId="2" borderId="3" xfId="0" applyFont="1" applyFill="1" applyBorder="1"/>
    <xf numFmtId="0" fontId="7" fillId="2" borderId="12" xfId="0" applyFont="1" applyFill="1" applyBorder="1"/>
    <xf numFmtId="0" fontId="3" fillId="0" borderId="7" xfId="0" applyFont="1" applyBorder="1"/>
    <xf numFmtId="0" fontId="3" fillId="0" borderId="10" xfId="0" applyFont="1" applyBorder="1"/>
    <xf numFmtId="0" fontId="7" fillId="2" borderId="6" xfId="0" applyFont="1" applyFill="1" applyBorder="1"/>
    <xf numFmtId="0" fontId="7" fillId="2" borderId="0" xfId="0" applyFont="1" applyFill="1" applyBorder="1" applyAlignment="1">
      <alignment horizontal="center"/>
    </xf>
    <xf numFmtId="0" fontId="7" fillId="2" borderId="4" xfId="0" applyFont="1" applyFill="1" applyBorder="1" applyAlignment="1">
      <alignment horizontal="center"/>
    </xf>
    <xf numFmtId="0" fontId="7" fillId="2" borderId="1" xfId="0" applyFont="1" applyFill="1" applyBorder="1" applyAlignment="1">
      <alignment horizontal="center"/>
    </xf>
    <xf numFmtId="0" fontId="7" fillId="2" borderId="9" xfId="0" applyFont="1" applyFill="1" applyBorder="1" applyAlignment="1">
      <alignment horizontal="center"/>
    </xf>
    <xf numFmtId="0" fontId="4" fillId="0" borderId="1" xfId="0" applyFont="1" applyBorder="1"/>
    <xf numFmtId="2" fontId="4" fillId="0" borderId="5" xfId="0" applyNumberFormat="1" applyFont="1" applyBorder="1"/>
    <xf numFmtId="2" fontId="4" fillId="0" borderId="0" xfId="0" applyNumberFormat="1" applyFont="1" applyBorder="1"/>
    <xf numFmtId="2" fontId="0" fillId="0" borderId="8" xfId="0" applyNumberFormat="1" applyBorder="1"/>
    <xf numFmtId="2" fontId="0" fillId="0" borderId="4" xfId="0" applyNumberFormat="1" applyBorder="1"/>
    <xf numFmtId="0" fontId="2" fillId="3" borderId="11" xfId="0" applyFont="1" applyFill="1" applyBorder="1"/>
    <xf numFmtId="0" fontId="2" fillId="3" borderId="3" xfId="0" applyFont="1" applyFill="1" applyBorder="1"/>
    <xf numFmtId="2" fontId="2" fillId="3" borderId="12" xfId="0" applyNumberFormat="1" applyFont="1" applyFill="1" applyBorder="1"/>
    <xf numFmtId="0" fontId="2" fillId="4" borderId="11" xfId="0" applyFont="1" applyFill="1" applyBorder="1"/>
    <xf numFmtId="0" fontId="2" fillId="4" borderId="3" xfId="0" applyFont="1" applyFill="1" applyBorder="1"/>
    <xf numFmtId="9" fontId="2" fillId="4" borderId="3" xfId="1" applyNumberFormat="1" applyFont="1" applyFill="1" applyBorder="1"/>
    <xf numFmtId="2" fontId="2" fillId="4" borderId="12" xfId="0" applyNumberFormat="1" applyFont="1" applyFill="1" applyBorder="1"/>
    <xf numFmtId="10" fontId="4" fillId="0" borderId="8" xfId="1" applyNumberFormat="1" applyFont="1" applyBorder="1"/>
    <xf numFmtId="166" fontId="2" fillId="0" borderId="8" xfId="1" applyNumberFormat="1" applyFont="1" applyBorder="1"/>
    <xf numFmtId="166" fontId="2" fillId="0" borderId="4" xfId="1" applyNumberFormat="1" applyFont="1" applyBorder="1"/>
    <xf numFmtId="166" fontId="2" fillId="0" borderId="9" xfId="1" applyNumberFormat="1" applyFont="1" applyBorder="1"/>
    <xf numFmtId="0" fontId="7" fillId="0" borderId="0" xfId="0" applyFont="1" applyFill="1" applyBorder="1"/>
    <xf numFmtId="171" fontId="4" fillId="0" borderId="8" xfId="0" applyNumberFormat="1" applyFont="1" applyBorder="1"/>
    <xf numFmtId="0" fontId="1" fillId="0" borderId="0" xfId="0" applyFont="1"/>
    <xf numFmtId="0" fontId="7" fillId="5" borderId="11" xfId="0" applyFont="1" applyFill="1" applyBorder="1" applyAlignment="1">
      <alignment horizontal="centerContinuous"/>
    </xf>
    <xf numFmtId="0" fontId="7" fillId="5" borderId="3" xfId="0" applyFont="1" applyFill="1" applyBorder="1" applyAlignment="1">
      <alignment horizontal="centerContinuous"/>
    </xf>
    <xf numFmtId="0" fontId="7" fillId="5" borderId="12" xfId="0" applyFont="1" applyFill="1" applyBorder="1" applyAlignment="1">
      <alignment horizontal="centerContinuous"/>
    </xf>
    <xf numFmtId="0" fontId="2" fillId="0" borderId="3" xfId="0" applyFont="1" applyBorder="1" applyAlignment="1">
      <alignment horizontal="center"/>
    </xf>
    <xf numFmtId="0" fontId="2" fillId="0" borderId="12" xfId="0" applyFont="1" applyBorder="1" applyAlignment="1">
      <alignment horizontal="center"/>
    </xf>
    <xf numFmtId="0" fontId="2" fillId="0" borderId="6" xfId="0" applyFont="1" applyBorder="1"/>
    <xf numFmtId="0" fontId="1" fillId="0" borderId="6" xfId="0" applyFont="1" applyBorder="1"/>
    <xf numFmtId="0" fontId="2" fillId="0" borderId="1" xfId="0" applyFont="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Continuous"/>
    </xf>
    <xf numFmtId="0" fontId="0" fillId="0" borderId="0" xfId="0" applyBorder="1" applyAlignment="1">
      <alignment horizontal="centerContinuous"/>
    </xf>
    <xf numFmtId="0" fontId="1" fillId="0" borderId="6" xfId="0" applyFont="1" applyFill="1" applyBorder="1"/>
    <xf numFmtId="0" fontId="2" fillId="0" borderId="7" xfId="0" applyFont="1" applyFill="1" applyBorder="1"/>
    <xf numFmtId="0" fontId="2" fillId="0" borderId="4" xfId="0" applyFont="1" applyBorder="1"/>
    <xf numFmtId="15" fontId="4" fillId="0" borderId="0" xfId="0" applyNumberFormat="1" applyFont="1" applyBorder="1"/>
    <xf numFmtId="0" fontId="4" fillId="0" borderId="0" xfId="0" applyFont="1" applyBorder="1"/>
    <xf numFmtId="0" fontId="2" fillId="0" borderId="0" xfId="0" applyFont="1" applyBorder="1"/>
    <xf numFmtId="0" fontId="1" fillId="0" borderId="0" xfId="0" applyFont="1" applyBorder="1"/>
    <xf numFmtId="6" fontId="0" fillId="0" borderId="0" xfId="0" applyNumberFormat="1" applyBorder="1"/>
    <xf numFmtId="6" fontId="2" fillId="0" borderId="0" xfId="0" applyNumberFormat="1" applyFont="1" applyBorder="1"/>
    <xf numFmtId="6" fontId="2" fillId="0" borderId="4" xfId="0" applyNumberFormat="1" applyFont="1" applyBorder="1"/>
    <xf numFmtId="6" fontId="0" fillId="0" borderId="1" xfId="0" applyNumberFormat="1" applyBorder="1"/>
    <xf numFmtId="6" fontId="0" fillId="0" borderId="9" xfId="0" applyNumberFormat="1" applyBorder="1"/>
    <xf numFmtId="6" fontId="2" fillId="0" borderId="5" xfId="0" applyNumberFormat="1" applyFont="1" applyBorder="1"/>
    <xf numFmtId="6" fontId="2" fillId="0" borderId="2" xfId="0" applyNumberFormat="1" applyFont="1" applyBorder="1"/>
    <xf numFmtId="6" fontId="2" fillId="0" borderId="13" xfId="0" applyNumberFormat="1" applyFont="1" applyBorder="1"/>
    <xf numFmtId="6" fontId="4" fillId="0" borderId="0" xfId="0" applyNumberFormat="1" applyFont="1" applyBorder="1"/>
    <xf numFmtId="6" fontId="4" fillId="0" borderId="4" xfId="0" applyNumberFormat="1" applyFont="1" applyBorder="1"/>
    <xf numFmtId="6" fontId="4" fillId="0" borderId="1" xfId="0" applyNumberFormat="1" applyFont="1" applyBorder="1"/>
    <xf numFmtId="6" fontId="4" fillId="0" borderId="9" xfId="0" applyNumberFormat="1" applyFont="1" applyBorder="1"/>
    <xf numFmtId="6" fontId="1" fillId="0" borderId="0" xfId="0" applyNumberFormat="1" applyFont="1" applyBorder="1"/>
    <xf numFmtId="6" fontId="1" fillId="0" borderId="4" xfId="0" applyNumberFormat="1" applyFont="1" applyBorder="1"/>
    <xf numFmtId="0" fontId="2" fillId="0" borderId="12" xfId="0" applyFont="1" applyBorder="1"/>
    <xf numFmtId="0" fontId="2" fillId="0" borderId="3" xfId="0" applyFont="1" applyBorder="1"/>
    <xf numFmtId="6" fontId="10" fillId="0" borderId="0" xfId="0" applyNumberFormat="1" applyFont="1" applyBorder="1"/>
    <xf numFmtId="6" fontId="10" fillId="0" borderId="4" xfId="0" applyNumberFormat="1" applyFont="1" applyBorder="1"/>
    <xf numFmtId="6" fontId="10" fillId="0" borderId="1" xfId="0" applyNumberFormat="1" applyFont="1" applyBorder="1"/>
    <xf numFmtId="6" fontId="10" fillId="0" borderId="9" xfId="0" applyNumberFormat="1" applyFont="1" applyBorder="1"/>
    <xf numFmtId="6" fontId="11" fillId="0" borderId="0" xfId="0" applyNumberFormat="1" applyFont="1" applyBorder="1"/>
    <xf numFmtId="6" fontId="11" fillId="0" borderId="4" xfId="0" applyNumberFormat="1" applyFont="1" applyBorder="1"/>
    <xf numFmtId="166" fontId="0" fillId="0" borderId="0" xfId="1" applyNumberFormat="1" applyFont="1"/>
    <xf numFmtId="166" fontId="4" fillId="0" borderId="0" xfId="1" applyNumberFormat="1" applyFont="1"/>
    <xf numFmtId="0" fontId="1" fillId="0" borderId="7" xfId="0" applyFont="1" applyBorder="1"/>
    <xf numFmtId="8" fontId="4" fillId="0" borderId="0" xfId="0" applyNumberFormat="1" applyFont="1" applyBorder="1" applyAlignment="1">
      <alignment horizontal="right"/>
    </xf>
    <xf numFmtId="0" fontId="1" fillId="0" borderId="5" xfId="0" applyFont="1" applyBorder="1"/>
    <xf numFmtId="0" fontId="1" fillId="0" borderId="8" xfId="0" applyFont="1" applyBorder="1"/>
    <xf numFmtId="166" fontId="1" fillId="0" borderId="4" xfId="0" applyNumberFormat="1" applyFont="1" applyBorder="1"/>
    <xf numFmtId="166" fontId="1" fillId="0" borderId="4" xfId="1" applyNumberFormat="1" applyFont="1" applyBorder="1"/>
    <xf numFmtId="0" fontId="1" fillId="0" borderId="4" xfId="0" applyFont="1" applyBorder="1"/>
    <xf numFmtId="167" fontId="1" fillId="0" borderId="0" xfId="0" applyNumberFormat="1" applyFont="1" applyBorder="1"/>
    <xf numFmtId="167" fontId="1" fillId="0" borderId="4" xfId="0" applyNumberFormat="1" applyFont="1" applyBorder="1"/>
    <xf numFmtId="0" fontId="1" fillId="0" borderId="1" xfId="0" applyFont="1" applyBorder="1"/>
    <xf numFmtId="167" fontId="1" fillId="0" borderId="1" xfId="0" applyNumberFormat="1" applyFont="1" applyBorder="1"/>
    <xf numFmtId="167" fontId="1" fillId="0" borderId="9" xfId="0" applyNumberFormat="1" applyFont="1" applyBorder="1"/>
    <xf numFmtId="10" fontId="1" fillId="0" borderId="1" xfId="0" applyNumberFormat="1" applyFont="1" applyBorder="1"/>
    <xf numFmtId="10" fontId="1" fillId="0" borderId="9" xfId="0" applyNumberFormat="1" applyFont="1" applyBorder="1"/>
    <xf numFmtId="10" fontId="1" fillId="0" borderId="4" xfId="0" applyNumberFormat="1" applyFont="1" applyBorder="1"/>
    <xf numFmtId="38" fontId="1" fillId="0" borderId="4" xfId="0" applyNumberFormat="1" applyFont="1" applyBorder="1"/>
    <xf numFmtId="6" fontId="1" fillId="0" borderId="0" xfId="2" applyNumberFormat="1" applyFont="1" applyBorder="1"/>
    <xf numFmtId="6" fontId="1" fillId="0" borderId="4" xfId="2" applyNumberFormat="1" applyFont="1" applyBorder="1"/>
    <xf numFmtId="170" fontId="4" fillId="0" borderId="4" xfId="2" applyNumberFormat="1" applyFont="1" applyBorder="1"/>
    <xf numFmtId="8" fontId="1" fillId="0" borderId="0" xfId="2" applyNumberFormat="1" applyFont="1" applyBorder="1"/>
    <xf numFmtId="8" fontId="1" fillId="0" borderId="4" xfId="2" applyNumberFormat="1" applyFont="1" applyBorder="1"/>
    <xf numFmtId="8" fontId="1" fillId="0" borderId="1" xfId="2" applyNumberFormat="1" applyFont="1" applyBorder="1"/>
    <xf numFmtId="8" fontId="1" fillId="0" borderId="9" xfId="2" applyNumberFormat="1" applyFont="1" applyBorder="1"/>
    <xf numFmtId="170" fontId="1" fillId="0" borderId="4" xfId="2" applyNumberFormat="1" applyFont="1" applyBorder="1"/>
    <xf numFmtId="170" fontId="1" fillId="0" borderId="9" xfId="2" applyNumberFormat="1" applyFont="1" applyBorder="1"/>
    <xf numFmtId="170" fontId="1" fillId="0" borderId="0" xfId="2" applyNumberFormat="1" applyFont="1" applyBorder="1"/>
    <xf numFmtId="166" fontId="4" fillId="0" borderId="4" xfId="1" applyNumberFormat="1" applyFont="1" applyBorder="1"/>
    <xf numFmtId="3" fontId="0" fillId="0" borderId="0" xfId="0" applyNumberFormat="1" applyBorder="1"/>
    <xf numFmtId="3" fontId="4" fillId="0" borderId="0" xfId="0" applyNumberFormat="1" applyFont="1" applyBorder="1"/>
    <xf numFmtId="3" fontId="0" fillId="0" borderId="4" xfId="0" applyNumberFormat="1" applyBorder="1"/>
    <xf numFmtId="8" fontId="0" fillId="0" borderId="0" xfId="0" applyNumberFormat="1" applyBorder="1"/>
    <xf numFmtId="8" fontId="0" fillId="0" borderId="4" xfId="0" applyNumberFormat="1" applyBorder="1"/>
    <xf numFmtId="3" fontId="4" fillId="0" borderId="4" xfId="0" applyNumberFormat="1" applyFont="1" applyBorder="1"/>
    <xf numFmtId="167" fontId="0" fillId="0" borderId="4" xfId="1" applyNumberFormat="1" applyFont="1" applyBorder="1"/>
    <xf numFmtId="166" fontId="0" fillId="0" borderId="0" xfId="1" applyNumberFormat="1" applyFont="1" applyBorder="1"/>
    <xf numFmtId="166" fontId="4" fillId="0" borderId="0" xfId="1" applyNumberFormat="1" applyFont="1" applyBorder="1"/>
    <xf numFmtId="166" fontId="10" fillId="0" borderId="0" xfId="1" applyNumberFormat="1" applyFont="1" applyBorder="1"/>
    <xf numFmtId="166" fontId="10" fillId="0" borderId="4" xfId="1" applyNumberFormat="1" applyFont="1" applyBorder="1"/>
    <xf numFmtId="167" fontId="0" fillId="0" borderId="0" xfId="1" applyNumberFormat="1" applyFont="1" applyBorder="1"/>
    <xf numFmtId="166" fontId="1" fillId="0" borderId="0" xfId="1" applyNumberFormat="1" applyFont="1" applyBorder="1"/>
    <xf numFmtId="166" fontId="0" fillId="0" borderId="1" xfId="1" applyNumberFormat="1" applyFont="1" applyBorder="1"/>
    <xf numFmtId="166" fontId="0" fillId="0" borderId="9" xfId="1" applyNumberFormat="1" applyFont="1" applyBorder="1"/>
    <xf numFmtId="166" fontId="4" fillId="0" borderId="1" xfId="1" applyNumberFormat="1" applyFont="1" applyBorder="1"/>
    <xf numFmtId="0" fontId="7" fillId="5" borderId="10" xfId="0" applyFont="1" applyFill="1" applyBorder="1" applyAlignment="1">
      <alignment horizontal="centerContinuous"/>
    </xf>
    <xf numFmtId="0" fontId="7" fillId="5" borderId="1" xfId="0" applyFont="1" applyFill="1" applyBorder="1" applyAlignment="1">
      <alignment horizontal="centerContinuous"/>
    </xf>
    <xf numFmtId="0" fontId="7" fillId="5" borderId="9" xfId="0" applyFont="1" applyFill="1" applyBorder="1" applyAlignment="1">
      <alignment horizontal="centerContinuous"/>
    </xf>
    <xf numFmtId="16" fontId="4" fillId="0" borderId="0" xfId="0" applyNumberFormat="1" applyFont="1" applyBorder="1" applyAlignment="1">
      <alignment horizontal="right"/>
    </xf>
    <xf numFmtId="0" fontId="4" fillId="0" borderId="4" xfId="0" applyFont="1" applyBorder="1"/>
    <xf numFmtId="166" fontId="4" fillId="0" borderId="5" xfId="1" applyNumberFormat="1" applyFont="1" applyBorder="1"/>
    <xf numFmtId="0" fontId="2" fillId="0" borderId="11" xfId="0" applyFont="1" applyBorder="1" applyAlignment="1">
      <alignment horizontal="centerContinuous"/>
    </xf>
    <xf numFmtId="0" fontId="2" fillId="0" borderId="3" xfId="0" applyFont="1" applyBorder="1" applyAlignment="1">
      <alignment horizontal="centerContinuous"/>
    </xf>
    <xf numFmtId="166" fontId="0" fillId="0" borderId="5" xfId="1" applyNumberFormat="1" applyFont="1" applyBorder="1"/>
    <xf numFmtId="0" fontId="2" fillId="0" borderId="4" xfId="0" applyFont="1" applyBorder="1" applyAlignment="1">
      <alignment horizontal="center"/>
    </xf>
    <xf numFmtId="166" fontId="0" fillId="0" borderId="8" xfId="1" applyNumberFormat="1" applyFont="1" applyBorder="1"/>
    <xf numFmtId="0" fontId="2" fillId="0" borderId="0" xfId="0" applyFont="1" applyBorder="1" applyAlignment="1">
      <alignment horizontal="center"/>
    </xf>
    <xf numFmtId="38" fontId="2" fillId="0" borderId="6" xfId="3" applyNumberFormat="1" applyFont="1" applyBorder="1" applyAlignment="1">
      <alignment vertical="top"/>
    </xf>
    <xf numFmtId="38" fontId="1" fillId="0" borderId="6" xfId="3" applyNumberFormat="1" applyFont="1" applyBorder="1" applyAlignment="1">
      <alignment horizontal="left" vertical="top" indent="1"/>
    </xf>
    <xf numFmtId="38" fontId="0" fillId="0" borderId="6" xfId="3" applyNumberFormat="1" applyFont="1" applyBorder="1" applyAlignment="1">
      <alignment horizontal="left" vertical="top" indent="1"/>
    </xf>
    <xf numFmtId="38" fontId="0" fillId="0" borderId="6" xfId="3" applyNumberFormat="1" applyFont="1" applyBorder="1" applyAlignment="1">
      <alignment vertical="top"/>
    </xf>
    <xf numFmtId="0" fontId="6" fillId="2" borderId="0" xfId="0" applyFont="1" applyFill="1"/>
    <xf numFmtId="0" fontId="7" fillId="2" borderId="0" xfId="0" applyFont="1" applyFill="1" applyAlignment="1">
      <alignment horizontal="center"/>
    </xf>
    <xf numFmtId="0" fontId="7" fillId="2" borderId="0" xfId="0" applyFont="1" applyFill="1" applyAlignment="1">
      <alignment horizontal="centerContinuous"/>
    </xf>
    <xf numFmtId="0" fontId="7" fillId="2" borderId="0" xfId="0" applyFont="1" applyFill="1"/>
    <xf numFmtId="0" fontId="14" fillId="2" borderId="0" xfId="0" applyFont="1" applyFill="1" applyAlignment="1">
      <alignment horizontal="centerContinuous"/>
    </xf>
    <xf numFmtId="166" fontId="0" fillId="0" borderId="0" xfId="0" applyNumberFormat="1"/>
    <xf numFmtId="8" fontId="0" fillId="0" borderId="0" xfId="0" applyNumberFormat="1"/>
    <xf numFmtId="8" fontId="10" fillId="0" borderId="0" xfId="0" applyNumberFormat="1" applyFont="1" applyBorder="1" applyAlignment="1">
      <alignment horizontal="right"/>
    </xf>
    <xf numFmtId="8" fontId="10" fillId="0" borderId="0" xfId="0" applyNumberFormat="1" applyFont="1" applyBorder="1"/>
    <xf numFmtId="6" fontId="10" fillId="3" borderId="0" xfId="0" applyNumberFormat="1" applyFont="1" applyFill="1" applyBorder="1"/>
    <xf numFmtId="0" fontId="0" fillId="0" borderId="7" xfId="0" applyBorder="1"/>
    <xf numFmtId="8" fontId="10" fillId="0" borderId="5" xfId="0" applyNumberFormat="1" applyFont="1" applyBorder="1" applyAlignment="1">
      <alignment horizontal="right"/>
    </xf>
    <xf numFmtId="0" fontId="10" fillId="0" borderId="5" xfId="0" applyFont="1" applyBorder="1"/>
    <xf numFmtId="6" fontId="10" fillId="0" borderId="5" xfId="0" applyNumberFormat="1" applyFont="1" applyBorder="1"/>
    <xf numFmtId="8" fontId="10" fillId="0" borderId="5" xfId="0" applyNumberFormat="1" applyFont="1" applyBorder="1"/>
    <xf numFmtId="166" fontId="10" fillId="0" borderId="5" xfId="0" applyNumberFormat="1" applyFont="1" applyBorder="1"/>
    <xf numFmtId="166" fontId="10" fillId="0" borderId="8" xfId="0" applyNumberFormat="1" applyFont="1" applyBorder="1"/>
    <xf numFmtId="0" fontId="10" fillId="0" borderId="0" xfId="0" applyFont="1" applyBorder="1"/>
    <xf numFmtId="166" fontId="10" fillId="0" borderId="0" xfId="0" applyNumberFormat="1" applyFont="1" applyBorder="1"/>
    <xf numFmtId="166" fontId="10" fillId="0" borderId="4" xfId="0" applyNumberFormat="1" applyFont="1" applyBorder="1"/>
    <xf numFmtId="8" fontId="10" fillId="0" borderId="1" xfId="0" applyNumberFormat="1" applyFont="1" applyBorder="1" applyAlignment="1">
      <alignment horizontal="right"/>
    </xf>
    <xf numFmtId="0" fontId="10" fillId="0" borderId="1" xfId="0" applyFont="1" applyBorder="1"/>
    <xf numFmtId="8" fontId="10" fillId="0" borderId="1" xfId="0" applyNumberFormat="1" applyFont="1" applyBorder="1"/>
    <xf numFmtId="166" fontId="10" fillId="0" borderId="1" xfId="0" applyNumberFormat="1" applyFont="1" applyBorder="1"/>
    <xf numFmtId="166" fontId="10" fillId="0" borderId="9" xfId="0" applyNumberFormat="1" applyFont="1" applyBorder="1"/>
    <xf numFmtId="0" fontId="2" fillId="3" borderId="6" xfId="0" applyFont="1" applyFill="1" applyBorder="1"/>
    <xf numFmtId="8" fontId="15" fillId="3" borderId="0" xfId="0" applyNumberFormat="1" applyFont="1" applyFill="1" applyBorder="1" applyAlignment="1">
      <alignment horizontal="right"/>
    </xf>
    <xf numFmtId="0" fontId="15" fillId="3" borderId="0" xfId="0" applyFont="1" applyFill="1" applyBorder="1"/>
    <xf numFmtId="6" fontId="15" fillId="3" borderId="0" xfId="0" applyNumberFormat="1" applyFont="1" applyFill="1" applyBorder="1"/>
    <xf numFmtId="8" fontId="15" fillId="3" borderId="0" xfId="0" applyNumberFormat="1" applyFont="1" applyFill="1" applyBorder="1"/>
    <xf numFmtId="166" fontId="15" fillId="3" borderId="0" xfId="0" applyNumberFormat="1" applyFont="1" applyFill="1" applyBorder="1"/>
    <xf numFmtId="166" fontId="15" fillId="3" borderId="4" xfId="0" applyNumberFormat="1" applyFont="1" applyFill="1" applyBorder="1"/>
    <xf numFmtId="8" fontId="15" fillId="4" borderId="3" xfId="0" applyNumberFormat="1" applyFont="1" applyFill="1" applyBorder="1" applyAlignment="1">
      <alignment horizontal="right"/>
    </xf>
    <xf numFmtId="0" fontId="15" fillId="4" borderId="3" xfId="0" applyFont="1" applyFill="1" applyBorder="1"/>
    <xf numFmtId="6" fontId="15" fillId="4" borderId="3" xfId="0" applyNumberFormat="1" applyFont="1" applyFill="1" applyBorder="1"/>
    <xf numFmtId="8" fontId="15" fillId="4" borderId="3" xfId="0" applyNumberFormat="1" applyFont="1" applyFill="1" applyBorder="1"/>
    <xf numFmtId="166" fontId="15" fillId="4" borderId="3" xfId="0" applyNumberFormat="1" applyFont="1" applyFill="1" applyBorder="1"/>
    <xf numFmtId="166" fontId="15" fillId="4" borderId="12" xfId="0" applyNumberFormat="1" applyFont="1" applyFill="1" applyBorder="1"/>
    <xf numFmtId="0" fontId="7" fillId="2" borderId="0" xfId="0" applyFont="1" applyFill="1" applyAlignment="1">
      <alignment horizontal="left"/>
    </xf>
    <xf numFmtId="0" fontId="7" fillId="0" borderId="0" xfId="0" applyFont="1" applyFill="1" applyAlignment="1">
      <alignment horizontal="center"/>
    </xf>
    <xf numFmtId="6" fontId="0" fillId="0" borderId="0" xfId="0" applyNumberFormat="1"/>
    <xf numFmtId="8" fontId="0" fillId="0" borderId="5" xfId="0" applyNumberFormat="1" applyBorder="1"/>
    <xf numFmtId="6" fontId="0" fillId="0" borderId="5" xfId="0" applyNumberFormat="1" applyBorder="1"/>
    <xf numFmtId="8" fontId="2" fillId="3" borderId="0" xfId="0" applyNumberFormat="1" applyFont="1" applyFill="1" applyBorder="1"/>
    <xf numFmtId="0" fontId="2" fillId="3" borderId="0" xfId="0" applyFont="1" applyFill="1" applyBorder="1"/>
    <xf numFmtId="6" fontId="2" fillId="3" borderId="0" xfId="0" applyNumberFormat="1" applyFont="1" applyFill="1" applyBorder="1"/>
    <xf numFmtId="8" fontId="0" fillId="0" borderId="1" xfId="0" applyNumberFormat="1" applyBorder="1"/>
    <xf numFmtId="8" fontId="2" fillId="4" borderId="3" xfId="0" applyNumberFormat="1" applyFont="1" applyFill="1" applyBorder="1"/>
    <xf numFmtId="6" fontId="2" fillId="4" borderId="3" xfId="0" applyNumberFormat="1" applyFont="1" applyFill="1" applyBorder="1"/>
    <xf numFmtId="10" fontId="2" fillId="0" borderId="1" xfId="0" applyNumberFormat="1" applyFont="1" applyBorder="1"/>
    <xf numFmtId="8" fontId="2" fillId="0" borderId="0" xfId="2" applyNumberFormat="1" applyFont="1" applyBorder="1"/>
    <xf numFmtId="8" fontId="2" fillId="0" borderId="1" xfId="2" applyNumberFormat="1" applyFont="1" applyBorder="1"/>
    <xf numFmtId="8" fontId="2" fillId="0" borderId="4" xfId="2" applyNumberFormat="1" applyFont="1" applyBorder="1"/>
    <xf numFmtId="0" fontId="2" fillId="5" borderId="3" xfId="0" applyFont="1" applyFill="1" applyBorder="1" applyAlignment="1">
      <alignment horizontal="center"/>
    </xf>
    <xf numFmtId="6" fontId="0" fillId="0" borderId="0" xfId="0" applyNumberFormat="1" applyFill="1" applyBorder="1"/>
    <xf numFmtId="6" fontId="0" fillId="0" borderId="8" xfId="0" applyNumberFormat="1" applyBorder="1"/>
    <xf numFmtId="168" fontId="0" fillId="0" borderId="0" xfId="0" applyNumberFormat="1"/>
    <xf numFmtId="172" fontId="2" fillId="4" borderId="3" xfId="4" applyNumberFormat="1" applyFont="1" applyFill="1" applyBorder="1"/>
    <xf numFmtId="170" fontId="2" fillId="4" borderId="3" xfId="2" applyNumberFormat="1" applyFont="1" applyFill="1" applyBorder="1" applyAlignment="1">
      <alignment horizontal="right"/>
    </xf>
    <xf numFmtId="170" fontId="1" fillId="0" borderId="0" xfId="2" applyNumberFormat="1" applyFont="1" applyBorder="1" applyAlignment="1">
      <alignment horizontal="right"/>
    </xf>
    <xf numFmtId="170" fontId="1" fillId="0" borderId="5" xfId="2" applyNumberFormat="1" applyFont="1" applyBorder="1" applyAlignment="1">
      <alignment horizontal="right"/>
    </xf>
    <xf numFmtId="170" fontId="2" fillId="3" borderId="0" xfId="2" applyNumberFormat="1" applyFont="1" applyFill="1" applyBorder="1" applyAlignment="1">
      <alignment horizontal="right"/>
    </xf>
    <xf numFmtId="170" fontId="1" fillId="0" borderId="1" xfId="2" applyNumberFormat="1" applyFont="1" applyBorder="1" applyAlignment="1">
      <alignment horizontal="right"/>
    </xf>
    <xf numFmtId="0" fontId="0" fillId="0" borderId="0" xfId="0" applyAlignment="1">
      <alignment horizontal="right"/>
    </xf>
    <xf numFmtId="170" fontId="1" fillId="0" borderId="8" xfId="2" applyNumberFormat="1" applyFont="1" applyBorder="1" applyAlignment="1">
      <alignment horizontal="right"/>
    </xf>
    <xf numFmtId="170" fontId="1" fillId="0" borderId="4" xfId="2" applyNumberFormat="1" applyFont="1" applyBorder="1" applyAlignment="1">
      <alignment horizontal="right"/>
    </xf>
    <xf numFmtId="170" fontId="2" fillId="3" borderId="4" xfId="2" applyNumberFormat="1" applyFont="1" applyFill="1" applyBorder="1" applyAlignment="1">
      <alignment horizontal="right"/>
    </xf>
    <xf numFmtId="170" fontId="1" fillId="0" borderId="9" xfId="2" applyNumberFormat="1" applyFont="1" applyBorder="1" applyAlignment="1">
      <alignment horizontal="right"/>
    </xf>
    <xf numFmtId="170" fontId="2" fillId="4" borderId="12" xfId="2" applyNumberFormat="1" applyFont="1" applyFill="1" applyBorder="1" applyAlignment="1">
      <alignment horizontal="right"/>
    </xf>
    <xf numFmtId="6" fontId="0" fillId="0" borderId="6" xfId="0" applyNumberFormat="1" applyBorder="1"/>
    <xf numFmtId="6" fontId="10" fillId="0" borderId="6" xfId="0" applyNumberFormat="1" applyFont="1" applyBorder="1"/>
    <xf numFmtId="172" fontId="15" fillId="4" borderId="3" xfId="4" applyNumberFormat="1" applyFont="1" applyFill="1" applyBorder="1"/>
    <xf numFmtId="173" fontId="4" fillId="0" borderId="0" xfId="5" applyNumberFormat="1" applyFont="1"/>
    <xf numFmtId="0" fontId="1" fillId="0" borderId="0" xfId="0" applyFont="1" applyFill="1" applyBorder="1"/>
    <xf numFmtId="16" fontId="0" fillId="0" borderId="0" xfId="0" applyNumberFormat="1"/>
    <xf numFmtId="6" fontId="1" fillId="0" borderId="0" xfId="0" applyNumberFormat="1" applyFont="1"/>
    <xf numFmtId="8" fontId="1" fillId="0" borderId="0" xfId="0" applyNumberFormat="1" applyFont="1"/>
    <xf numFmtId="10" fontId="1" fillId="0" borderId="0" xfId="0" applyNumberFormat="1" applyFont="1"/>
    <xf numFmtId="8" fontId="1" fillId="0" borderId="7" xfId="2" applyNumberFormat="1" applyFont="1" applyBorder="1"/>
    <xf numFmtId="8" fontId="1" fillId="0" borderId="5" xfId="2" applyNumberFormat="1" applyFont="1" applyBorder="1"/>
    <xf numFmtId="8" fontId="1" fillId="0" borderId="8" xfId="2" applyNumberFormat="1" applyFont="1" applyBorder="1"/>
    <xf numFmtId="8" fontId="1" fillId="0" borderId="6" xfId="2" applyNumberFormat="1" applyFont="1" applyBorder="1"/>
    <xf numFmtId="8" fontId="1" fillId="0" borderId="10" xfId="2" applyNumberFormat="1" applyFont="1" applyBorder="1"/>
    <xf numFmtId="8" fontId="2" fillId="0" borderId="5" xfId="2" applyNumberFormat="1" applyFont="1" applyBorder="1"/>
    <xf numFmtId="8" fontId="2" fillId="0" borderId="6" xfId="2" applyNumberFormat="1" applyFont="1" applyBorder="1"/>
    <xf numFmtId="10" fontId="1" fillId="0" borderId="6" xfId="0" applyNumberFormat="1" applyFont="1" applyBorder="1"/>
    <xf numFmtId="170" fontId="1" fillId="0" borderId="6" xfId="2" applyNumberFormat="1" applyFont="1" applyBorder="1"/>
    <xf numFmtId="6" fontId="1" fillId="0" borderId="1" xfId="0" applyNumberFormat="1" applyFont="1" applyBorder="1"/>
    <xf numFmtId="6" fontId="1" fillId="0" borderId="9" xfId="0" applyNumberFormat="1" applyFont="1" applyBorder="1"/>
    <xf numFmtId="6" fontId="1" fillId="0" borderId="6" xfId="0" applyNumberFormat="1" applyFont="1" applyBorder="1"/>
    <xf numFmtId="167" fontId="1" fillId="0" borderId="0" xfId="1" applyNumberFormat="1" applyFont="1" applyBorder="1"/>
    <xf numFmtId="10" fontId="11" fillId="0" borderId="4" xfId="0" applyNumberFormat="1" applyFont="1" applyBorder="1"/>
    <xf numFmtId="170" fontId="11" fillId="0" borderId="4" xfId="2" applyNumberFormat="1" applyFont="1" applyBorder="1"/>
    <xf numFmtId="0" fontId="2" fillId="0" borderId="6" xfId="0" applyFont="1" applyBorder="1" applyAlignment="1">
      <alignment horizontal="center" vertical="center" textRotation="90" wrapText="1"/>
    </xf>
    <xf numFmtId="0" fontId="2" fillId="0" borderId="10" xfId="0" applyFont="1" applyBorder="1" applyAlignment="1">
      <alignment horizontal="center" vertical="center" textRotation="90" wrapText="1"/>
    </xf>
    <xf numFmtId="0" fontId="2" fillId="0" borderId="5" xfId="0" applyFont="1" applyBorder="1" applyAlignment="1">
      <alignment horizontal="center" vertical="center"/>
    </xf>
    <xf numFmtId="0" fontId="2" fillId="0" borderId="8" xfId="0" applyFont="1" applyBorder="1" applyAlignment="1">
      <alignment horizontal="center" vertical="center"/>
    </xf>
  </cellXfs>
  <cellStyles count="6">
    <cellStyle name="Comma" xfId="5" builtinId="3"/>
    <cellStyle name="Currency" xfId="4" builtinId="4"/>
    <cellStyle name="Currency [0]" xfId="3" builtinId="7"/>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v/>
          </c:tx>
          <c:spPr>
            <a:noFill/>
          </c:spPr>
          <c:invertIfNegative val="0"/>
          <c:cat>
            <c:strRef>
              <c:f>'Valuation Summary'!$B$24:$B$32</c:f>
              <c:strCache>
                <c:ptCount val="8"/>
                <c:pt idx="0">
                  <c:v>7.98% - 11.98% Discount Rate &amp; 1.00% - 3.00% Growth Rate</c:v>
                </c:pt>
                <c:pt idx="2">
                  <c:v>2010 EV / Revenue:</c:v>
                </c:pt>
                <c:pt idx="3">
                  <c:v>2011 EV / Revenue:</c:v>
                </c:pt>
                <c:pt idx="4">
                  <c:v>2010 EV / EBITDA:</c:v>
                </c:pt>
                <c:pt idx="5">
                  <c:v>2011 EV / EBITDA:</c:v>
                </c:pt>
                <c:pt idx="6">
                  <c:v>2010 P / E:</c:v>
                </c:pt>
                <c:pt idx="7">
                  <c:v>2011 P / E:</c:v>
                </c:pt>
              </c:strCache>
            </c:strRef>
          </c:cat>
          <c:val>
            <c:numRef>
              <c:f>'Valuation Summary'!$M$24:$M$32</c:f>
              <c:numCache>
                <c:formatCode>"$"#,##0.00_);[Red]\("$"#,##0.00\)</c:formatCode>
                <c:ptCount val="9"/>
                <c:pt idx="0">
                  <c:v>34.682227018016199</c:v>
                </c:pt>
                <c:pt idx="2">
                  <c:v>0</c:v>
                </c:pt>
                <c:pt idx="3">
                  <c:v>0</c:v>
                </c:pt>
                <c:pt idx="4">
                  <c:v>0</c:v>
                </c:pt>
                <c:pt idx="5">
                  <c:v>0</c:v>
                </c:pt>
                <c:pt idx="6">
                  <c:v>0</c:v>
                </c:pt>
                <c:pt idx="7">
                  <c:v>0</c:v>
                </c:pt>
              </c:numCache>
            </c:numRef>
          </c:val>
        </c:ser>
        <c:ser>
          <c:idx val="1"/>
          <c:order val="1"/>
          <c:tx>
            <c:v>Min to 25th</c:v>
          </c:tx>
          <c:spPr>
            <a:solidFill>
              <a:schemeClr val="bg1"/>
            </a:solidFill>
            <a:ln>
              <a:solidFill>
                <a:schemeClr val="tx1"/>
              </a:solidFill>
            </a:ln>
          </c:spPr>
          <c:invertIfNegative val="0"/>
          <c:cat>
            <c:strRef>
              <c:f>'Valuation Summary'!$B$24:$B$32</c:f>
              <c:strCache>
                <c:ptCount val="8"/>
                <c:pt idx="0">
                  <c:v>7.98% - 11.98% Discount Rate &amp; 1.00% - 3.00% Growth Rate</c:v>
                </c:pt>
                <c:pt idx="2">
                  <c:v>2010 EV / Revenue:</c:v>
                </c:pt>
                <c:pt idx="3">
                  <c:v>2011 EV / Revenue:</c:v>
                </c:pt>
                <c:pt idx="4">
                  <c:v>2010 EV / EBITDA:</c:v>
                </c:pt>
                <c:pt idx="5">
                  <c:v>2011 EV / EBITDA:</c:v>
                </c:pt>
                <c:pt idx="6">
                  <c:v>2010 P / E:</c:v>
                </c:pt>
                <c:pt idx="7">
                  <c:v>2011 P / E:</c:v>
                </c:pt>
              </c:strCache>
            </c:strRef>
          </c:cat>
          <c:val>
            <c:numRef>
              <c:f>'Valuation Summary'!$N$24:$N$32</c:f>
              <c:numCache>
                <c:formatCode>"$"#,##0.00_);[Red]\("$"#,##0.00\)</c:formatCode>
                <c:ptCount val="9"/>
                <c:pt idx="0">
                  <c:v>3.0877650788589506</c:v>
                </c:pt>
                <c:pt idx="2">
                  <c:v>0</c:v>
                </c:pt>
                <c:pt idx="3">
                  <c:v>0</c:v>
                </c:pt>
                <c:pt idx="4">
                  <c:v>0</c:v>
                </c:pt>
                <c:pt idx="5">
                  <c:v>0</c:v>
                </c:pt>
                <c:pt idx="6">
                  <c:v>0</c:v>
                </c:pt>
                <c:pt idx="7">
                  <c:v>0</c:v>
                </c:pt>
              </c:numCache>
            </c:numRef>
          </c:val>
        </c:ser>
        <c:ser>
          <c:idx val="2"/>
          <c:order val="2"/>
          <c:tx>
            <c:v>25th to Median</c:v>
          </c:tx>
          <c:spPr>
            <a:solidFill>
              <a:schemeClr val="accent1">
                <a:lumMod val="40000"/>
                <a:lumOff val="60000"/>
              </a:schemeClr>
            </a:solidFill>
            <a:ln>
              <a:solidFill>
                <a:prstClr val="black"/>
              </a:solidFill>
            </a:ln>
          </c:spPr>
          <c:invertIfNegative val="0"/>
          <c:cat>
            <c:strRef>
              <c:f>'Valuation Summary'!$B$24:$B$32</c:f>
              <c:strCache>
                <c:ptCount val="8"/>
                <c:pt idx="0">
                  <c:v>7.98% - 11.98% Discount Rate &amp; 1.00% - 3.00% Growth Rate</c:v>
                </c:pt>
                <c:pt idx="2">
                  <c:v>2010 EV / Revenue:</c:v>
                </c:pt>
                <c:pt idx="3">
                  <c:v>2011 EV / Revenue:</c:v>
                </c:pt>
                <c:pt idx="4">
                  <c:v>2010 EV / EBITDA:</c:v>
                </c:pt>
                <c:pt idx="5">
                  <c:v>2011 EV / EBITDA:</c:v>
                </c:pt>
                <c:pt idx="6">
                  <c:v>2010 P / E:</c:v>
                </c:pt>
                <c:pt idx="7">
                  <c:v>2011 P / E:</c:v>
                </c:pt>
              </c:strCache>
            </c:strRef>
          </c:cat>
          <c:val>
            <c:numRef>
              <c:f>'Valuation Summary'!$O$24:$O$32</c:f>
              <c:numCache>
                <c:formatCode>"$"#,##0.00_);[Red]\("$"#,##0.00\)</c:formatCode>
                <c:ptCount val="9"/>
                <c:pt idx="0">
                  <c:v>4.1745498639730343</c:v>
                </c:pt>
                <c:pt idx="2">
                  <c:v>0</c:v>
                </c:pt>
                <c:pt idx="3">
                  <c:v>0</c:v>
                </c:pt>
                <c:pt idx="4">
                  <c:v>0</c:v>
                </c:pt>
                <c:pt idx="5">
                  <c:v>0</c:v>
                </c:pt>
                <c:pt idx="6">
                  <c:v>0</c:v>
                </c:pt>
                <c:pt idx="7">
                  <c:v>0</c:v>
                </c:pt>
              </c:numCache>
            </c:numRef>
          </c:val>
        </c:ser>
        <c:ser>
          <c:idx val="3"/>
          <c:order val="3"/>
          <c:tx>
            <c:v>Median to 75th</c:v>
          </c:tx>
          <c:spPr>
            <a:ln>
              <a:solidFill>
                <a:prstClr val="black"/>
              </a:solidFill>
            </a:ln>
          </c:spPr>
          <c:invertIfNegative val="0"/>
          <c:cat>
            <c:strRef>
              <c:f>'Valuation Summary'!$B$24:$B$32</c:f>
              <c:strCache>
                <c:ptCount val="8"/>
                <c:pt idx="0">
                  <c:v>7.98% - 11.98% Discount Rate &amp; 1.00% - 3.00% Growth Rate</c:v>
                </c:pt>
                <c:pt idx="2">
                  <c:v>2010 EV / Revenue:</c:v>
                </c:pt>
                <c:pt idx="3">
                  <c:v>2011 EV / Revenue:</c:v>
                </c:pt>
                <c:pt idx="4">
                  <c:v>2010 EV / EBITDA:</c:v>
                </c:pt>
                <c:pt idx="5">
                  <c:v>2011 EV / EBITDA:</c:v>
                </c:pt>
                <c:pt idx="6">
                  <c:v>2010 P / E:</c:v>
                </c:pt>
                <c:pt idx="7">
                  <c:v>2011 P / E:</c:v>
                </c:pt>
              </c:strCache>
            </c:strRef>
          </c:cat>
          <c:val>
            <c:numRef>
              <c:f>'Valuation Summary'!$P$24:$P$32</c:f>
              <c:numCache>
                <c:formatCode>"$"#,##0.00_);[Red]\("$"#,##0.00\)</c:formatCode>
                <c:ptCount val="9"/>
                <c:pt idx="0">
                  <c:v>6.0101491934223361</c:v>
                </c:pt>
                <c:pt idx="2">
                  <c:v>0</c:v>
                </c:pt>
                <c:pt idx="3">
                  <c:v>0</c:v>
                </c:pt>
                <c:pt idx="4">
                  <c:v>0</c:v>
                </c:pt>
                <c:pt idx="5">
                  <c:v>0</c:v>
                </c:pt>
                <c:pt idx="6">
                  <c:v>0</c:v>
                </c:pt>
                <c:pt idx="7">
                  <c:v>0</c:v>
                </c:pt>
              </c:numCache>
            </c:numRef>
          </c:val>
        </c:ser>
        <c:ser>
          <c:idx val="4"/>
          <c:order val="4"/>
          <c:tx>
            <c:v>75th to Max</c:v>
          </c:tx>
          <c:spPr>
            <a:solidFill>
              <a:schemeClr val="bg1"/>
            </a:solidFill>
            <a:ln>
              <a:solidFill>
                <a:prstClr val="black"/>
              </a:solidFill>
            </a:ln>
          </c:spPr>
          <c:invertIfNegative val="0"/>
          <c:cat>
            <c:strRef>
              <c:f>'Valuation Summary'!$B$24:$B$32</c:f>
              <c:strCache>
                <c:ptCount val="8"/>
                <c:pt idx="0">
                  <c:v>7.98% - 11.98% Discount Rate &amp; 1.00% - 3.00% Growth Rate</c:v>
                </c:pt>
                <c:pt idx="2">
                  <c:v>2010 EV / Revenue:</c:v>
                </c:pt>
                <c:pt idx="3">
                  <c:v>2011 EV / Revenue:</c:v>
                </c:pt>
                <c:pt idx="4">
                  <c:v>2010 EV / EBITDA:</c:v>
                </c:pt>
                <c:pt idx="5">
                  <c:v>2011 EV / EBITDA:</c:v>
                </c:pt>
                <c:pt idx="6">
                  <c:v>2010 P / E:</c:v>
                </c:pt>
                <c:pt idx="7">
                  <c:v>2011 P / E:</c:v>
                </c:pt>
              </c:strCache>
            </c:strRef>
          </c:cat>
          <c:val>
            <c:numRef>
              <c:f>'Valuation Summary'!$Q$24:$Q$32</c:f>
              <c:numCache>
                <c:formatCode>"$"#,##0.00_);[Red]\("$"#,##0.00\)</c:formatCode>
                <c:ptCount val="9"/>
                <c:pt idx="0">
                  <c:v>9.4955248104779315</c:v>
                </c:pt>
                <c:pt idx="2">
                  <c:v>0</c:v>
                </c:pt>
                <c:pt idx="3">
                  <c:v>0</c:v>
                </c:pt>
                <c:pt idx="4">
                  <c:v>0</c:v>
                </c:pt>
                <c:pt idx="5">
                  <c:v>0</c:v>
                </c:pt>
                <c:pt idx="6">
                  <c:v>0</c:v>
                </c:pt>
                <c:pt idx="7">
                  <c:v>0</c:v>
                </c:pt>
              </c:numCache>
            </c:numRef>
          </c:val>
        </c:ser>
        <c:dLbls>
          <c:showLegendKey val="0"/>
          <c:showVal val="0"/>
          <c:showCatName val="0"/>
          <c:showSerName val="0"/>
          <c:showPercent val="0"/>
          <c:showBubbleSize val="0"/>
        </c:dLbls>
        <c:gapWidth val="150"/>
        <c:overlap val="100"/>
        <c:axId val="84214528"/>
        <c:axId val="84216064"/>
      </c:barChart>
      <c:catAx>
        <c:axId val="84214528"/>
        <c:scaling>
          <c:orientation val="minMax"/>
        </c:scaling>
        <c:delete val="0"/>
        <c:axPos val="l"/>
        <c:majorTickMark val="out"/>
        <c:minorTickMark val="none"/>
        <c:tickLblPos val="nextTo"/>
        <c:crossAx val="84216064"/>
        <c:crosses val="autoZero"/>
        <c:auto val="1"/>
        <c:lblAlgn val="ctr"/>
        <c:lblOffset val="100"/>
        <c:noMultiLvlLbl val="0"/>
      </c:catAx>
      <c:valAx>
        <c:axId val="84216064"/>
        <c:scaling>
          <c:orientation val="minMax"/>
        </c:scaling>
        <c:delete val="0"/>
        <c:axPos val="b"/>
        <c:majorGridlines/>
        <c:numFmt formatCode="&quot;$&quot;#,##0.00_);[Red]\(&quot;$&quot;#,##0.00\)" sourceLinked="1"/>
        <c:majorTickMark val="out"/>
        <c:minorTickMark val="none"/>
        <c:tickLblPos val="nextTo"/>
        <c:crossAx val="84214528"/>
        <c:crosses val="autoZero"/>
        <c:crossBetween val="between"/>
      </c:valAx>
    </c:plotArea>
    <c:legend>
      <c:legendPos val="r"/>
      <c:overlay val="0"/>
    </c:legend>
    <c:plotVisOnly val="1"/>
    <c:dispBlanksAs val="gap"/>
    <c:showDLblsOverMax val="0"/>
  </c:chart>
  <c:printSettings>
    <c:headerFooter/>
    <c:pageMargins b="0.75000000000000122" l="0.70000000000000062" r="0.70000000000000062" t="0.75000000000000122"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169334</xdr:colOff>
      <xdr:row>32</xdr:row>
      <xdr:rowOff>137584</xdr:rowOff>
    </xdr:from>
    <xdr:to>
      <xdr:col>16</xdr:col>
      <xdr:colOff>198969</xdr:colOff>
      <xdr:row>51</xdr:row>
      <xdr:rowOff>128059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0.05128</cdr:x>
      <cdr:y>0.0559</cdr:y>
    </cdr:from>
    <cdr:to>
      <cdr:x>0.27416</cdr:x>
      <cdr:y>0.13975</cdr:y>
    </cdr:to>
    <cdr:sp macro="" textlink="">
      <cdr:nvSpPr>
        <cdr:cNvPr id="2" name="TextBox 1"/>
        <cdr:cNvSpPr txBox="1"/>
      </cdr:nvSpPr>
      <cdr:spPr>
        <a:xfrm xmlns:a="http://schemas.openxmlformats.org/drawingml/2006/main">
          <a:off x="495301" y="171449"/>
          <a:ext cx="2152651"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b="1"/>
            <a:t>Comparable</a:t>
          </a:r>
          <a:r>
            <a:rPr lang="en-CA" sz="1100" b="1" baseline="0"/>
            <a:t> Companies Analysis</a:t>
          </a:r>
          <a:endParaRPr lang="en-CA" sz="1100" b="1"/>
        </a:p>
      </cdr:txBody>
    </cdr:sp>
  </cdr:relSizeAnchor>
  <cdr:relSizeAnchor xmlns:cdr="http://schemas.openxmlformats.org/drawingml/2006/chartDrawing">
    <cdr:from>
      <cdr:x>0.05523</cdr:x>
      <cdr:y>0.68944</cdr:y>
    </cdr:from>
    <cdr:to>
      <cdr:x>0.27022</cdr:x>
      <cdr:y>0.76087</cdr:y>
    </cdr:to>
    <cdr:sp macro="" textlink="">
      <cdr:nvSpPr>
        <cdr:cNvPr id="3" name="TextBox 2"/>
        <cdr:cNvSpPr txBox="1"/>
      </cdr:nvSpPr>
      <cdr:spPr>
        <a:xfrm xmlns:a="http://schemas.openxmlformats.org/drawingml/2006/main">
          <a:off x="533402" y="2114550"/>
          <a:ext cx="20764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b="1"/>
            <a:t>Discounted</a:t>
          </a:r>
          <a:r>
            <a:rPr lang="en-CA" sz="1100" b="1" baseline="0"/>
            <a:t> Cash Flow Analysis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90"/>
  <sheetViews>
    <sheetView tabSelected="1" zoomScale="90" zoomScaleNormal="90" workbookViewId="0">
      <selection activeCell="G23" sqref="G23"/>
    </sheetView>
  </sheetViews>
  <sheetFormatPr defaultRowHeight="12.75" outlineLevelRow="1" x14ac:dyDescent="0.2"/>
  <cols>
    <col min="1" max="1" width="2.85546875" customWidth="1"/>
    <col min="5" max="5" width="12.7109375" bestFit="1" customWidth="1"/>
    <col min="6" max="6" width="11.5703125" bestFit="1" customWidth="1"/>
    <col min="7" max="9" width="12.7109375" bestFit="1" customWidth="1"/>
    <col min="10" max="10" width="12.7109375" customWidth="1"/>
    <col min="11" max="14" width="12.7109375" bestFit="1" customWidth="1"/>
  </cols>
  <sheetData>
    <row r="1" spans="2:14" x14ac:dyDescent="0.2">
      <c r="B1" s="1" t="str">
        <f>"Financial Statements - "&amp;TEXT(Company_Name,"")</f>
        <v>Financial Statements - Cymer Inc.</v>
      </c>
    </row>
    <row r="2" spans="2:14" x14ac:dyDescent="0.2">
      <c r="B2" s="63" t="s">
        <v>308</v>
      </c>
    </row>
    <row r="4" spans="2:14" x14ac:dyDescent="0.2">
      <c r="B4" s="35" t="s">
        <v>65</v>
      </c>
      <c r="C4" s="36"/>
      <c r="D4" s="36"/>
      <c r="E4" s="36"/>
      <c r="F4" s="36"/>
      <c r="G4" s="36"/>
      <c r="H4" s="36"/>
      <c r="I4" s="36"/>
      <c r="J4" s="36"/>
      <c r="K4" s="36"/>
      <c r="L4" s="36"/>
      <c r="M4" s="36"/>
      <c r="N4" s="37"/>
    </row>
    <row r="5" spans="2:14" x14ac:dyDescent="0.2">
      <c r="B5" s="2"/>
      <c r="C5" s="3"/>
      <c r="D5" s="3"/>
      <c r="E5" s="3"/>
      <c r="F5" s="3"/>
      <c r="G5" s="3"/>
      <c r="H5" s="3"/>
      <c r="I5" s="3"/>
      <c r="J5" s="3"/>
      <c r="K5" s="3"/>
      <c r="L5" s="3"/>
      <c r="M5" s="3"/>
      <c r="N5" s="12"/>
    </row>
    <row r="6" spans="2:14" x14ac:dyDescent="0.2">
      <c r="B6" s="69" t="s">
        <v>8</v>
      </c>
      <c r="C6" s="3"/>
      <c r="D6" s="3"/>
      <c r="E6" s="78">
        <v>40793</v>
      </c>
      <c r="F6" s="3"/>
      <c r="G6" s="3"/>
      <c r="H6" s="80" t="s">
        <v>228</v>
      </c>
      <c r="I6" s="3"/>
      <c r="J6" s="152" t="s">
        <v>338</v>
      </c>
      <c r="L6" s="3"/>
      <c r="M6" s="3"/>
      <c r="N6" s="12"/>
    </row>
    <row r="7" spans="2:14" x14ac:dyDescent="0.2">
      <c r="B7" s="69" t="s">
        <v>9</v>
      </c>
      <c r="C7" s="3"/>
      <c r="D7" s="3"/>
      <c r="E7" s="79" t="s">
        <v>363</v>
      </c>
      <c r="F7" s="3"/>
      <c r="G7" s="3"/>
      <c r="H7" s="80" t="s">
        <v>207</v>
      </c>
      <c r="I7" s="3"/>
      <c r="J7" s="79">
        <v>2010</v>
      </c>
      <c r="K7" s="3"/>
      <c r="L7" s="3"/>
      <c r="M7" s="3"/>
      <c r="N7" s="12"/>
    </row>
    <row r="8" spans="2:14" x14ac:dyDescent="0.2">
      <c r="B8" s="69" t="s">
        <v>10</v>
      </c>
      <c r="C8" s="3"/>
      <c r="D8" s="3"/>
      <c r="E8" s="107">
        <v>45</v>
      </c>
      <c r="F8" s="3"/>
      <c r="G8" s="3"/>
      <c r="H8" s="80" t="s">
        <v>206</v>
      </c>
      <c r="I8" s="3"/>
      <c r="J8" s="79">
        <v>365</v>
      </c>
      <c r="K8" s="3"/>
      <c r="L8" s="3"/>
      <c r="M8" s="3"/>
      <c r="N8" s="12"/>
    </row>
    <row r="9" spans="2:14" x14ac:dyDescent="0.2">
      <c r="B9" s="2"/>
      <c r="C9" s="3"/>
      <c r="D9" s="3"/>
      <c r="E9" s="3"/>
      <c r="F9" s="3"/>
      <c r="G9" s="3"/>
      <c r="H9" s="3"/>
      <c r="I9" s="3"/>
      <c r="J9" s="3"/>
      <c r="K9" s="3"/>
      <c r="L9" s="3"/>
      <c r="M9" s="3"/>
      <c r="N9" s="12"/>
    </row>
    <row r="10" spans="2:14" x14ac:dyDescent="0.2">
      <c r="B10" s="69" t="s">
        <v>180</v>
      </c>
      <c r="C10" s="3"/>
      <c r="D10" s="3"/>
      <c r="E10" s="134">
        <v>30540</v>
      </c>
      <c r="F10" s="3"/>
      <c r="G10" s="3"/>
      <c r="H10" s="3"/>
      <c r="I10" s="3"/>
      <c r="J10" s="3"/>
      <c r="K10" s="3"/>
      <c r="L10" s="3"/>
      <c r="M10" s="3"/>
      <c r="N10" s="12"/>
    </row>
    <row r="11" spans="2:14" x14ac:dyDescent="0.2">
      <c r="B11" s="69" t="s">
        <v>181</v>
      </c>
      <c r="C11" s="3"/>
      <c r="D11" s="3"/>
      <c r="E11" s="82">
        <f>E10*E8</f>
        <v>1374300</v>
      </c>
      <c r="F11" s="3"/>
      <c r="G11" s="3"/>
      <c r="H11" s="3"/>
      <c r="I11" s="3"/>
      <c r="J11" s="3"/>
      <c r="K11" s="3"/>
      <c r="L11" s="3"/>
      <c r="M11" s="3"/>
      <c r="N11" s="12"/>
    </row>
    <row r="12" spans="2:14" x14ac:dyDescent="0.2">
      <c r="B12" s="70" t="s">
        <v>182</v>
      </c>
      <c r="C12" s="3"/>
      <c r="D12" s="3"/>
      <c r="E12" s="82">
        <f>-I71-I73-I85</f>
        <v>-200309</v>
      </c>
      <c r="F12" s="3"/>
      <c r="G12" s="3"/>
      <c r="H12" s="3"/>
      <c r="I12" s="3"/>
      <c r="J12" s="3"/>
      <c r="K12" s="3"/>
      <c r="L12" s="3"/>
      <c r="M12" s="3"/>
      <c r="N12" s="12"/>
    </row>
    <row r="13" spans="2:14" x14ac:dyDescent="0.2">
      <c r="B13" s="70" t="s">
        <v>183</v>
      </c>
      <c r="C13" s="3"/>
      <c r="D13" s="3"/>
      <c r="E13" s="82">
        <f>I105+I110+I115</f>
        <v>0</v>
      </c>
      <c r="F13" s="3"/>
      <c r="G13" s="3"/>
      <c r="H13" s="3"/>
      <c r="I13" s="3"/>
      <c r="J13" s="3"/>
      <c r="K13" s="3"/>
      <c r="L13" s="3"/>
      <c r="M13" s="3"/>
      <c r="N13" s="12"/>
    </row>
    <row r="14" spans="2:14" x14ac:dyDescent="0.2">
      <c r="B14" s="70" t="s">
        <v>184</v>
      </c>
      <c r="C14" s="3"/>
      <c r="D14" s="3"/>
      <c r="E14" s="82">
        <f>I118</f>
        <v>0</v>
      </c>
      <c r="F14" s="3"/>
      <c r="G14" s="3"/>
      <c r="H14" s="3"/>
      <c r="I14" s="3"/>
      <c r="J14" s="3"/>
      <c r="K14" s="3"/>
      <c r="L14" s="3"/>
      <c r="M14" s="3"/>
      <c r="N14" s="12"/>
    </row>
    <row r="15" spans="2:14" x14ac:dyDescent="0.2">
      <c r="B15" s="70" t="s">
        <v>185</v>
      </c>
      <c r="C15" s="3"/>
      <c r="D15" s="3"/>
      <c r="E15" s="90">
        <v>0</v>
      </c>
      <c r="F15" s="3"/>
      <c r="G15" s="3"/>
      <c r="H15" s="3"/>
      <c r="I15" s="3"/>
      <c r="J15" s="3"/>
      <c r="K15" s="3"/>
      <c r="L15" s="3"/>
      <c r="M15" s="3"/>
      <c r="N15" s="12"/>
    </row>
    <row r="16" spans="2:14" x14ac:dyDescent="0.2">
      <c r="B16" s="70" t="s">
        <v>186</v>
      </c>
      <c r="C16" s="3"/>
      <c r="D16" s="3"/>
      <c r="E16" s="90">
        <v>0</v>
      </c>
      <c r="F16" s="3"/>
      <c r="G16" s="3"/>
      <c r="H16" s="3"/>
      <c r="I16" s="3"/>
      <c r="J16" s="3"/>
      <c r="K16" s="3"/>
      <c r="L16" s="3"/>
      <c r="M16" s="3"/>
      <c r="N16" s="12"/>
    </row>
    <row r="17" spans="2:14" x14ac:dyDescent="0.2">
      <c r="B17" s="69" t="s">
        <v>32</v>
      </c>
      <c r="C17" s="3"/>
      <c r="D17" s="3"/>
      <c r="E17" s="87">
        <f>SUM(E11:E16)</f>
        <v>1173991</v>
      </c>
      <c r="F17" s="3"/>
      <c r="G17" s="3"/>
      <c r="H17" s="3"/>
      <c r="I17" s="3"/>
      <c r="J17" s="3"/>
      <c r="K17" s="3"/>
      <c r="L17" s="3"/>
      <c r="M17" s="3"/>
      <c r="N17" s="12"/>
    </row>
    <row r="18" spans="2:14" x14ac:dyDescent="0.2">
      <c r="B18" s="70"/>
      <c r="C18" s="3"/>
      <c r="D18" s="3"/>
      <c r="E18" s="3"/>
      <c r="F18" s="3"/>
      <c r="G18" s="3"/>
      <c r="H18" s="3"/>
      <c r="I18" s="3"/>
      <c r="J18" s="3"/>
      <c r="K18" s="3"/>
      <c r="L18" s="3"/>
      <c r="M18" s="3"/>
      <c r="N18" s="12"/>
    </row>
    <row r="19" spans="2:14" x14ac:dyDescent="0.2">
      <c r="B19" s="2"/>
      <c r="C19" s="3"/>
      <c r="D19" s="3"/>
      <c r="E19" s="3"/>
      <c r="F19" s="64" t="s">
        <v>66</v>
      </c>
      <c r="G19" s="65"/>
      <c r="H19" s="66"/>
      <c r="I19" s="65"/>
      <c r="J19" s="65" t="s">
        <v>67</v>
      </c>
      <c r="K19" s="65"/>
      <c r="L19" s="65"/>
      <c r="M19" s="65"/>
      <c r="N19" s="66"/>
    </row>
    <row r="20" spans="2:14" hidden="1" outlineLevel="1" x14ac:dyDescent="0.2">
      <c r="B20" s="2"/>
      <c r="C20" s="3"/>
      <c r="D20" s="3"/>
      <c r="E20" s="3"/>
      <c r="F20" s="80">
        <f>J7-3</f>
        <v>2007</v>
      </c>
      <c r="G20" s="80">
        <f>F20+1</f>
        <v>2008</v>
      </c>
      <c r="H20" s="97">
        <f>G20+1</f>
        <v>2009</v>
      </c>
      <c r="I20" s="96">
        <f t="shared" ref="I20:N20" si="0">H20+1</f>
        <v>2010</v>
      </c>
      <c r="J20" s="80">
        <f t="shared" si="0"/>
        <v>2011</v>
      </c>
      <c r="K20" s="80">
        <f t="shared" si="0"/>
        <v>2012</v>
      </c>
      <c r="L20" s="80">
        <f>K20+1</f>
        <v>2013</v>
      </c>
      <c r="M20" s="80">
        <f t="shared" si="0"/>
        <v>2014</v>
      </c>
      <c r="N20" s="77">
        <f t="shared" si="0"/>
        <v>2015</v>
      </c>
    </row>
    <row r="21" spans="2:14" collapsed="1" x14ac:dyDescent="0.2">
      <c r="B21" s="2"/>
      <c r="C21" s="3"/>
      <c r="D21" s="3"/>
      <c r="E21" s="3"/>
      <c r="F21" s="67" t="str">
        <f t="shared" ref="F21:N21" si="1">"FY "&amp;F20</f>
        <v>FY 2007</v>
      </c>
      <c r="G21" s="67" t="str">
        <f t="shared" si="1"/>
        <v>FY 2008</v>
      </c>
      <c r="H21" s="67" t="str">
        <f t="shared" si="1"/>
        <v>FY 2009</v>
      </c>
      <c r="I21" s="68" t="str">
        <f t="shared" si="1"/>
        <v>FY 2010</v>
      </c>
      <c r="J21" s="67" t="str">
        <f t="shared" si="1"/>
        <v>FY 2011</v>
      </c>
      <c r="K21" s="67" t="str">
        <f t="shared" si="1"/>
        <v>FY 2012</v>
      </c>
      <c r="L21" s="67" t="str">
        <f t="shared" si="1"/>
        <v>FY 2013</v>
      </c>
      <c r="M21" s="67" t="str">
        <f t="shared" si="1"/>
        <v>FY 2014</v>
      </c>
      <c r="N21" s="68" t="str">
        <f t="shared" si="1"/>
        <v>FY 2015</v>
      </c>
    </row>
    <row r="22" spans="2:14" x14ac:dyDescent="0.2">
      <c r="B22" s="2"/>
      <c r="C22" s="3"/>
      <c r="D22" s="3"/>
      <c r="E22" s="3"/>
      <c r="F22" s="3"/>
      <c r="G22" s="3"/>
      <c r="H22" s="3"/>
      <c r="I22" s="9"/>
      <c r="J22" s="3"/>
      <c r="K22" s="3"/>
      <c r="L22" s="3"/>
      <c r="M22" s="3"/>
      <c r="N22" s="9"/>
    </row>
    <row r="23" spans="2:14" x14ac:dyDescent="0.2">
      <c r="B23" s="69" t="s">
        <v>68</v>
      </c>
      <c r="C23" s="3"/>
      <c r="D23" s="3"/>
      <c r="E23" s="3"/>
      <c r="F23" s="131">
        <f>$E$17/F35</f>
        <v>2.2503354443967369</v>
      </c>
      <c r="G23" s="131">
        <f t="shared" ref="G23:N23" si="2">$E$17/G35</f>
        <v>2.5576588745343241</v>
      </c>
      <c r="H23" s="131">
        <f t="shared" si="2"/>
        <v>3.8158218056061157</v>
      </c>
      <c r="I23" s="129">
        <f t="shared" si="2"/>
        <v>2.1976248996179399</v>
      </c>
      <c r="J23" s="131">
        <f t="shared" si="2"/>
        <v>2.0538550463719063</v>
      </c>
      <c r="K23" s="131">
        <f t="shared" si="2"/>
        <v>1.9194906975438377</v>
      </c>
      <c r="L23" s="131">
        <f t="shared" si="2"/>
        <v>1.8108402807017336</v>
      </c>
      <c r="M23" s="131">
        <f t="shared" si="2"/>
        <v>1.7083398874544655</v>
      </c>
      <c r="N23" s="129">
        <f t="shared" si="2"/>
        <v>1.6269903690042529</v>
      </c>
    </row>
    <row r="24" spans="2:14" x14ac:dyDescent="0.2">
      <c r="B24" s="69" t="s">
        <v>69</v>
      </c>
      <c r="C24" s="3"/>
      <c r="D24" s="3"/>
      <c r="E24" s="3"/>
      <c r="F24" s="131">
        <f>$E$17/F43</f>
        <v>10.256600443815415</v>
      </c>
      <c r="G24" s="131">
        <f t="shared" ref="G24:N24" si="3">$E$17/G43</f>
        <v>19.539812256582671</v>
      </c>
      <c r="H24" s="131">
        <f t="shared" si="3"/>
        <v>65.127648951514473</v>
      </c>
      <c r="I24" s="129">
        <f t="shared" si="3"/>
        <v>9.6931123881237813</v>
      </c>
      <c r="J24" s="131">
        <f t="shared" si="3"/>
        <v>9.0589835403026004</v>
      </c>
      <c r="K24" s="131">
        <f t="shared" si="3"/>
        <v>8.4663397572921451</v>
      </c>
      <c r="L24" s="131">
        <f t="shared" si="3"/>
        <v>7.9871129785775006</v>
      </c>
      <c r="M24" s="131">
        <f t="shared" si="3"/>
        <v>7.5350122439410372</v>
      </c>
      <c r="N24" s="129">
        <f t="shared" si="3"/>
        <v>7.1762021370867002</v>
      </c>
    </row>
    <row r="25" spans="2:14" x14ac:dyDescent="0.2">
      <c r="B25" s="69" t="s">
        <v>70</v>
      </c>
      <c r="C25" s="3"/>
      <c r="D25" s="3"/>
      <c r="E25" s="3"/>
      <c r="F25" s="131">
        <f>$E$17/F48</f>
        <v>10.256600443815415</v>
      </c>
      <c r="G25" s="131">
        <f t="shared" ref="G25:N25" si="4">$E$17/G48</f>
        <v>19.539812256582671</v>
      </c>
      <c r="H25" s="131">
        <f t="shared" si="4"/>
        <v>65.127648951514473</v>
      </c>
      <c r="I25" s="129">
        <f t="shared" si="4"/>
        <v>9.6931123881237813</v>
      </c>
      <c r="J25" s="131">
        <f t="shared" si="4"/>
        <v>11.284218284591516</v>
      </c>
      <c r="K25" s="131">
        <f t="shared" si="4"/>
        <v>10.545998396814493</v>
      </c>
      <c r="L25" s="131">
        <f t="shared" si="4"/>
        <v>9.7776301011394562</v>
      </c>
      <c r="M25" s="131">
        <f t="shared" si="4"/>
        <v>9.2241793406976029</v>
      </c>
      <c r="N25" s="129">
        <f t="shared" si="4"/>
        <v>8.6333443505475937</v>
      </c>
    </row>
    <row r="26" spans="2:14" x14ac:dyDescent="0.2">
      <c r="B26" s="69"/>
      <c r="C26" s="3"/>
      <c r="D26" s="3"/>
      <c r="E26" s="3"/>
      <c r="F26" s="131"/>
      <c r="G26" s="131"/>
      <c r="H26" s="131"/>
      <c r="I26" s="129"/>
      <c r="J26" s="131"/>
      <c r="K26" s="131"/>
      <c r="L26" s="131"/>
      <c r="M26" s="131"/>
      <c r="N26" s="129"/>
    </row>
    <row r="27" spans="2:14" x14ac:dyDescent="0.2">
      <c r="B27" s="69" t="s">
        <v>71</v>
      </c>
      <c r="C27" s="3"/>
      <c r="D27" s="3"/>
      <c r="E27" s="3"/>
      <c r="F27" s="131"/>
      <c r="G27" s="131">
        <f t="shared" ref="G27:N27" si="5">Equity_Value/(G153+G162+G163+G166)</f>
        <v>11.767073087197753</v>
      </c>
      <c r="H27" s="131">
        <f t="shared" si="5"/>
        <v>-12.086964934345344</v>
      </c>
      <c r="I27" s="129">
        <f t="shared" si="5"/>
        <v>53.354297693920337</v>
      </c>
      <c r="J27" s="131">
        <f t="shared" ca="1" si="5"/>
        <v>13.452976839626015</v>
      </c>
      <c r="K27" s="131">
        <f t="shared" ca="1" si="5"/>
        <v>19.160906638501881</v>
      </c>
      <c r="L27" s="131">
        <f t="shared" ca="1" si="5"/>
        <v>16.074773785705144</v>
      </c>
      <c r="M27" s="131">
        <f t="shared" ca="1" si="5"/>
        <v>14.985019588150911</v>
      </c>
      <c r="N27" s="129">
        <f t="shared" ca="1" si="5"/>
        <v>12.624011674972541</v>
      </c>
    </row>
    <row r="28" spans="2:14" x14ac:dyDescent="0.2">
      <c r="B28" s="69" t="s">
        <v>72</v>
      </c>
      <c r="C28" s="3"/>
      <c r="D28" s="3"/>
      <c r="E28" s="3"/>
      <c r="F28" s="131">
        <f t="shared" ref="F28:N28" si="6">Share_Price/F62</f>
        <v>17.988458905226093</v>
      </c>
      <c r="G28" s="131">
        <f t="shared" si="6"/>
        <v>36.935960591133004</v>
      </c>
      <c r="H28" s="131">
        <f t="shared" si="6"/>
        <v>112.5</v>
      </c>
      <c r="I28" s="129">
        <f t="shared" si="6"/>
        <v>14.900662251655628</v>
      </c>
      <c r="J28" s="131">
        <f t="shared" ca="1" si="6"/>
        <v>16.921884562722941</v>
      </c>
      <c r="K28" s="131">
        <f t="shared" ca="1" si="6"/>
        <v>15.703854570916466</v>
      </c>
      <c r="L28" s="131">
        <f t="shared" ca="1" si="6"/>
        <v>13.968266763284701</v>
      </c>
      <c r="M28" s="131">
        <f t="shared" ca="1" si="6"/>
        <v>13.039709341578732</v>
      </c>
      <c r="N28" s="129">
        <f t="shared" ca="1" si="6"/>
        <v>11.558841949980389</v>
      </c>
    </row>
    <row r="29" spans="2:14" x14ac:dyDescent="0.2">
      <c r="B29" s="2"/>
      <c r="C29" s="3"/>
      <c r="D29" s="3"/>
      <c r="E29" s="3"/>
      <c r="F29" s="3"/>
      <c r="G29" s="3"/>
      <c r="H29" s="3"/>
      <c r="I29" s="12"/>
      <c r="J29" s="3"/>
      <c r="K29" s="3"/>
      <c r="L29" s="3"/>
      <c r="M29" s="3"/>
      <c r="N29" s="12"/>
    </row>
    <row r="30" spans="2:14" x14ac:dyDescent="0.2">
      <c r="B30" s="18"/>
      <c r="C30" s="16"/>
      <c r="D30" s="16"/>
      <c r="E30" s="16"/>
      <c r="F30" s="16"/>
      <c r="G30" s="16"/>
      <c r="H30" s="16"/>
      <c r="I30" s="16"/>
      <c r="J30" s="16"/>
      <c r="K30" s="16"/>
      <c r="L30" s="16"/>
      <c r="M30" s="16"/>
      <c r="N30" s="19"/>
    </row>
    <row r="32" spans="2:14" x14ac:dyDescent="0.2">
      <c r="B32" s="35" t="s">
        <v>2</v>
      </c>
      <c r="C32" s="36"/>
      <c r="D32" s="36"/>
      <c r="E32" s="36"/>
      <c r="F32" s="36"/>
      <c r="G32" s="36"/>
      <c r="H32" s="36"/>
      <c r="I32" s="36"/>
      <c r="J32" s="36"/>
      <c r="K32" s="36"/>
      <c r="L32" s="36"/>
      <c r="M32" s="36"/>
      <c r="N32" s="37"/>
    </row>
    <row r="33" spans="2:15" x14ac:dyDescent="0.2">
      <c r="B33" s="2"/>
      <c r="C33" s="3"/>
      <c r="D33" s="3"/>
      <c r="E33" s="3"/>
      <c r="F33" s="71" t="str">
        <f t="shared" ref="F33:N33" si="7">F$21</f>
        <v>FY 2007</v>
      </c>
      <c r="G33" s="71" t="str">
        <f t="shared" si="7"/>
        <v>FY 2008</v>
      </c>
      <c r="H33" s="67" t="str">
        <f>H$21</f>
        <v>FY 2009</v>
      </c>
      <c r="I33" s="68" t="str">
        <f>I$21</f>
        <v>FY 2010</v>
      </c>
      <c r="J33" s="71" t="str">
        <f>J$21</f>
        <v>FY 2011</v>
      </c>
      <c r="K33" s="71" t="str">
        <f>K$21</f>
        <v>FY 2012</v>
      </c>
      <c r="L33" s="71" t="str">
        <f t="shared" si="7"/>
        <v>FY 2013</v>
      </c>
      <c r="M33" s="71" t="str">
        <f t="shared" si="7"/>
        <v>FY 2014</v>
      </c>
      <c r="N33" s="72" t="str">
        <f t="shared" si="7"/>
        <v>FY 2015</v>
      </c>
    </row>
    <row r="34" spans="2:15" x14ac:dyDescent="0.2">
      <c r="B34" s="2"/>
      <c r="C34" s="3"/>
      <c r="D34" s="3"/>
      <c r="E34" s="3"/>
      <c r="F34" s="3"/>
      <c r="G34" s="3"/>
      <c r="H34" s="3"/>
      <c r="I34" s="12"/>
      <c r="J34" s="3"/>
      <c r="K34" s="3"/>
      <c r="L34" s="3"/>
      <c r="M34" s="3"/>
      <c r="N34" s="12"/>
    </row>
    <row r="35" spans="2:15" x14ac:dyDescent="0.2">
      <c r="B35" s="69" t="s">
        <v>76</v>
      </c>
      <c r="C35" s="3"/>
      <c r="D35" s="3"/>
      <c r="E35" s="3"/>
      <c r="F35" s="102">
        <v>521696</v>
      </c>
      <c r="G35" s="102">
        <v>459010</v>
      </c>
      <c r="H35" s="102">
        <v>307664</v>
      </c>
      <c r="I35" s="103">
        <v>534209</v>
      </c>
      <c r="J35" s="83">
        <f>I35*(1+'Operating Assumptions'!J7)</f>
        <v>571603.63</v>
      </c>
      <c r="K35" s="83">
        <f>J35*(1+'Operating Assumptions'!K7)</f>
        <v>611615.88410000002</v>
      </c>
      <c r="L35" s="83">
        <f>K35*(1+'Operating Assumptions'!L7)</f>
        <v>648312.83714600001</v>
      </c>
      <c r="M35" s="83">
        <f>L35*(1+'Operating Assumptions'!M7)</f>
        <v>687211.60737476009</v>
      </c>
      <c r="N35" s="84">
        <f>M35*(1+'Operating Assumptions'!N7)</f>
        <v>721572.18774349813</v>
      </c>
    </row>
    <row r="36" spans="2:15" x14ac:dyDescent="0.2">
      <c r="B36" s="70" t="s">
        <v>75</v>
      </c>
      <c r="C36" s="3"/>
      <c r="D36" s="3"/>
      <c r="E36" s="3"/>
      <c r="F36" s="90">
        <v>260280</v>
      </c>
      <c r="G36" s="90">
        <v>240768</v>
      </c>
      <c r="H36" s="90">
        <v>171250</v>
      </c>
      <c r="I36" s="91">
        <v>261442</v>
      </c>
      <c r="J36" s="82">
        <f>J$35*'Operating Assumptions'!J8</f>
        <v>279742.94</v>
      </c>
      <c r="K36" s="82">
        <f>K$35*'Operating Assumptions'!K8</f>
        <v>299324.94579999999</v>
      </c>
      <c r="L36" s="82">
        <f>L$35*'Operating Assumptions'!L8</f>
        <v>317284.44254800002</v>
      </c>
      <c r="M36" s="82">
        <f>M$35*'Operating Assumptions'!M8</f>
        <v>336321.50910088007</v>
      </c>
      <c r="N36" s="24">
        <f>N$35*'Operating Assumptions'!N8</f>
        <v>353137.58455592406</v>
      </c>
    </row>
    <row r="37" spans="2:15" x14ac:dyDescent="0.2">
      <c r="B37" s="69" t="s">
        <v>77</v>
      </c>
      <c r="C37" s="3"/>
      <c r="D37" s="3"/>
      <c r="E37" s="3"/>
      <c r="F37" s="83">
        <f t="shared" ref="F37:I37" si="8">F35-F36</f>
        <v>261416</v>
      </c>
      <c r="G37" s="83">
        <f t="shared" si="8"/>
        <v>218242</v>
      </c>
      <c r="H37" s="83">
        <f t="shared" si="8"/>
        <v>136414</v>
      </c>
      <c r="I37" s="84">
        <f t="shared" si="8"/>
        <v>272767</v>
      </c>
      <c r="J37" s="83">
        <f t="shared" ref="J37:N37" si="9">J35-J36</f>
        <v>291860.69</v>
      </c>
      <c r="K37" s="83">
        <f t="shared" si="9"/>
        <v>312290.93830000004</v>
      </c>
      <c r="L37" s="83">
        <f t="shared" si="9"/>
        <v>331028.39459799998</v>
      </c>
      <c r="M37" s="83">
        <f t="shared" si="9"/>
        <v>350890.09827388002</v>
      </c>
      <c r="N37" s="84">
        <f t="shared" si="9"/>
        <v>368434.60318757407</v>
      </c>
    </row>
    <row r="38" spans="2:15" x14ac:dyDescent="0.2">
      <c r="B38" s="70" t="s">
        <v>81</v>
      </c>
      <c r="C38" s="3"/>
      <c r="D38" s="3"/>
      <c r="E38" s="3"/>
      <c r="F38" s="90">
        <f>26163+38949</f>
        <v>65112</v>
      </c>
      <c r="G38" s="90">
        <f>23713+36180</f>
        <v>59893</v>
      </c>
      <c r="H38" s="90">
        <f>16603+27569</f>
        <v>44172</v>
      </c>
      <c r="I38" s="91">
        <f>39802+22656</f>
        <v>62458</v>
      </c>
      <c r="J38" s="82">
        <f>J$35*'Operating Assumptions'!J9</f>
        <v>66830.06</v>
      </c>
      <c r="K38" s="82">
        <f>K$35*'Operating Assumptions'!K9</f>
        <v>71508.164199999999</v>
      </c>
      <c r="L38" s="82">
        <f>L$35*'Operating Assumptions'!L9</f>
        <v>75798.654051999998</v>
      </c>
      <c r="M38" s="82">
        <f>M$35*'Operating Assumptions'!M9</f>
        <v>80346.573295120004</v>
      </c>
      <c r="N38" s="24">
        <f>N$35*'Operating Assumptions'!N9</f>
        <v>84363.901959876021</v>
      </c>
    </row>
    <row r="39" spans="2:15" x14ac:dyDescent="0.2">
      <c r="B39" s="70" t="s">
        <v>78</v>
      </c>
      <c r="C39" s="3"/>
      <c r="D39" s="3"/>
      <c r="E39" s="3"/>
      <c r="F39" s="90">
        <v>81842</v>
      </c>
      <c r="G39" s="90">
        <v>95229</v>
      </c>
      <c r="H39" s="90">
        <v>65809</v>
      </c>
      <c r="I39" s="91">
        <v>89193</v>
      </c>
      <c r="J39" s="82">
        <f>J$35*'Operating Assumptions'!J10</f>
        <v>95436.51</v>
      </c>
      <c r="K39" s="82">
        <f>K$35*'Operating Assumptions'!K10</f>
        <v>102117.06569999999</v>
      </c>
      <c r="L39" s="82">
        <f>L$35*'Operating Assumptions'!L10</f>
        <v>108244.08964199999</v>
      </c>
      <c r="M39" s="82">
        <f>M$35*'Operating Assumptions'!M10</f>
        <v>114738.73502052001</v>
      </c>
      <c r="N39" s="24">
        <f>N$35*'Operating Assumptions'!N10</f>
        <v>120475.67177154601</v>
      </c>
    </row>
    <row r="40" spans="2:15" x14ac:dyDescent="0.2">
      <c r="B40" s="70" t="s">
        <v>79</v>
      </c>
      <c r="C40" s="3"/>
      <c r="D40" s="3"/>
      <c r="E40" s="3"/>
      <c r="F40" s="90">
        <v>0</v>
      </c>
      <c r="G40" s="90">
        <v>0</v>
      </c>
      <c r="H40" s="90">
        <v>0</v>
      </c>
      <c r="I40" s="91">
        <v>0</v>
      </c>
      <c r="J40" s="94">
        <f t="shared" ref="J40:N42" si="10">I40</f>
        <v>0</v>
      </c>
      <c r="K40" s="94">
        <f t="shared" si="10"/>
        <v>0</v>
      </c>
      <c r="L40" s="94">
        <f t="shared" si="10"/>
        <v>0</v>
      </c>
      <c r="M40" s="94">
        <f t="shared" si="10"/>
        <v>0</v>
      </c>
      <c r="N40" s="95">
        <f t="shared" si="10"/>
        <v>0</v>
      </c>
    </row>
    <row r="41" spans="2:15" x14ac:dyDescent="0.2">
      <c r="B41" s="70" t="s">
        <v>80</v>
      </c>
      <c r="C41" s="3"/>
      <c r="D41" s="3"/>
      <c r="E41" s="3"/>
      <c r="F41" s="90">
        <v>0</v>
      </c>
      <c r="G41" s="90">
        <v>0</v>
      </c>
      <c r="H41" s="90">
        <v>0</v>
      </c>
      <c r="I41" s="91">
        <v>0</v>
      </c>
      <c r="J41" s="94">
        <f t="shared" si="10"/>
        <v>0</v>
      </c>
      <c r="K41" s="94">
        <f t="shared" si="10"/>
        <v>0</v>
      </c>
      <c r="L41" s="94">
        <f t="shared" si="10"/>
        <v>0</v>
      </c>
      <c r="M41" s="94">
        <f t="shared" si="10"/>
        <v>0</v>
      </c>
      <c r="N41" s="95">
        <f t="shared" si="10"/>
        <v>0</v>
      </c>
    </row>
    <row r="42" spans="2:15" x14ac:dyDescent="0.2">
      <c r="B42" s="70" t="s">
        <v>82</v>
      </c>
      <c r="C42" s="3"/>
      <c r="D42" s="3"/>
      <c r="E42" s="3"/>
      <c r="F42" s="92">
        <v>0</v>
      </c>
      <c r="G42" s="92">
        <v>3038</v>
      </c>
      <c r="H42" s="92">
        <v>8407</v>
      </c>
      <c r="I42" s="93">
        <v>0</v>
      </c>
      <c r="J42" s="252">
        <f t="shared" si="10"/>
        <v>0</v>
      </c>
      <c r="K42" s="252">
        <f t="shared" si="10"/>
        <v>0</v>
      </c>
      <c r="L42" s="252">
        <f t="shared" si="10"/>
        <v>0</v>
      </c>
      <c r="M42" s="252">
        <f t="shared" si="10"/>
        <v>0</v>
      </c>
      <c r="N42" s="253">
        <f t="shared" si="10"/>
        <v>0</v>
      </c>
    </row>
    <row r="43" spans="2:15" x14ac:dyDescent="0.2">
      <c r="B43" s="69" t="s">
        <v>4</v>
      </c>
      <c r="C43" s="3"/>
      <c r="D43" s="3"/>
      <c r="E43" s="3"/>
      <c r="F43" s="83">
        <f t="shared" ref="F43:I43" si="11">F37-SUM(F38:F42)</f>
        <v>114462</v>
      </c>
      <c r="G43" s="83">
        <f t="shared" si="11"/>
        <v>60082</v>
      </c>
      <c r="H43" s="83">
        <f t="shared" si="11"/>
        <v>18026</v>
      </c>
      <c r="I43" s="84">
        <f t="shared" si="11"/>
        <v>121116</v>
      </c>
      <c r="J43" s="83">
        <f t="shared" ref="J43:N43" si="12">J37-SUM(J38:J42)</f>
        <v>129594.12</v>
      </c>
      <c r="K43" s="83">
        <f t="shared" si="12"/>
        <v>138665.70840000006</v>
      </c>
      <c r="L43" s="83">
        <f t="shared" si="12"/>
        <v>146985.65090399998</v>
      </c>
      <c r="M43" s="83">
        <f t="shared" si="12"/>
        <v>155804.78995824</v>
      </c>
      <c r="N43" s="84">
        <f t="shared" si="12"/>
        <v>163595.02945615206</v>
      </c>
    </row>
    <row r="44" spans="2:15" x14ac:dyDescent="0.2">
      <c r="B44" s="70" t="s">
        <v>170</v>
      </c>
      <c r="C44" s="3"/>
      <c r="D44" s="3"/>
      <c r="E44" s="3"/>
      <c r="F44" s="90">
        <v>0</v>
      </c>
      <c r="G44" s="90">
        <v>0</v>
      </c>
      <c r="H44" s="90">
        <v>0</v>
      </c>
      <c r="I44" s="91">
        <v>0</v>
      </c>
      <c r="J44" s="82">
        <f>I88-J88</f>
        <v>12589.430000000022</v>
      </c>
      <c r="K44" s="82">
        <f>J88-K88</f>
        <v>13470.690100000007</v>
      </c>
      <c r="L44" s="82">
        <f>K88-L88</f>
        <v>12354.547205999988</v>
      </c>
      <c r="M44" s="82">
        <f>L88-M88</f>
        <v>13095.820038360049</v>
      </c>
      <c r="N44" s="24">
        <f>M88-N88</f>
        <v>11567.974367218005</v>
      </c>
    </row>
    <row r="45" spans="2:15" x14ac:dyDescent="0.2">
      <c r="B45" s="70" t="s">
        <v>83</v>
      </c>
      <c r="C45" s="3"/>
      <c r="D45" s="3"/>
      <c r="E45" s="3"/>
      <c r="F45" s="90">
        <v>0</v>
      </c>
      <c r="G45" s="90">
        <v>0</v>
      </c>
      <c r="H45" s="90">
        <v>0</v>
      </c>
      <c r="I45" s="91">
        <v>0</v>
      </c>
      <c r="J45" s="82">
        <f>I91-J91</f>
        <v>944.93000000000029</v>
      </c>
      <c r="K45" s="82">
        <f>J91-K91</f>
        <v>1011.0751000000018</v>
      </c>
      <c r="L45" s="82">
        <f>K91-L91</f>
        <v>927.30030599999736</v>
      </c>
      <c r="M45" s="82">
        <f>L91-M91</f>
        <v>982.9383243600023</v>
      </c>
      <c r="N45" s="24">
        <f>M91-N91</f>
        <v>868.26218651800082</v>
      </c>
    </row>
    <row r="46" spans="2:15" x14ac:dyDescent="0.2">
      <c r="B46" s="70" t="s">
        <v>84</v>
      </c>
      <c r="C46" s="3"/>
      <c r="D46" s="3"/>
      <c r="E46" s="3"/>
      <c r="F46" s="90">
        <v>0</v>
      </c>
      <c r="G46" s="90">
        <v>0</v>
      </c>
      <c r="H46" s="90">
        <v>0</v>
      </c>
      <c r="I46" s="91">
        <v>0</v>
      </c>
      <c r="J46" s="234">
        <f>J$35*'Operating Assumptions'!J14</f>
        <v>12021.45</v>
      </c>
      <c r="K46" s="82">
        <f>K$35*'Operating Assumptions'!K14</f>
        <v>12862.951500000001</v>
      </c>
      <c r="L46" s="82">
        <f>L$35*'Operating Assumptions'!L14</f>
        <v>13634.728590000001</v>
      </c>
      <c r="M46" s="82">
        <f>M$35*'Operating Assumptions'!M14</f>
        <v>14452.812305400001</v>
      </c>
      <c r="N46" s="82">
        <f>N$35*'Operating Assumptions'!N14</f>
        <v>15175.452920670003</v>
      </c>
      <c r="O46" s="2"/>
    </row>
    <row r="47" spans="2:15" x14ac:dyDescent="0.2">
      <c r="B47" s="70" t="s">
        <v>85</v>
      </c>
      <c r="C47" s="3"/>
      <c r="D47" s="3"/>
      <c r="E47" s="3"/>
      <c r="F47" s="92">
        <v>0</v>
      </c>
      <c r="G47" s="92">
        <v>0</v>
      </c>
      <c r="H47" s="92">
        <v>0</v>
      </c>
      <c r="I47" s="93">
        <v>0</v>
      </c>
      <c r="J47" s="85">
        <f>J$35*'Operating Assumptions'!J15</f>
        <v>0</v>
      </c>
      <c r="K47" s="85">
        <f>K$35*'Operating Assumptions'!K15</f>
        <v>0</v>
      </c>
      <c r="L47" s="85">
        <f>L$35*'Operating Assumptions'!L15</f>
        <v>0</v>
      </c>
      <c r="M47" s="85">
        <f>M$35*'Operating Assumptions'!M15</f>
        <v>0</v>
      </c>
      <c r="N47" s="86">
        <f>N$35*'Operating Assumptions'!N15</f>
        <v>0</v>
      </c>
    </row>
    <row r="48" spans="2:15" x14ac:dyDescent="0.2">
      <c r="B48" s="69" t="s">
        <v>86</v>
      </c>
      <c r="C48" s="3"/>
      <c r="D48" s="3"/>
      <c r="E48" s="3"/>
      <c r="F48" s="83">
        <f t="shared" ref="F48:I48" si="13">F43-SUM(F44:F47)</f>
        <v>114462</v>
      </c>
      <c r="G48" s="83">
        <f t="shared" si="13"/>
        <v>60082</v>
      </c>
      <c r="H48" s="83">
        <f t="shared" si="13"/>
        <v>18026</v>
      </c>
      <c r="I48" s="84">
        <f t="shared" si="13"/>
        <v>121116</v>
      </c>
      <c r="J48" s="83">
        <f t="shared" ref="J48:N48" si="14">J43-SUM(J44:J47)</f>
        <v>104038.30999999997</v>
      </c>
      <c r="K48" s="83">
        <f t="shared" si="14"/>
        <v>111320.99170000004</v>
      </c>
      <c r="L48" s="83">
        <f t="shared" si="14"/>
        <v>120069.07480199999</v>
      </c>
      <c r="M48" s="83">
        <f t="shared" si="14"/>
        <v>127273.21929011995</v>
      </c>
      <c r="N48" s="84">
        <f t="shared" si="14"/>
        <v>135983.33998174604</v>
      </c>
    </row>
    <row r="49" spans="2:14" x14ac:dyDescent="0.2">
      <c r="B49" s="70" t="s">
        <v>87</v>
      </c>
      <c r="C49" s="3"/>
      <c r="D49" s="3"/>
      <c r="E49" s="3"/>
      <c r="F49" s="90">
        <v>-6709</v>
      </c>
      <c r="G49" s="90">
        <v>-6658</v>
      </c>
      <c r="H49" s="90">
        <v>-1029</v>
      </c>
      <c r="I49" s="91">
        <v>-605</v>
      </c>
      <c r="J49" s="82">
        <f>AVERAGE(I105+I110+I115,J105+J110+J115)*'Operating Assumptions'!J17</f>
        <v>0</v>
      </c>
      <c r="K49" s="82">
        <f>AVERAGE(J105+J110+J115,K105+K110+K115)*'Operating Assumptions'!K17</f>
        <v>0</v>
      </c>
      <c r="L49" s="82">
        <f>AVERAGE(K105+K110+K115,L105+L110+L115)*'Operating Assumptions'!L17</f>
        <v>0</v>
      </c>
      <c r="M49" s="82">
        <f>AVERAGE(L105+L110+L115,M105+M110+M115)*'Operating Assumptions'!M17</f>
        <v>0</v>
      </c>
      <c r="N49" s="24">
        <f>AVERAGE(M105+M110+M115,N105+N110+N115)*'Operating Assumptions'!N17</f>
        <v>0</v>
      </c>
    </row>
    <row r="50" spans="2:14" x14ac:dyDescent="0.2">
      <c r="B50" s="70" t="s">
        <v>194</v>
      </c>
      <c r="C50" s="3"/>
      <c r="D50" s="3"/>
      <c r="E50" s="3"/>
      <c r="F50" s="90">
        <v>20074</v>
      </c>
      <c r="G50" s="90">
        <v>8832</v>
      </c>
      <c r="H50" s="90">
        <v>1374</v>
      </c>
      <c r="I50" s="91">
        <v>524</v>
      </c>
      <c r="J50" s="82">
        <f ca="1">AVERAGE(I72+I73+I85,J72+J73+J85)*'Operating Assumptions'!J18</f>
        <v>2756.6618444165624</v>
      </c>
      <c r="K50" s="82">
        <f ca="1">AVERAGE(J72+J73+J85,K72+K73+K85)*'Operating Assumptions'!K18</f>
        <v>3757.2635951900866</v>
      </c>
      <c r="L50" s="82">
        <f ca="1">AVERAGE(K72+K73+K85,L72+L73+L85)*'Operating Assumptions'!L18</f>
        <v>9307.9063264373781</v>
      </c>
      <c r="M50" s="82">
        <f ca="1">AVERAGE(L72+L73+L85,M72+M73+M85)*'Operating Assumptions'!M18</f>
        <v>11316.693881339403</v>
      </c>
      <c r="N50" s="24">
        <f ca="1">AVERAGE(M72+M73+M85,N72+N73+N85)*'Operating Assumptions'!N18</f>
        <v>20362.096113911426</v>
      </c>
    </row>
    <row r="51" spans="2:14" x14ac:dyDescent="0.2">
      <c r="B51" s="70" t="s">
        <v>195</v>
      </c>
      <c r="C51" s="3"/>
      <c r="D51" s="3"/>
      <c r="E51" s="3"/>
      <c r="F51" s="90">
        <v>2025</v>
      </c>
      <c r="G51" s="90">
        <f>-41-5309-6642</f>
        <v>-11992</v>
      </c>
      <c r="H51" s="90">
        <f>135-1107-291</f>
        <v>-1263</v>
      </c>
      <c r="I51" s="91">
        <f>55-6</f>
        <v>49</v>
      </c>
      <c r="J51" s="90">
        <v>0</v>
      </c>
      <c r="K51" s="82">
        <f>J51</f>
        <v>0</v>
      </c>
      <c r="L51" s="82">
        <f>K51</f>
        <v>0</v>
      </c>
      <c r="M51" s="82">
        <f>L51</f>
        <v>0</v>
      </c>
      <c r="N51" s="24">
        <f>M51</f>
        <v>0</v>
      </c>
    </row>
    <row r="52" spans="2:14" x14ac:dyDescent="0.2">
      <c r="B52" s="69" t="s">
        <v>88</v>
      </c>
      <c r="C52" s="3"/>
      <c r="D52" s="3"/>
      <c r="E52" s="3"/>
      <c r="F52" s="87">
        <f>F48+SUM(F49:F51)</f>
        <v>129852</v>
      </c>
      <c r="G52" s="87">
        <f>G48+SUM(G49:G51)</f>
        <v>50264</v>
      </c>
      <c r="H52" s="87">
        <f>H48+SUM(H49:H51)</f>
        <v>17108</v>
      </c>
      <c r="I52" s="26">
        <f>I48+SUM(I49:I51)</f>
        <v>121084</v>
      </c>
      <c r="J52" s="87">
        <f ca="1">J48-J49+J50</f>
        <v>106794.97184441653</v>
      </c>
      <c r="K52" s="87">
        <f ca="1">K48-K49+K50</f>
        <v>115078.25529519013</v>
      </c>
      <c r="L52" s="87">
        <f ca="1">L48-L49+L50</f>
        <v>129376.98112843737</v>
      </c>
      <c r="M52" s="87">
        <f ca="1">M48-M49+M50</f>
        <v>138589.91317145934</v>
      </c>
      <c r="N52" s="26">
        <f ca="1">N48-N49+N50</f>
        <v>156345.43609565747</v>
      </c>
    </row>
    <row r="53" spans="2:14" x14ac:dyDescent="0.2">
      <c r="B53" s="70" t="s">
        <v>89</v>
      </c>
      <c r="C53" s="3"/>
      <c r="D53" s="3"/>
      <c r="E53" s="3"/>
      <c r="F53" s="90">
        <v>44413</v>
      </c>
      <c r="G53" s="90">
        <v>16587</v>
      </c>
      <c r="H53" s="90">
        <v>8389</v>
      </c>
      <c r="I53" s="91">
        <v>30271</v>
      </c>
      <c r="J53" s="82">
        <f ca="1">J52*'Operating Assumptions'!J19</f>
        <v>26698.742961104133</v>
      </c>
      <c r="K53" s="82">
        <f ca="1">K52*'Operating Assumptions'!K19</f>
        <v>28769.563823797533</v>
      </c>
      <c r="L53" s="82">
        <f ca="1">L52*'Operating Assumptions'!L19</f>
        <v>32344.245282109343</v>
      </c>
      <c r="M53" s="82">
        <f ca="1">M52*'Operating Assumptions'!M19</f>
        <v>34647.478292864835</v>
      </c>
      <c r="N53" s="24">
        <f ca="1">N52*'Operating Assumptions'!N19</f>
        <v>39086.359023914367</v>
      </c>
    </row>
    <row r="54" spans="2:14" x14ac:dyDescent="0.2">
      <c r="B54" s="69" t="s">
        <v>90</v>
      </c>
      <c r="C54" s="3"/>
      <c r="D54" s="3"/>
      <c r="E54" s="3"/>
      <c r="F54" s="87">
        <f t="shared" ref="F54:I54" si="15">F52-F53</f>
        <v>85439</v>
      </c>
      <c r="G54" s="87">
        <f t="shared" si="15"/>
        <v>33677</v>
      </c>
      <c r="H54" s="87">
        <f t="shared" si="15"/>
        <v>8719</v>
      </c>
      <c r="I54" s="26">
        <f t="shared" si="15"/>
        <v>90813</v>
      </c>
      <c r="J54" s="87">
        <f t="shared" ref="J54:N54" ca="1" si="16">J52-J53</f>
        <v>80096.228883312404</v>
      </c>
      <c r="K54" s="87">
        <f t="shared" ca="1" si="16"/>
        <v>86308.691471392594</v>
      </c>
      <c r="L54" s="87">
        <f t="shared" ca="1" si="16"/>
        <v>97032.735846328025</v>
      </c>
      <c r="M54" s="87">
        <f t="shared" ca="1" si="16"/>
        <v>103942.4348785945</v>
      </c>
      <c r="N54" s="26">
        <f t="shared" ca="1" si="16"/>
        <v>117259.0770717431</v>
      </c>
    </row>
    <row r="55" spans="2:14" x14ac:dyDescent="0.2">
      <c r="B55" s="70" t="s">
        <v>91</v>
      </c>
      <c r="C55" s="3"/>
      <c r="D55" s="3"/>
      <c r="E55" s="3"/>
      <c r="F55" s="90">
        <v>2923</v>
      </c>
      <c r="G55" s="90">
        <v>2863</v>
      </c>
      <c r="H55" s="90">
        <v>3257</v>
      </c>
      <c r="I55" s="91">
        <v>148</v>
      </c>
      <c r="J55" s="90">
        <v>0</v>
      </c>
      <c r="K55" s="82">
        <f t="shared" ref="K55:N56" si="17">J55</f>
        <v>0</v>
      </c>
      <c r="L55" s="82">
        <f t="shared" si="17"/>
        <v>0</v>
      </c>
      <c r="M55" s="82">
        <f t="shared" si="17"/>
        <v>0</v>
      </c>
      <c r="N55" s="24">
        <f t="shared" si="17"/>
        <v>0</v>
      </c>
    </row>
    <row r="56" spans="2:14" x14ac:dyDescent="0.2">
      <c r="B56" s="70" t="s">
        <v>92</v>
      </c>
      <c r="C56" s="3"/>
      <c r="D56" s="3"/>
      <c r="E56" s="3"/>
      <c r="F56" s="92">
        <v>0</v>
      </c>
      <c r="G56" s="92">
        <v>0</v>
      </c>
      <c r="H56" s="92">
        <v>0</v>
      </c>
      <c r="I56" s="93">
        <v>0</v>
      </c>
      <c r="J56" s="92">
        <v>0</v>
      </c>
      <c r="K56" s="85">
        <f t="shared" si="17"/>
        <v>0</v>
      </c>
      <c r="L56" s="85">
        <f t="shared" si="17"/>
        <v>0</v>
      </c>
      <c r="M56" s="85">
        <f t="shared" si="17"/>
        <v>0</v>
      </c>
      <c r="N56" s="86">
        <f t="shared" si="17"/>
        <v>0</v>
      </c>
    </row>
    <row r="57" spans="2:14" ht="13.5" thickBot="1" x14ac:dyDescent="0.25">
      <c r="B57" s="69" t="s">
        <v>93</v>
      </c>
      <c r="C57" s="3"/>
      <c r="D57" s="3"/>
      <c r="E57" s="3"/>
      <c r="F57" s="88">
        <f t="shared" ref="F57:I57" si="18">F54+F55+F56</f>
        <v>88362</v>
      </c>
      <c r="G57" s="88">
        <f t="shared" si="18"/>
        <v>36540</v>
      </c>
      <c r="H57" s="88">
        <f t="shared" si="18"/>
        <v>11976</v>
      </c>
      <c r="I57" s="89">
        <f t="shared" si="18"/>
        <v>90961</v>
      </c>
      <c r="J57" s="88">
        <f t="shared" ref="J57:N57" ca="1" si="19">J54+J55+J56</f>
        <v>80096.228883312404</v>
      </c>
      <c r="K57" s="88">
        <f t="shared" ca="1" si="19"/>
        <v>86308.691471392594</v>
      </c>
      <c r="L57" s="88">
        <f t="shared" ca="1" si="19"/>
        <v>97032.735846328025</v>
      </c>
      <c r="M57" s="88">
        <f t="shared" ca="1" si="19"/>
        <v>103942.4348785945</v>
      </c>
      <c r="N57" s="89">
        <f t="shared" ca="1" si="19"/>
        <v>117259.0770717431</v>
      </c>
    </row>
    <row r="58" spans="2:14" ht="13.5" thickTop="1" x14ac:dyDescent="0.2">
      <c r="B58" s="70" t="s">
        <v>94</v>
      </c>
      <c r="C58" s="3"/>
      <c r="D58" s="3"/>
      <c r="E58" s="3"/>
      <c r="F58" s="90">
        <v>0</v>
      </c>
      <c r="G58" s="90">
        <v>0</v>
      </c>
      <c r="H58" s="90">
        <v>0</v>
      </c>
      <c r="I58" s="91">
        <v>0</v>
      </c>
      <c r="J58" s="82">
        <f>J63*'Operating Assumptions'!J21</f>
        <v>0</v>
      </c>
      <c r="K58" s="82">
        <f>K63*'Operating Assumptions'!K21</f>
        <v>0</v>
      </c>
      <c r="L58" s="82">
        <f>L63*'Operating Assumptions'!L21</f>
        <v>0</v>
      </c>
      <c r="M58" s="82">
        <f>M63*'Operating Assumptions'!M21</f>
        <v>0</v>
      </c>
      <c r="N58" s="24">
        <f>N63*'Operating Assumptions'!N21</f>
        <v>0</v>
      </c>
    </row>
    <row r="59" spans="2:14" x14ac:dyDescent="0.2">
      <c r="B59" s="70" t="s">
        <v>95</v>
      </c>
      <c r="C59" s="3"/>
      <c r="D59" s="3"/>
      <c r="E59" s="3"/>
      <c r="F59" s="90">
        <v>3657</v>
      </c>
      <c r="G59" s="90">
        <v>0</v>
      </c>
      <c r="H59" s="90">
        <v>0</v>
      </c>
      <c r="I59" s="91">
        <v>0</v>
      </c>
      <c r="J59" s="90">
        <v>0</v>
      </c>
      <c r="K59" s="98">
        <f>J59</f>
        <v>0</v>
      </c>
      <c r="L59" s="98">
        <f>K59</f>
        <v>0</v>
      </c>
      <c r="M59" s="98">
        <f>L59</f>
        <v>0</v>
      </c>
      <c r="N59" s="99">
        <f>M59</f>
        <v>0</v>
      </c>
    </row>
    <row r="60" spans="2:14" x14ac:dyDescent="0.2">
      <c r="B60" s="69" t="s">
        <v>134</v>
      </c>
      <c r="C60" s="3"/>
      <c r="D60" s="3"/>
      <c r="E60" s="3"/>
      <c r="F60" s="83">
        <f>F57-F58+F59</f>
        <v>92019</v>
      </c>
      <c r="G60" s="83">
        <f t="shared" ref="G60:I60" si="20">G57-G58+G59</f>
        <v>36540</v>
      </c>
      <c r="H60" s="83">
        <f t="shared" si="20"/>
        <v>11976</v>
      </c>
      <c r="I60" s="84">
        <f t="shared" si="20"/>
        <v>90961</v>
      </c>
      <c r="J60" s="83">
        <f t="shared" ref="J60:N60" ca="1" si="21">J57-J58+J59</f>
        <v>80096.228883312404</v>
      </c>
      <c r="K60" s="83">
        <f t="shared" ca="1" si="21"/>
        <v>86308.691471392594</v>
      </c>
      <c r="L60" s="83">
        <f t="shared" ca="1" si="21"/>
        <v>97032.735846328025</v>
      </c>
      <c r="M60" s="83">
        <f t="shared" ca="1" si="21"/>
        <v>103942.4348785945</v>
      </c>
      <c r="N60" s="84">
        <f t="shared" ca="1" si="21"/>
        <v>117259.0770717431</v>
      </c>
    </row>
    <row r="61" spans="2:14" x14ac:dyDescent="0.2">
      <c r="B61" s="69"/>
      <c r="C61" s="3"/>
      <c r="D61" s="3"/>
      <c r="E61" s="3"/>
      <c r="F61" s="82"/>
      <c r="G61" s="82"/>
      <c r="H61" s="82"/>
      <c r="I61" s="95"/>
      <c r="J61" s="82"/>
      <c r="K61" s="82"/>
      <c r="L61" s="82"/>
      <c r="M61" s="82"/>
      <c r="N61" s="24"/>
    </row>
    <row r="62" spans="2:14" x14ac:dyDescent="0.2">
      <c r="B62" s="69" t="s">
        <v>198</v>
      </c>
      <c r="C62" s="3"/>
      <c r="D62" s="3"/>
      <c r="E62" s="3"/>
      <c r="F62" s="136">
        <f>F60/F63</f>
        <v>2.5016039582427143</v>
      </c>
      <c r="G62" s="136">
        <f t="shared" ref="G62:I62" si="22">G60/G63</f>
        <v>1.2183248866364365</v>
      </c>
      <c r="H62" s="136">
        <f t="shared" si="22"/>
        <v>0.4</v>
      </c>
      <c r="I62" s="137">
        <f t="shared" si="22"/>
        <v>3.02</v>
      </c>
      <c r="J62" s="136">
        <f t="shared" ref="J62:N62" ca="1" si="23">J60/J63</f>
        <v>2.659278275608266</v>
      </c>
      <c r="K62" s="136">
        <f t="shared" ca="1" si="23"/>
        <v>2.8655385081914848</v>
      </c>
      <c r="L62" s="136">
        <f t="shared" ca="1" si="23"/>
        <v>3.221587958090947</v>
      </c>
      <c r="M62" s="136">
        <f t="shared" ca="1" si="23"/>
        <v>3.45099716728439</v>
      </c>
      <c r="N62" s="137">
        <f t="shared" ca="1" si="23"/>
        <v>3.8931235667666821</v>
      </c>
    </row>
    <row r="63" spans="2:14" x14ac:dyDescent="0.2">
      <c r="B63" s="70" t="s">
        <v>41</v>
      </c>
      <c r="C63" s="3"/>
      <c r="D63" s="3"/>
      <c r="E63" s="3"/>
      <c r="F63" s="134">
        <v>36784</v>
      </c>
      <c r="G63" s="134">
        <v>29992</v>
      </c>
      <c r="H63" s="134">
        <f>H60/0.4</f>
        <v>29940</v>
      </c>
      <c r="I63" s="138">
        <f>I60/3.02</f>
        <v>30119.536423841058</v>
      </c>
      <c r="J63" s="133">
        <f>I63</f>
        <v>30119.536423841058</v>
      </c>
      <c r="K63" s="133">
        <f>J63</f>
        <v>30119.536423841058</v>
      </c>
      <c r="L63" s="133">
        <f>K63</f>
        <v>30119.536423841058</v>
      </c>
      <c r="M63" s="133">
        <f>L63</f>
        <v>30119.536423841058</v>
      </c>
      <c r="N63" s="135">
        <f>M63</f>
        <v>30119.536423841058</v>
      </c>
    </row>
    <row r="64" spans="2:14" x14ac:dyDescent="0.2">
      <c r="B64" s="27"/>
      <c r="C64" s="16"/>
      <c r="D64" s="16"/>
      <c r="E64" s="16"/>
      <c r="F64" s="16"/>
      <c r="G64" s="16"/>
      <c r="H64" s="16"/>
      <c r="I64" s="19"/>
      <c r="J64" s="16"/>
      <c r="K64" s="16"/>
      <c r="L64" s="16"/>
      <c r="M64" s="16"/>
      <c r="N64" s="19"/>
    </row>
    <row r="66" spans="2:14" x14ac:dyDescent="0.2">
      <c r="B66" s="35" t="s">
        <v>96</v>
      </c>
      <c r="C66" s="36"/>
      <c r="D66" s="36"/>
      <c r="E66" s="36"/>
      <c r="F66" s="36"/>
      <c r="G66" s="36"/>
      <c r="H66" s="36"/>
      <c r="I66" s="36"/>
      <c r="J66" s="36"/>
      <c r="K66" s="36"/>
      <c r="L66" s="36"/>
      <c r="M66" s="36"/>
      <c r="N66" s="37"/>
    </row>
    <row r="67" spans="2:14" x14ac:dyDescent="0.2">
      <c r="B67" s="2"/>
      <c r="C67" s="3"/>
      <c r="D67" s="3"/>
      <c r="E67" s="3"/>
      <c r="F67" s="71" t="str">
        <f t="shared" ref="F67:N67" si="24">F$21</f>
        <v>FY 2007</v>
      </c>
      <c r="G67" s="71" t="str">
        <f t="shared" si="24"/>
        <v>FY 2008</v>
      </c>
      <c r="H67" s="67" t="str">
        <f>H$21</f>
        <v>FY 2009</v>
      </c>
      <c r="I67" s="68" t="str">
        <f>I$21</f>
        <v>FY 2010</v>
      </c>
      <c r="J67" s="71" t="str">
        <f>J$21</f>
        <v>FY 2011</v>
      </c>
      <c r="K67" s="71" t="str">
        <f>K$21</f>
        <v>FY 2012</v>
      </c>
      <c r="L67" s="71" t="str">
        <f t="shared" si="24"/>
        <v>FY 2013</v>
      </c>
      <c r="M67" s="71" t="str">
        <f t="shared" si="24"/>
        <v>FY 2014</v>
      </c>
      <c r="N67" s="72" t="str">
        <f t="shared" si="24"/>
        <v>FY 2015</v>
      </c>
    </row>
    <row r="68" spans="2:14" x14ac:dyDescent="0.2">
      <c r="B68" s="2"/>
      <c r="C68" s="3"/>
      <c r="D68" s="3"/>
      <c r="E68" s="3"/>
      <c r="F68" s="3"/>
      <c r="G68" s="3"/>
      <c r="H68" s="3"/>
      <c r="I68" s="12"/>
      <c r="J68" s="3"/>
      <c r="K68" s="3"/>
      <c r="L68" s="3"/>
      <c r="M68" s="3"/>
      <c r="N68" s="12"/>
    </row>
    <row r="69" spans="2:14" x14ac:dyDescent="0.2">
      <c r="B69" s="73" t="s">
        <v>0</v>
      </c>
      <c r="C69" s="74"/>
      <c r="D69" s="74"/>
      <c r="E69" s="74"/>
      <c r="F69" s="3"/>
      <c r="G69" s="3"/>
      <c r="H69" s="3"/>
      <c r="I69" s="12"/>
      <c r="J69" s="3"/>
      <c r="K69" s="3"/>
      <c r="L69" s="3"/>
      <c r="M69" s="3"/>
      <c r="N69" s="12"/>
    </row>
    <row r="70" spans="2:14" x14ac:dyDescent="0.2">
      <c r="B70" s="69" t="s">
        <v>97</v>
      </c>
      <c r="C70" s="3"/>
      <c r="D70" s="3"/>
      <c r="E70" s="3"/>
      <c r="F70" s="3"/>
      <c r="G70" s="3"/>
      <c r="H70" s="3"/>
      <c r="I70" s="12"/>
      <c r="J70" s="3"/>
      <c r="K70" s="3"/>
      <c r="L70" s="3"/>
      <c r="M70" s="3"/>
      <c r="N70" s="12"/>
    </row>
    <row r="71" spans="2:14" x14ac:dyDescent="0.2">
      <c r="B71" s="75" t="s">
        <v>98</v>
      </c>
      <c r="C71" s="3"/>
      <c r="D71" s="3"/>
      <c r="E71" s="3"/>
      <c r="F71" s="82">
        <f>F72+F130-F98</f>
        <v>305707</v>
      </c>
      <c r="G71" s="82">
        <f t="shared" ref="G71:N71" si="25">G72+G130-G98</f>
        <v>252043</v>
      </c>
      <c r="H71" s="82">
        <f t="shared" si="25"/>
        <v>113774</v>
      </c>
      <c r="I71" s="24">
        <f t="shared" si="25"/>
        <v>137839</v>
      </c>
      <c r="J71" s="82">
        <f t="shared" ca="1" si="25"/>
        <v>212484.49888331257</v>
      </c>
      <c r="K71" s="82">
        <f t="shared" ca="1" si="25"/>
        <v>292960.90925470483</v>
      </c>
      <c r="L71" s="82">
        <f t="shared" ca="1" si="25"/>
        <v>388226.67513503321</v>
      </c>
      <c r="M71" s="82">
        <f t="shared" ca="1" si="25"/>
        <v>490296.12184966751</v>
      </c>
      <c r="N71" s="24">
        <f t="shared" ca="1" si="25"/>
        <v>610596.33563085226</v>
      </c>
    </row>
    <row r="72" spans="2:14" x14ac:dyDescent="0.2">
      <c r="B72" s="75" t="s">
        <v>99</v>
      </c>
      <c r="C72" s="3"/>
      <c r="D72" s="3"/>
      <c r="E72" s="3"/>
      <c r="F72" s="90">
        <v>305707</v>
      </c>
      <c r="G72" s="90">
        <v>252391</v>
      </c>
      <c r="H72" s="90">
        <f>118381+1200</f>
        <v>119581</v>
      </c>
      <c r="I72" s="91">
        <v>154312</v>
      </c>
      <c r="J72" s="82">
        <f ca="1">J183</f>
        <v>272080.36888331239</v>
      </c>
      <c r="K72" s="82">
        <f ca="1">K183</f>
        <v>354432.35015470494</v>
      </c>
      <c r="L72" s="82">
        <f ca="1">L183</f>
        <v>451418.28248903295</v>
      </c>
      <c r="M72" s="82">
        <f ca="1">M183</f>
        <v>555311.10564490734</v>
      </c>
      <c r="N72" s="24">
        <f ca="1">N183</f>
        <v>677221.96861585439</v>
      </c>
    </row>
    <row r="73" spans="2:14" x14ac:dyDescent="0.2">
      <c r="B73" s="75" t="s">
        <v>101</v>
      </c>
      <c r="C73" s="3"/>
      <c r="D73" s="3"/>
      <c r="E73" s="3"/>
      <c r="F73" s="90">
        <v>22355</v>
      </c>
      <c r="G73" s="90">
        <v>30900</v>
      </c>
      <c r="H73" s="90">
        <v>62895</v>
      </c>
      <c r="I73" s="91">
        <v>54964</v>
      </c>
      <c r="J73" s="82">
        <f>I73</f>
        <v>54964</v>
      </c>
      <c r="K73" s="82">
        <f>J73</f>
        <v>54964</v>
      </c>
      <c r="L73" s="82">
        <f>K73</f>
        <v>54964</v>
      </c>
      <c r="M73" s="82">
        <f>L73</f>
        <v>54964</v>
      </c>
      <c r="N73" s="24">
        <f>M73</f>
        <v>54964</v>
      </c>
    </row>
    <row r="74" spans="2:14" x14ac:dyDescent="0.2">
      <c r="B74" s="75" t="s">
        <v>173</v>
      </c>
      <c r="C74" s="3"/>
      <c r="D74" s="3"/>
      <c r="E74" s="3"/>
      <c r="F74" s="90">
        <v>92464</v>
      </c>
      <c r="G74" s="90">
        <v>66591</v>
      </c>
      <c r="H74" s="90">
        <v>79089</v>
      </c>
      <c r="I74" s="91">
        <v>128353</v>
      </c>
      <c r="J74" s="82"/>
      <c r="K74" s="82"/>
      <c r="L74" s="82"/>
      <c r="M74" s="82"/>
      <c r="N74" s="24"/>
    </row>
    <row r="75" spans="2:14" x14ac:dyDescent="0.2">
      <c r="B75" s="75" t="s">
        <v>100</v>
      </c>
      <c r="C75" s="3"/>
      <c r="D75" s="3"/>
      <c r="E75" s="3"/>
      <c r="F75" s="92">
        <v>-589</v>
      </c>
      <c r="G75" s="92">
        <v>-2295</v>
      </c>
      <c r="H75" s="92">
        <v>-2297</v>
      </c>
      <c r="I75" s="93">
        <v>-606</v>
      </c>
      <c r="J75" s="85"/>
      <c r="K75" s="85"/>
      <c r="L75" s="85"/>
      <c r="M75" s="85"/>
      <c r="N75" s="86"/>
    </row>
    <row r="76" spans="2:14" x14ac:dyDescent="0.2">
      <c r="B76" s="75" t="s">
        <v>174</v>
      </c>
      <c r="C76" s="3"/>
      <c r="D76" s="3"/>
      <c r="E76" s="3"/>
      <c r="F76" s="82">
        <f>F74+F75</f>
        <v>91875</v>
      </c>
      <c r="G76" s="82">
        <f>G74+G75</f>
        <v>64296</v>
      </c>
      <c r="H76" s="82">
        <f>H74+H75</f>
        <v>76792</v>
      </c>
      <c r="I76" s="24">
        <f>I74+I75</f>
        <v>127747</v>
      </c>
      <c r="J76" s="82">
        <f>J$35*'Operating Assumptions'!J24</f>
        <v>136689.29</v>
      </c>
      <c r="K76" s="82">
        <f>K$35*'Operating Assumptions'!K24</f>
        <v>146257.54030000002</v>
      </c>
      <c r="L76" s="82">
        <f>L$35*'Operating Assumptions'!L24</f>
        <v>155032.99271800002</v>
      </c>
      <c r="M76" s="82">
        <f>M$35*'Operating Assumptions'!M24</f>
        <v>164334.97228108003</v>
      </c>
      <c r="N76" s="24">
        <f>N$35*'Operating Assumptions'!N24</f>
        <v>172551.72089513403</v>
      </c>
    </row>
    <row r="77" spans="2:14" x14ac:dyDescent="0.2">
      <c r="B77" s="75" t="s">
        <v>175</v>
      </c>
      <c r="C77" s="3"/>
      <c r="D77" s="3"/>
      <c r="E77" s="3"/>
      <c r="F77" s="90">
        <v>1112</v>
      </c>
      <c r="G77" s="90">
        <v>818</v>
      </c>
      <c r="H77" s="90">
        <v>732</v>
      </c>
      <c r="I77" s="91">
        <v>0</v>
      </c>
      <c r="J77" s="82">
        <f>J$35*'Operating Assumptions'!J26</f>
        <v>0</v>
      </c>
      <c r="K77" s="82">
        <f>K$35*'Operating Assumptions'!K26</f>
        <v>0</v>
      </c>
      <c r="L77" s="82">
        <f>L$35*'Operating Assumptions'!L26</f>
        <v>0</v>
      </c>
      <c r="M77" s="82">
        <f>M$35*'Operating Assumptions'!M26</f>
        <v>0</v>
      </c>
      <c r="N77" s="24">
        <f>N$35*'Operating Assumptions'!N26</f>
        <v>0</v>
      </c>
    </row>
    <row r="78" spans="2:14" x14ac:dyDescent="0.2">
      <c r="B78" s="75" t="s">
        <v>102</v>
      </c>
      <c r="C78" s="3"/>
      <c r="D78" s="3"/>
      <c r="E78" s="3"/>
      <c r="F78" s="90">
        <v>129757</v>
      </c>
      <c r="G78" s="90">
        <v>194746</v>
      </c>
      <c r="H78" s="90">
        <v>185077</v>
      </c>
      <c r="I78" s="91">
        <v>213002</v>
      </c>
      <c r="J78" s="82">
        <f>J$36*'Operating Assumptions'!J27</f>
        <v>227912.13999999998</v>
      </c>
      <c r="K78" s="82">
        <f>K$36*'Operating Assumptions'!K27</f>
        <v>243865.98979999998</v>
      </c>
      <c r="L78" s="82">
        <f>L$36*'Operating Assumptions'!L27</f>
        <v>258497.949188</v>
      </c>
      <c r="M78" s="82">
        <f>M$36*'Operating Assumptions'!M27</f>
        <v>274007.82613928005</v>
      </c>
      <c r="N78" s="24">
        <f>N$36*'Operating Assumptions'!N27</f>
        <v>287708.21744624403</v>
      </c>
    </row>
    <row r="79" spans="2:14" x14ac:dyDescent="0.2">
      <c r="B79" s="75" t="s">
        <v>103</v>
      </c>
      <c r="C79" s="3"/>
      <c r="D79" s="3"/>
      <c r="E79" s="3"/>
      <c r="F79" s="90">
        <v>8930</v>
      </c>
      <c r="G79" s="90">
        <v>9344</v>
      </c>
      <c r="H79" s="90">
        <v>0</v>
      </c>
      <c r="I79" s="91">
        <v>0</v>
      </c>
      <c r="J79" s="82">
        <f>J$36*'Operating Assumptions'!J28</f>
        <v>0</v>
      </c>
      <c r="K79" s="82">
        <f>K$36*'Operating Assumptions'!K28</f>
        <v>0</v>
      </c>
      <c r="L79" s="82">
        <f>L$36*'Operating Assumptions'!L28</f>
        <v>0</v>
      </c>
      <c r="M79" s="82">
        <f>M$36*'Operating Assumptions'!M28</f>
        <v>0</v>
      </c>
      <c r="N79" s="24">
        <f>N$36*'Operating Assumptions'!N28</f>
        <v>0</v>
      </c>
    </row>
    <row r="80" spans="2:14" x14ac:dyDescent="0.2">
      <c r="B80" s="75" t="s">
        <v>104</v>
      </c>
      <c r="C80" s="3"/>
      <c r="D80" s="3"/>
      <c r="E80" s="3"/>
      <c r="F80" s="90">
        <v>42147</v>
      </c>
      <c r="G80" s="90">
        <v>46886</v>
      </c>
      <c r="H80" s="90">
        <v>31566</v>
      </c>
      <c r="I80" s="91">
        <v>11961</v>
      </c>
      <c r="J80" s="82">
        <f>(J87+J90)*'Operating Assumptions'!J29</f>
        <v>50986.570000000007</v>
      </c>
      <c r="K80" s="82">
        <f>(K87+K90)*'Operating Assumptions'!K29</f>
        <v>54555.6299</v>
      </c>
      <c r="L80" s="82">
        <f>(L87+L90)*'Operating Assumptions'!L29</f>
        <v>57828.967693999999</v>
      </c>
      <c r="M80" s="82">
        <f>(M87+M90)*'Operating Assumptions'!M29</f>
        <v>61298.70575564001</v>
      </c>
      <c r="N80" s="24">
        <f>(N87+N90)*'Operating Assumptions'!N29</f>
        <v>64363.641043422016</v>
      </c>
    </row>
    <row r="81" spans="2:14" x14ac:dyDescent="0.2">
      <c r="B81" s="75" t="s">
        <v>105</v>
      </c>
      <c r="C81" s="3"/>
      <c r="D81" s="3"/>
      <c r="E81" s="3"/>
      <c r="F81" s="92">
        <v>0</v>
      </c>
      <c r="G81" s="92">
        <v>0</v>
      </c>
      <c r="H81" s="92">
        <v>26244</v>
      </c>
      <c r="I81" s="93">
        <v>55027</v>
      </c>
      <c r="J81" s="85">
        <f>J$35*'Operating Assumptions'!J30</f>
        <v>58878.89</v>
      </c>
      <c r="K81" s="85">
        <f>K$35*'Operating Assumptions'!K30</f>
        <v>63000.412300000004</v>
      </c>
      <c r="L81" s="85">
        <f>L$35*'Operating Assumptions'!L30</f>
        <v>66780.437038000004</v>
      </c>
      <c r="M81" s="85">
        <f>M$35*'Operating Assumptions'!M30</f>
        <v>70787.263260280015</v>
      </c>
      <c r="N81" s="86">
        <f>N$35*'Operating Assumptions'!N30</f>
        <v>74326.626423294016</v>
      </c>
    </row>
    <row r="82" spans="2:14" x14ac:dyDescent="0.2">
      <c r="B82" s="76" t="s">
        <v>106</v>
      </c>
      <c r="C82" s="4"/>
      <c r="D82" s="4"/>
      <c r="E82" s="4"/>
      <c r="F82" s="83">
        <f t="shared" ref="F82:I82" si="26">F72+F73+SUM(F76:F81)</f>
        <v>601883</v>
      </c>
      <c r="G82" s="83">
        <f t="shared" si="26"/>
        <v>599381</v>
      </c>
      <c r="H82" s="83">
        <f t="shared" si="26"/>
        <v>502887</v>
      </c>
      <c r="I82" s="84">
        <f t="shared" si="26"/>
        <v>617013</v>
      </c>
      <c r="J82" s="83">
        <f t="shared" ref="J82:N82" ca="1" si="27">J72+J73+SUM(J76:J81)</f>
        <v>801511.25888331234</v>
      </c>
      <c r="K82" s="83">
        <f t="shared" ca="1" si="27"/>
        <v>917075.922454705</v>
      </c>
      <c r="L82" s="83">
        <f t="shared" ca="1" si="27"/>
        <v>1044522.6291270329</v>
      </c>
      <c r="M82" s="83">
        <f t="shared" ca="1" si="27"/>
        <v>1180703.8730811875</v>
      </c>
      <c r="N82" s="84">
        <f t="shared" ca="1" si="27"/>
        <v>1331136.1744239484</v>
      </c>
    </row>
    <row r="83" spans="2:14" x14ac:dyDescent="0.2">
      <c r="B83" s="2"/>
      <c r="C83" s="3"/>
      <c r="D83" s="3"/>
      <c r="E83" s="3"/>
      <c r="F83" s="3"/>
      <c r="G83" s="3"/>
      <c r="H83" s="3"/>
      <c r="I83" s="12"/>
      <c r="J83" s="3"/>
      <c r="K83" s="3"/>
      <c r="L83" s="3"/>
      <c r="M83" s="3"/>
      <c r="N83" s="12"/>
    </row>
    <row r="84" spans="2:14" x14ac:dyDescent="0.2">
      <c r="B84" s="69" t="s">
        <v>107</v>
      </c>
      <c r="C84" s="3"/>
      <c r="D84" s="3"/>
      <c r="E84" s="3"/>
      <c r="F84" s="3"/>
      <c r="G84" s="3"/>
      <c r="H84" s="3"/>
      <c r="I84" s="12"/>
      <c r="J84" s="3"/>
      <c r="K84" s="3"/>
      <c r="L84" s="3"/>
      <c r="M84" s="3"/>
      <c r="N84" s="12"/>
    </row>
    <row r="85" spans="2:14" x14ac:dyDescent="0.2">
      <c r="B85" s="70" t="s">
        <v>111</v>
      </c>
      <c r="C85" s="3"/>
      <c r="D85" s="3"/>
      <c r="E85" s="3"/>
      <c r="F85" s="90">
        <v>29443</v>
      </c>
      <c r="G85" s="90">
        <v>9456</v>
      </c>
      <c r="H85" s="90">
        <v>5167</v>
      </c>
      <c r="I85" s="91">
        <v>7506</v>
      </c>
      <c r="J85" s="82">
        <f>I85</f>
        <v>7506</v>
      </c>
      <c r="K85" s="82">
        <f>J85</f>
        <v>7506</v>
      </c>
      <c r="L85" s="82">
        <f>K85</f>
        <v>7506</v>
      </c>
      <c r="M85" s="82">
        <f>L85</f>
        <v>7506</v>
      </c>
      <c r="N85" s="24">
        <f>M85</f>
        <v>7506</v>
      </c>
    </row>
    <row r="86" spans="2:14" x14ac:dyDescent="0.2">
      <c r="B86" s="70" t="s">
        <v>108</v>
      </c>
      <c r="C86" s="3"/>
      <c r="D86" s="3"/>
      <c r="E86" s="3"/>
      <c r="F86" s="90">
        <v>0</v>
      </c>
      <c r="G86" s="90">
        <v>0</v>
      </c>
      <c r="H86" s="90">
        <v>0</v>
      </c>
      <c r="I86" s="91">
        <v>0</v>
      </c>
      <c r="J86" s="82">
        <f>J$35*'Operating Assumptions'!J32</f>
        <v>0</v>
      </c>
      <c r="K86" s="82">
        <f>K$35*'Operating Assumptions'!K32</f>
        <v>0</v>
      </c>
      <c r="L86" s="82">
        <f>L$35*'Operating Assumptions'!L32</f>
        <v>0</v>
      </c>
      <c r="M86" s="82">
        <f>M$35*'Operating Assumptions'!M32</f>
        <v>0</v>
      </c>
      <c r="N86" s="24">
        <f>N$35*'Operating Assumptions'!N32</f>
        <v>0</v>
      </c>
    </row>
    <row r="87" spans="2:14" x14ac:dyDescent="0.2">
      <c r="B87" s="70" t="s">
        <v>109</v>
      </c>
      <c r="C87" s="3"/>
      <c r="D87" s="3"/>
      <c r="E87" s="3"/>
      <c r="F87" s="90">
        <v>269413</v>
      </c>
      <c r="G87" s="90">
        <v>285833</v>
      </c>
      <c r="H87" s="90">
        <v>286441</v>
      </c>
      <c r="I87" s="91">
        <v>284554</v>
      </c>
      <c r="J87" s="82">
        <f>J$35*'Operating Assumptions'!J33</f>
        <v>304472.78000000003</v>
      </c>
      <c r="K87" s="82">
        <f>K$35*'Operating Assumptions'!K33</f>
        <v>325785.87460000004</v>
      </c>
      <c r="L87" s="82">
        <f>L$35*'Operating Assumptions'!L33</f>
        <v>345333.027076</v>
      </c>
      <c r="M87" s="82">
        <f>M$35*'Operating Assumptions'!M33</f>
        <v>366053.00870056008</v>
      </c>
      <c r="N87" s="24">
        <f>N$35*'Operating Assumptions'!N33</f>
        <v>384355.6591355881</v>
      </c>
    </row>
    <row r="88" spans="2:14" x14ac:dyDescent="0.2">
      <c r="B88" s="70" t="s">
        <v>110</v>
      </c>
      <c r="C88" s="3"/>
      <c r="D88" s="3"/>
      <c r="E88" s="3"/>
      <c r="F88" s="92">
        <v>-152688</v>
      </c>
      <c r="G88" s="92">
        <v>-171443</v>
      </c>
      <c r="H88" s="92">
        <v>-179686</v>
      </c>
      <c r="I88" s="93">
        <v>-179849</v>
      </c>
      <c r="J88" s="100">
        <f>J87*'Operating Assumptions'!J35</f>
        <v>-192438.43000000002</v>
      </c>
      <c r="K88" s="100">
        <f>K87*'Operating Assumptions'!K35</f>
        <v>-205909.12010000003</v>
      </c>
      <c r="L88" s="85">
        <f>L87*'Operating Assumptions'!L35</f>
        <v>-218263.66730600002</v>
      </c>
      <c r="M88" s="85">
        <f>M87*'Operating Assumptions'!M35</f>
        <v>-231359.48734436007</v>
      </c>
      <c r="N88" s="86">
        <f>N87*'Operating Assumptions'!N35</f>
        <v>-242927.46171157807</v>
      </c>
    </row>
    <row r="89" spans="2:14" x14ac:dyDescent="0.2">
      <c r="B89" s="70" t="s">
        <v>165</v>
      </c>
      <c r="C89" s="3"/>
      <c r="D89" s="3"/>
      <c r="E89" s="3"/>
      <c r="F89" s="82">
        <f>F87+F88</f>
        <v>116725</v>
      </c>
      <c r="G89" s="82">
        <f t="shared" ref="G89:I89" si="28">G87+G88</f>
        <v>114390</v>
      </c>
      <c r="H89" s="82">
        <f t="shared" si="28"/>
        <v>106755</v>
      </c>
      <c r="I89" s="220">
        <f t="shared" si="28"/>
        <v>104705</v>
      </c>
      <c r="J89" s="82">
        <f t="shared" ref="J89:N89" si="29">J87+J88</f>
        <v>112034.35</v>
      </c>
      <c r="K89" s="82">
        <f t="shared" si="29"/>
        <v>119876.75450000001</v>
      </c>
      <c r="L89" s="82">
        <f t="shared" si="29"/>
        <v>127069.35976999998</v>
      </c>
      <c r="M89" s="82">
        <f t="shared" si="29"/>
        <v>134693.52135620001</v>
      </c>
      <c r="N89" s="220">
        <f t="shared" si="29"/>
        <v>141428.19742401002</v>
      </c>
    </row>
    <row r="90" spans="2:14" x14ac:dyDescent="0.2">
      <c r="B90" s="70" t="s">
        <v>339</v>
      </c>
      <c r="C90" s="3"/>
      <c r="D90" s="3"/>
      <c r="E90" s="3"/>
      <c r="F90" s="90">
        <v>27133</v>
      </c>
      <c r="G90" s="90">
        <v>27133</v>
      </c>
      <c r="H90" s="90">
        <v>27133</v>
      </c>
      <c r="I90" s="91">
        <v>21144</v>
      </c>
      <c r="J90" s="82">
        <f>J$35*'Operating Assumptions'!J34</f>
        <v>22624.080000000002</v>
      </c>
      <c r="K90" s="82">
        <f>K$35*'Operating Assumptions'!K34</f>
        <v>24207.765600000002</v>
      </c>
      <c r="L90" s="82">
        <f>L$35*'Operating Assumptions'!L34</f>
        <v>25660.231535999999</v>
      </c>
      <c r="M90" s="82">
        <f>M$35*'Operating Assumptions'!M34</f>
        <v>27199.845428160002</v>
      </c>
      <c r="N90" s="24">
        <f>N$35*'Operating Assumptions'!N34</f>
        <v>28559.837699568005</v>
      </c>
    </row>
    <row r="91" spans="2:14" x14ac:dyDescent="0.2">
      <c r="B91" s="70" t="s">
        <v>211</v>
      </c>
      <c r="C91" s="3"/>
      <c r="D91" s="3"/>
      <c r="E91" s="3"/>
      <c r="F91" s="92">
        <v>-14182</v>
      </c>
      <c r="G91" s="92">
        <v>-17235</v>
      </c>
      <c r="H91" s="92">
        <v>-18806</v>
      </c>
      <c r="I91" s="93">
        <v>-13499</v>
      </c>
      <c r="J91" s="100">
        <f>J90*'Operating Assumptions'!J36</f>
        <v>-14443.93</v>
      </c>
      <c r="K91" s="100">
        <f>K90*'Operating Assumptions'!K36</f>
        <v>-15455.005100000002</v>
      </c>
      <c r="L91" s="100">
        <f>L90*'Operating Assumptions'!L36</f>
        <v>-16382.305405999999</v>
      </c>
      <c r="M91" s="100">
        <f>M90*'Operating Assumptions'!M36</f>
        <v>-17365.243730360002</v>
      </c>
      <c r="N91" s="101">
        <f>N90*'Operating Assumptions'!N36</f>
        <v>-18233.505916878003</v>
      </c>
    </row>
    <row r="92" spans="2:14" x14ac:dyDescent="0.2">
      <c r="B92" s="70" t="s">
        <v>340</v>
      </c>
      <c r="C92" s="3"/>
      <c r="D92" s="3"/>
      <c r="E92" s="3"/>
      <c r="F92" s="82">
        <f>F90+F91</f>
        <v>12951</v>
      </c>
      <c r="G92" s="82">
        <f t="shared" ref="G92:I92" si="30">G90+G91</f>
        <v>9898</v>
      </c>
      <c r="H92" s="82">
        <f t="shared" si="30"/>
        <v>8327</v>
      </c>
      <c r="I92" s="220">
        <f t="shared" si="30"/>
        <v>7645</v>
      </c>
      <c r="J92" s="82">
        <f t="shared" ref="J92:N92" si="31">J90+J91</f>
        <v>8180.1500000000015</v>
      </c>
      <c r="K92" s="82">
        <f t="shared" si="31"/>
        <v>8752.7605000000003</v>
      </c>
      <c r="L92" s="82">
        <f t="shared" si="31"/>
        <v>9277.9261299999998</v>
      </c>
      <c r="M92" s="82">
        <f t="shared" si="31"/>
        <v>9834.6016978000007</v>
      </c>
      <c r="N92" s="220">
        <f t="shared" si="31"/>
        <v>10326.331782690002</v>
      </c>
    </row>
    <row r="93" spans="2:14" x14ac:dyDescent="0.2">
      <c r="B93" s="70" t="s">
        <v>166</v>
      </c>
      <c r="C93" s="3"/>
      <c r="D93" s="3"/>
      <c r="E93" s="3"/>
      <c r="F93" s="90">
        <v>8833</v>
      </c>
      <c r="G93" s="90">
        <v>8833</v>
      </c>
      <c r="H93" s="90">
        <v>8833</v>
      </c>
      <c r="I93" s="91">
        <v>8833</v>
      </c>
      <c r="J93" s="82">
        <f>I93</f>
        <v>8833</v>
      </c>
      <c r="K93" s="82">
        <f>J93</f>
        <v>8833</v>
      </c>
      <c r="L93" s="82">
        <f>K93</f>
        <v>8833</v>
      </c>
      <c r="M93" s="82">
        <f>L93</f>
        <v>8833</v>
      </c>
      <c r="N93" s="24">
        <f>M93</f>
        <v>8833</v>
      </c>
    </row>
    <row r="94" spans="2:14" x14ac:dyDescent="0.2">
      <c r="B94" s="70" t="s">
        <v>112</v>
      </c>
      <c r="C94" s="3"/>
      <c r="D94" s="3"/>
      <c r="E94" s="3"/>
      <c r="F94" s="90">
        <v>19272</v>
      </c>
      <c r="G94" s="90">
        <v>29168</v>
      </c>
      <c r="H94" s="90">
        <v>26998</v>
      </c>
      <c r="I94" s="91">
        <v>35690</v>
      </c>
      <c r="J94" s="82"/>
      <c r="K94" s="82"/>
      <c r="L94" s="82"/>
      <c r="M94" s="82"/>
      <c r="N94" s="24"/>
    </row>
    <row r="95" spans="2:14" x14ac:dyDescent="0.2">
      <c r="B95" s="70" t="s">
        <v>113</v>
      </c>
      <c r="C95" s="3"/>
      <c r="D95" s="3"/>
      <c r="E95" s="3"/>
      <c r="F95" s="92">
        <v>5045</v>
      </c>
      <c r="G95" s="92">
        <v>6318</v>
      </c>
      <c r="H95" s="92">
        <v>5951</v>
      </c>
      <c r="I95" s="93">
        <v>5939</v>
      </c>
      <c r="J95" s="85">
        <f>J$35*'Operating Assumptions'!J37</f>
        <v>6354.73</v>
      </c>
      <c r="K95" s="85">
        <f>K$35*'Operating Assumptions'!K37</f>
        <v>6799.5610999999999</v>
      </c>
      <c r="L95" s="85">
        <f>L$35*'Operating Assumptions'!L37</f>
        <v>7207.5347659999998</v>
      </c>
      <c r="M95" s="85">
        <f>M$35*'Operating Assumptions'!M37</f>
        <v>7639.9868519600004</v>
      </c>
      <c r="N95" s="86">
        <f>N$35*'Operating Assumptions'!N37</f>
        <v>8021.9861945580005</v>
      </c>
    </row>
    <row r="96" spans="2:14" x14ac:dyDescent="0.2">
      <c r="B96" s="25" t="s">
        <v>114</v>
      </c>
      <c r="C96" s="4"/>
      <c r="D96" s="4"/>
      <c r="E96" s="4"/>
      <c r="F96" s="83">
        <f t="shared" ref="F96:N96" si="32">F85+F86+F89+SUM(F92:F95)</f>
        <v>192269</v>
      </c>
      <c r="G96" s="83">
        <f t="shared" si="32"/>
        <v>178063</v>
      </c>
      <c r="H96" s="83">
        <f t="shared" si="32"/>
        <v>162031</v>
      </c>
      <c r="I96" s="84">
        <f t="shared" si="32"/>
        <v>170318</v>
      </c>
      <c r="J96" s="83">
        <f t="shared" si="32"/>
        <v>142908.23000000001</v>
      </c>
      <c r="K96" s="83">
        <f t="shared" si="32"/>
        <v>151768.07610000001</v>
      </c>
      <c r="L96" s="83">
        <f t="shared" si="32"/>
        <v>159893.82066599999</v>
      </c>
      <c r="M96" s="83">
        <f t="shared" si="32"/>
        <v>168507.10990596001</v>
      </c>
      <c r="N96" s="84">
        <f t="shared" si="32"/>
        <v>176115.51540125802</v>
      </c>
    </row>
    <row r="97" spans="2:14" x14ac:dyDescent="0.2">
      <c r="B97" s="2"/>
      <c r="C97" s="3"/>
      <c r="D97" s="3"/>
      <c r="E97" s="3"/>
      <c r="F97" s="3"/>
      <c r="G97" s="3"/>
      <c r="H97" s="3"/>
      <c r="I97" s="12"/>
      <c r="J97" s="3"/>
      <c r="K97" s="3"/>
      <c r="L97" s="3"/>
      <c r="M97" s="3"/>
      <c r="N97" s="12"/>
    </row>
    <row r="98" spans="2:14" x14ac:dyDescent="0.2">
      <c r="B98" s="69" t="s">
        <v>115</v>
      </c>
      <c r="C98" s="3"/>
      <c r="D98" s="3"/>
      <c r="E98" s="3"/>
      <c r="F98" s="83">
        <f t="shared" ref="F98:N98" si="33">F82+F96</f>
        <v>794152</v>
      </c>
      <c r="G98" s="83">
        <f t="shared" si="33"/>
        <v>777444</v>
      </c>
      <c r="H98" s="83">
        <f t="shared" si="33"/>
        <v>664918</v>
      </c>
      <c r="I98" s="84">
        <f>I82+I96</f>
        <v>787331</v>
      </c>
      <c r="J98" s="83">
        <f t="shared" ca="1" si="33"/>
        <v>944419.48888331233</v>
      </c>
      <c r="K98" s="83">
        <f t="shared" ca="1" si="33"/>
        <v>1068843.9985547049</v>
      </c>
      <c r="L98" s="83">
        <f t="shared" ca="1" si="33"/>
        <v>1204416.4497930328</v>
      </c>
      <c r="M98" s="83">
        <f t="shared" ca="1" si="33"/>
        <v>1349210.9829871475</v>
      </c>
      <c r="N98" s="84">
        <f t="shared" ca="1" si="33"/>
        <v>1507251.6898252065</v>
      </c>
    </row>
    <row r="99" spans="2:14" x14ac:dyDescent="0.2">
      <c r="B99" s="69" t="s">
        <v>116</v>
      </c>
      <c r="C99" s="3"/>
      <c r="D99" s="3"/>
      <c r="E99" s="3"/>
      <c r="F99" s="83">
        <f t="shared" ref="F99:N99" si="34">F98+F71-F72</f>
        <v>794152</v>
      </c>
      <c r="G99" s="83">
        <f t="shared" si="34"/>
        <v>777096</v>
      </c>
      <c r="H99" s="83">
        <f t="shared" si="34"/>
        <v>659111</v>
      </c>
      <c r="I99" s="84">
        <f>I98+I71-I72</f>
        <v>770858</v>
      </c>
      <c r="J99" s="83">
        <f t="shared" ca="1" si="34"/>
        <v>884823.61888331245</v>
      </c>
      <c r="K99" s="83">
        <f t="shared" ca="1" si="34"/>
        <v>1007372.5576547049</v>
      </c>
      <c r="L99" s="83">
        <f t="shared" ca="1" si="34"/>
        <v>1141224.8424390331</v>
      </c>
      <c r="M99" s="83">
        <f t="shared" ca="1" si="34"/>
        <v>1284195.9991919077</v>
      </c>
      <c r="N99" s="84">
        <f t="shared" ca="1" si="34"/>
        <v>1440626.0568402044</v>
      </c>
    </row>
    <row r="100" spans="2:14" x14ac:dyDescent="0.2">
      <c r="B100" s="69" t="s">
        <v>117</v>
      </c>
      <c r="C100" s="3"/>
      <c r="D100" s="3"/>
      <c r="E100" s="3"/>
      <c r="F100" s="82">
        <f t="shared" ref="F100:N100" si="35">F98-F99</f>
        <v>0</v>
      </c>
      <c r="G100" s="82">
        <f t="shared" si="35"/>
        <v>348</v>
      </c>
      <c r="H100" s="82">
        <f t="shared" si="35"/>
        <v>5807</v>
      </c>
      <c r="I100" s="24">
        <f>I98-I99</f>
        <v>16473</v>
      </c>
      <c r="J100" s="82">
        <f t="shared" ca="1" si="35"/>
        <v>59595.869999999879</v>
      </c>
      <c r="K100" s="82">
        <f t="shared" ca="1" si="35"/>
        <v>61471.440900000045</v>
      </c>
      <c r="L100" s="82">
        <f t="shared" ca="1" si="35"/>
        <v>63191.607353999745</v>
      </c>
      <c r="M100" s="82">
        <f t="shared" ca="1" si="35"/>
        <v>65014.983795239823</v>
      </c>
      <c r="N100" s="24">
        <f t="shared" ca="1" si="35"/>
        <v>66625.632985002128</v>
      </c>
    </row>
    <row r="101" spans="2:14" x14ac:dyDescent="0.2">
      <c r="B101" s="2"/>
      <c r="C101" s="3"/>
      <c r="D101" s="3"/>
      <c r="E101" s="3"/>
      <c r="F101" s="3"/>
      <c r="G101" s="3"/>
      <c r="H101" s="3"/>
      <c r="I101" s="12"/>
      <c r="J101" s="3"/>
      <c r="K101" s="3"/>
      <c r="L101" s="3"/>
      <c r="M101" s="3"/>
      <c r="N101" s="12"/>
    </row>
    <row r="102" spans="2:14" x14ac:dyDescent="0.2">
      <c r="B102" s="73" t="s">
        <v>118</v>
      </c>
      <c r="C102" s="74"/>
      <c r="D102" s="74"/>
      <c r="E102" s="74"/>
      <c r="F102" s="3"/>
      <c r="G102" s="3"/>
      <c r="H102" s="3"/>
      <c r="I102" s="12"/>
      <c r="J102" s="3"/>
      <c r="K102" s="3"/>
      <c r="L102" s="3"/>
      <c r="M102" s="3"/>
      <c r="N102" s="12"/>
    </row>
    <row r="103" spans="2:14" x14ac:dyDescent="0.2">
      <c r="B103" s="69" t="s">
        <v>119</v>
      </c>
      <c r="C103" s="3"/>
      <c r="D103" s="3"/>
      <c r="E103" s="3"/>
      <c r="F103" s="3"/>
      <c r="G103" s="3"/>
      <c r="H103" s="3"/>
      <c r="I103" s="12"/>
      <c r="J103" s="3"/>
      <c r="K103" s="3"/>
      <c r="L103" s="3"/>
      <c r="M103" s="3"/>
      <c r="N103" s="12"/>
    </row>
    <row r="104" spans="2:14" x14ac:dyDescent="0.2">
      <c r="B104" s="70" t="s">
        <v>120</v>
      </c>
      <c r="C104" s="3"/>
      <c r="D104" s="3"/>
      <c r="E104" s="3"/>
      <c r="F104" s="90">
        <f>23980+4428</f>
        <v>28408</v>
      </c>
      <c r="G104" s="90">
        <f>15003+4108</f>
        <v>19111</v>
      </c>
      <c r="H104" s="90">
        <f>21756+9284</f>
        <v>31040</v>
      </c>
      <c r="I104" s="91">
        <v>27731</v>
      </c>
      <c r="J104" s="82">
        <f>J$36*'Operating Assumptions'!J39</f>
        <v>29672.17</v>
      </c>
      <c r="K104" s="82">
        <f>K$36*'Operating Assumptions'!K39</f>
        <v>31749.221899999997</v>
      </c>
      <c r="L104" s="82">
        <f>L$36*'Operating Assumptions'!L39</f>
        <v>33654.175214000003</v>
      </c>
      <c r="M104" s="82">
        <f>M$36*'Operating Assumptions'!M39</f>
        <v>35673.425726840003</v>
      </c>
      <c r="N104" s="24">
        <f>N$36*'Operating Assumptions'!N39</f>
        <v>37457.097013182007</v>
      </c>
    </row>
    <row r="105" spans="2:14" x14ac:dyDescent="0.2">
      <c r="B105" s="70" t="s">
        <v>121</v>
      </c>
      <c r="C105" s="3"/>
      <c r="D105" s="3"/>
      <c r="E105" s="3"/>
      <c r="F105" s="90">
        <v>0</v>
      </c>
      <c r="G105" s="90">
        <v>0</v>
      </c>
      <c r="H105" s="90">
        <v>0</v>
      </c>
      <c r="I105" s="91">
        <v>0</v>
      </c>
      <c r="J105" s="94">
        <f>I105</f>
        <v>0</v>
      </c>
      <c r="K105" s="82">
        <f>J105</f>
        <v>0</v>
      </c>
      <c r="L105" s="82">
        <f>K105</f>
        <v>0</v>
      </c>
      <c r="M105" s="82">
        <f>L105</f>
        <v>0</v>
      </c>
      <c r="N105" s="24">
        <f>M105</f>
        <v>0</v>
      </c>
    </row>
    <row r="106" spans="2:14" x14ac:dyDescent="0.2">
      <c r="B106" s="70" t="s">
        <v>122</v>
      </c>
      <c r="C106" s="3"/>
      <c r="D106" s="3"/>
      <c r="E106" s="3"/>
      <c r="F106" s="90">
        <f>24350+24406+3303</f>
        <v>52059</v>
      </c>
      <c r="G106" s="90">
        <f>23565+12682+3795</f>
        <v>40042</v>
      </c>
      <c r="H106" s="90">
        <v>0</v>
      </c>
      <c r="I106" s="91">
        <v>0</v>
      </c>
      <c r="J106" s="82">
        <f>J$43*'Operating Assumptions'!J41</f>
        <v>0</v>
      </c>
      <c r="K106" s="82">
        <f>K$43*'Operating Assumptions'!K41</f>
        <v>0</v>
      </c>
      <c r="L106" s="82">
        <f>L$43*'Operating Assumptions'!L41</f>
        <v>0</v>
      </c>
      <c r="M106" s="82">
        <f>M$43*'Operating Assumptions'!M41</f>
        <v>0</v>
      </c>
      <c r="N106" s="24">
        <f>N$43*'Operating Assumptions'!N41</f>
        <v>0</v>
      </c>
    </row>
    <row r="107" spans="2:14" x14ac:dyDescent="0.2">
      <c r="B107" s="70" t="s">
        <v>123</v>
      </c>
      <c r="C107" s="3"/>
      <c r="D107" s="3"/>
      <c r="E107" s="3"/>
      <c r="F107" s="90">
        <v>4974</v>
      </c>
      <c r="G107" s="90">
        <v>15344</v>
      </c>
      <c r="H107" s="90">
        <v>22339</v>
      </c>
      <c r="I107" s="91">
        <v>30593</v>
      </c>
      <c r="J107" s="82">
        <f>J$35*'Operating Assumptions'!J42</f>
        <v>32734.51</v>
      </c>
      <c r="K107" s="82">
        <f>K$35*'Operating Assumptions'!K42</f>
        <v>35025.9257</v>
      </c>
      <c r="L107" s="82">
        <f>L$35*'Operating Assumptions'!L42</f>
        <v>37127.481242000002</v>
      </c>
      <c r="M107" s="82">
        <f>M$35*'Operating Assumptions'!M42</f>
        <v>39355.130116520006</v>
      </c>
      <c r="N107" s="24">
        <f>N$35*'Operating Assumptions'!N42</f>
        <v>41322.886622346006</v>
      </c>
    </row>
    <row r="108" spans="2:14" x14ac:dyDescent="0.2">
      <c r="B108" s="70" t="s">
        <v>124</v>
      </c>
      <c r="C108" s="3"/>
      <c r="D108" s="3"/>
      <c r="E108" s="3"/>
      <c r="F108" s="90">
        <v>13468</v>
      </c>
      <c r="G108" s="90">
        <v>1085</v>
      </c>
      <c r="H108" s="90">
        <v>0</v>
      </c>
      <c r="I108" s="91">
        <v>0</v>
      </c>
      <c r="J108" s="82">
        <f ca="1">J$53*'Operating Assumptions'!J43</f>
        <v>0</v>
      </c>
      <c r="K108" s="82">
        <f ca="1">K$53*'Operating Assumptions'!K43</f>
        <v>0</v>
      </c>
      <c r="L108" s="82">
        <f ca="1">L$53*'Operating Assumptions'!L43</f>
        <v>0</v>
      </c>
      <c r="M108" s="82">
        <f ca="1">M$53*'Operating Assumptions'!M43</f>
        <v>0</v>
      </c>
      <c r="N108" s="24">
        <f ca="1">N$53*'Operating Assumptions'!N43</f>
        <v>0</v>
      </c>
    </row>
    <row r="109" spans="2:14" x14ac:dyDescent="0.2">
      <c r="B109" s="70" t="s">
        <v>104</v>
      </c>
      <c r="C109" s="3"/>
      <c r="D109" s="3"/>
      <c r="E109" s="3"/>
      <c r="F109" s="90">
        <v>0</v>
      </c>
      <c r="G109" s="90">
        <v>0</v>
      </c>
      <c r="H109" s="90">
        <v>0</v>
      </c>
      <c r="I109" s="91">
        <v>0</v>
      </c>
      <c r="J109" s="82"/>
      <c r="K109" s="82"/>
      <c r="L109" s="82"/>
      <c r="M109" s="82"/>
      <c r="N109" s="24"/>
    </row>
    <row r="110" spans="2:14" x14ac:dyDescent="0.2">
      <c r="B110" s="70" t="s">
        <v>125</v>
      </c>
      <c r="C110" s="3"/>
      <c r="D110" s="3"/>
      <c r="E110" s="3"/>
      <c r="F110" s="90">
        <v>0</v>
      </c>
      <c r="G110" s="90">
        <v>0</v>
      </c>
      <c r="H110" s="90">
        <v>0</v>
      </c>
      <c r="I110" s="91">
        <v>0</v>
      </c>
      <c r="J110" s="94">
        <f>I110</f>
        <v>0</v>
      </c>
      <c r="K110" s="82">
        <f>J110</f>
        <v>0</v>
      </c>
      <c r="L110" s="82">
        <f>K110</f>
        <v>0</v>
      </c>
      <c r="M110" s="82">
        <f>L110</f>
        <v>0</v>
      </c>
      <c r="N110" s="24">
        <f>M110</f>
        <v>0</v>
      </c>
    </row>
    <row r="111" spans="2:14" x14ac:dyDescent="0.2">
      <c r="B111" s="70" t="s">
        <v>126</v>
      </c>
      <c r="C111" s="3"/>
      <c r="D111" s="3"/>
      <c r="E111" s="3"/>
      <c r="F111" s="92">
        <v>4569</v>
      </c>
      <c r="G111" s="92">
        <f>140722+8278</f>
        <v>149000</v>
      </c>
      <c r="H111" s="92">
        <v>50244</v>
      </c>
      <c r="I111" s="93">
        <v>68121</v>
      </c>
      <c r="J111" s="85">
        <f>J$35*'Operating Assumptions'!J44</f>
        <v>72889.47</v>
      </c>
      <c r="K111" s="85">
        <f>K$35*'Operating Assumptions'!K44</f>
        <v>77991.732900000003</v>
      </c>
      <c r="L111" s="85">
        <f>L$35*'Operating Assumptions'!L44</f>
        <v>82671.236873999995</v>
      </c>
      <c r="M111" s="85">
        <f>M$35*'Operating Assumptions'!M44</f>
        <v>87631.511086440005</v>
      </c>
      <c r="N111" s="86">
        <f>N$35*'Operating Assumptions'!N44</f>
        <v>92013.086640762005</v>
      </c>
    </row>
    <row r="112" spans="2:14" x14ac:dyDescent="0.2">
      <c r="B112" s="25" t="s">
        <v>127</v>
      </c>
      <c r="C112" s="4"/>
      <c r="D112" s="4"/>
      <c r="E112" s="4"/>
      <c r="F112" s="83">
        <f t="shared" ref="F112:I112" si="36">SUM(F104:F111)</f>
        <v>103478</v>
      </c>
      <c r="G112" s="83">
        <f t="shared" si="36"/>
        <v>224582</v>
      </c>
      <c r="H112" s="83">
        <f t="shared" si="36"/>
        <v>103623</v>
      </c>
      <c r="I112" s="84">
        <f t="shared" si="36"/>
        <v>126445</v>
      </c>
      <c r="J112" s="83">
        <f t="shared" ref="J112:N112" ca="1" si="37">SUM(J104:J111)</f>
        <v>135296.15</v>
      </c>
      <c r="K112" s="83">
        <f t="shared" ca="1" si="37"/>
        <v>144766.8805</v>
      </c>
      <c r="L112" s="83">
        <f t="shared" ca="1" si="37"/>
        <v>153452.89332999999</v>
      </c>
      <c r="M112" s="83">
        <f t="shared" ca="1" si="37"/>
        <v>162660.06692980003</v>
      </c>
      <c r="N112" s="84">
        <f t="shared" ca="1" si="37"/>
        <v>170793.07027629</v>
      </c>
    </row>
    <row r="113" spans="2:16" x14ac:dyDescent="0.2">
      <c r="B113" s="2"/>
      <c r="C113" s="3"/>
      <c r="D113" s="3"/>
      <c r="E113" s="3"/>
      <c r="F113" s="3"/>
      <c r="G113" s="3"/>
      <c r="H113" s="3"/>
      <c r="I113" s="12"/>
      <c r="J113" s="3"/>
      <c r="K113" s="3"/>
      <c r="L113" s="3"/>
      <c r="M113" s="3"/>
      <c r="N113" s="12"/>
    </row>
    <row r="114" spans="2:16" x14ac:dyDescent="0.2">
      <c r="B114" s="69" t="s">
        <v>128</v>
      </c>
      <c r="C114" s="3"/>
      <c r="D114" s="3"/>
      <c r="E114" s="3"/>
      <c r="F114" s="3"/>
      <c r="G114" s="3"/>
      <c r="H114" s="3"/>
      <c r="I114" s="12"/>
      <c r="J114" s="3"/>
      <c r="K114" s="3"/>
      <c r="L114" s="3"/>
      <c r="M114" s="3"/>
      <c r="N114" s="12"/>
    </row>
    <row r="115" spans="2:16" x14ac:dyDescent="0.2">
      <c r="B115" s="70" t="s">
        <v>129</v>
      </c>
      <c r="C115" s="3"/>
      <c r="D115" s="3"/>
      <c r="E115" s="3"/>
      <c r="F115" s="90">
        <v>140722</v>
      </c>
      <c r="G115" s="90">
        <v>0</v>
      </c>
      <c r="H115" s="90">
        <v>0</v>
      </c>
      <c r="I115" s="91">
        <v>0</v>
      </c>
      <c r="J115" s="82">
        <f>I115</f>
        <v>0</v>
      </c>
      <c r="K115" s="82">
        <f>J115</f>
        <v>0</v>
      </c>
      <c r="L115" s="82">
        <f>K115</f>
        <v>0</v>
      </c>
      <c r="M115" s="82">
        <f>L115</f>
        <v>0</v>
      </c>
      <c r="N115" s="24">
        <f>M115</f>
        <v>0</v>
      </c>
    </row>
    <row r="116" spans="2:16" x14ac:dyDescent="0.2">
      <c r="B116" s="70" t="s">
        <v>104</v>
      </c>
      <c r="C116" s="3"/>
      <c r="D116" s="3"/>
      <c r="E116" s="3"/>
      <c r="F116" s="90">
        <v>0</v>
      </c>
      <c r="G116" s="90">
        <v>0</v>
      </c>
      <c r="H116" s="90">
        <v>18</v>
      </c>
      <c r="I116" s="91">
        <v>21</v>
      </c>
      <c r="J116" s="82">
        <f>J$35*'Operating Assumptions'!J46</f>
        <v>22.47</v>
      </c>
      <c r="K116" s="82">
        <f>K$35*'Operating Assumptions'!K46</f>
        <v>24.042899999999999</v>
      </c>
      <c r="L116" s="82">
        <f>L$35*'Operating Assumptions'!L46</f>
        <v>25.485474</v>
      </c>
      <c r="M116" s="82">
        <f>M$35*'Operating Assumptions'!M46</f>
        <v>27.014602440000001</v>
      </c>
      <c r="N116" s="24">
        <f>N$35*'Operating Assumptions'!N46</f>
        <v>28.365332562000003</v>
      </c>
    </row>
    <row r="117" spans="2:16" x14ac:dyDescent="0.2">
      <c r="B117" s="70" t="s">
        <v>124</v>
      </c>
      <c r="C117" s="3"/>
      <c r="D117" s="3"/>
      <c r="E117" s="3"/>
      <c r="F117" s="90">
        <v>17755</v>
      </c>
      <c r="G117" s="90">
        <v>18447</v>
      </c>
      <c r="H117" s="90">
        <v>0</v>
      </c>
      <c r="I117" s="91">
        <v>0</v>
      </c>
      <c r="J117" s="82">
        <f ca="1">J$53*'Operating Assumptions'!J47</f>
        <v>0</v>
      </c>
      <c r="K117" s="82">
        <f ca="1">K$53*'Operating Assumptions'!K47</f>
        <v>0</v>
      </c>
      <c r="L117" s="82">
        <f ca="1">L$53*'Operating Assumptions'!L47</f>
        <v>0</v>
      </c>
      <c r="M117" s="82">
        <f ca="1">M$53*'Operating Assumptions'!M47</f>
        <v>0</v>
      </c>
      <c r="N117" s="24">
        <f ca="1">N$53*'Operating Assumptions'!N47</f>
        <v>0</v>
      </c>
    </row>
    <row r="118" spans="2:16" x14ac:dyDescent="0.2">
      <c r="B118" s="70" t="s">
        <v>130</v>
      </c>
      <c r="C118" s="3"/>
      <c r="D118" s="3"/>
      <c r="E118" s="3"/>
      <c r="F118" s="90">
        <v>5711</v>
      </c>
      <c r="G118" s="90">
        <v>4848</v>
      </c>
      <c r="H118" s="90">
        <v>0</v>
      </c>
      <c r="I118" s="91">
        <v>0</v>
      </c>
      <c r="J118" s="94">
        <f>I118</f>
        <v>0</v>
      </c>
      <c r="K118" s="82">
        <f>J118</f>
        <v>0</v>
      </c>
      <c r="L118" s="82">
        <f>K118</f>
        <v>0</v>
      </c>
      <c r="M118" s="82">
        <f>L118</f>
        <v>0</v>
      </c>
      <c r="N118" s="24">
        <f>M118</f>
        <v>0</v>
      </c>
    </row>
    <row r="119" spans="2:16" x14ac:dyDescent="0.2">
      <c r="B119" s="70" t="s">
        <v>131</v>
      </c>
      <c r="C119" s="3"/>
      <c r="D119" s="3"/>
      <c r="E119" s="3"/>
      <c r="F119" s="92">
        <f>5562+17401</f>
        <v>22963</v>
      </c>
      <c r="G119" s="92">
        <v>11791</v>
      </c>
      <c r="H119" s="92">
        <f>525+19114</f>
        <v>19639</v>
      </c>
      <c r="I119" s="93">
        <f>690+21920</f>
        <v>22610</v>
      </c>
      <c r="J119" s="85">
        <f>J$35*'Operating Assumptions'!J48</f>
        <v>24192.7</v>
      </c>
      <c r="K119" s="85">
        <f>K$35*'Operating Assumptions'!K48</f>
        <v>25886.189000000002</v>
      </c>
      <c r="L119" s="85">
        <f>L$35*'Operating Assumptions'!L48</f>
        <v>27439.360339999999</v>
      </c>
      <c r="M119" s="85">
        <f>M$35*'Operating Assumptions'!M48</f>
        <v>29085.721960400006</v>
      </c>
      <c r="N119" s="86">
        <f>N$35*'Operating Assumptions'!N48</f>
        <v>30540.008058420004</v>
      </c>
    </row>
    <row r="120" spans="2:16" x14ac:dyDescent="0.2">
      <c r="B120" s="25" t="s">
        <v>132</v>
      </c>
      <c r="C120" s="4"/>
      <c r="D120" s="4"/>
      <c r="E120" s="4"/>
      <c r="F120" s="83">
        <f t="shared" ref="F120:I120" si="38">SUM(F115:F119)</f>
        <v>187151</v>
      </c>
      <c r="G120" s="83">
        <f t="shared" si="38"/>
        <v>35086</v>
      </c>
      <c r="H120" s="83">
        <f t="shared" si="38"/>
        <v>19657</v>
      </c>
      <c r="I120" s="84">
        <f t="shared" si="38"/>
        <v>22631</v>
      </c>
      <c r="J120" s="83">
        <f t="shared" ref="J120:N120" ca="1" si="39">SUM(J115:J119)</f>
        <v>24215.170000000002</v>
      </c>
      <c r="K120" s="83">
        <f t="shared" ca="1" si="39"/>
        <v>25910.231900000002</v>
      </c>
      <c r="L120" s="83">
        <f t="shared" ca="1" si="39"/>
        <v>27464.845814</v>
      </c>
      <c r="M120" s="83">
        <f t="shared" ca="1" si="39"/>
        <v>29112.736562840004</v>
      </c>
      <c r="N120" s="84">
        <f t="shared" ca="1" si="39"/>
        <v>30568.373390982004</v>
      </c>
    </row>
    <row r="121" spans="2:16" x14ac:dyDescent="0.2">
      <c r="B121" s="2"/>
      <c r="C121" s="3"/>
      <c r="D121" s="3"/>
      <c r="E121" s="3"/>
      <c r="F121" s="3"/>
      <c r="G121" s="3"/>
      <c r="H121" s="3"/>
      <c r="I121" s="12"/>
      <c r="J121" s="3"/>
      <c r="K121" s="3"/>
      <c r="L121" s="3"/>
      <c r="M121" s="3"/>
      <c r="N121" s="12"/>
    </row>
    <row r="122" spans="2:16" x14ac:dyDescent="0.2">
      <c r="B122" s="69" t="s">
        <v>133</v>
      </c>
      <c r="C122" s="3"/>
      <c r="D122" s="3"/>
      <c r="E122" s="3"/>
      <c r="F122" s="3"/>
      <c r="G122" s="3"/>
      <c r="H122" s="3"/>
      <c r="I122" s="12"/>
      <c r="J122" s="3"/>
      <c r="K122" s="3"/>
      <c r="L122" s="3"/>
      <c r="M122" s="3"/>
      <c r="N122" s="12"/>
    </row>
    <row r="123" spans="2:16" x14ac:dyDescent="0.2">
      <c r="B123" s="70" t="s">
        <v>136</v>
      </c>
      <c r="C123" s="3"/>
      <c r="D123" s="3"/>
      <c r="E123" s="3"/>
      <c r="F123" s="90">
        <v>42</v>
      </c>
      <c r="G123" s="90">
        <v>42</v>
      </c>
      <c r="H123" s="90">
        <v>43</v>
      </c>
      <c r="I123" s="91">
        <v>43</v>
      </c>
      <c r="J123" s="82">
        <f>I123</f>
        <v>43</v>
      </c>
      <c r="K123" s="82">
        <f>J123</f>
        <v>43</v>
      </c>
      <c r="L123" s="82">
        <f>K123</f>
        <v>43</v>
      </c>
      <c r="M123" s="82">
        <f>L123</f>
        <v>43</v>
      </c>
      <c r="N123" s="24">
        <f>M123</f>
        <v>43</v>
      </c>
      <c r="P123" s="219"/>
    </row>
    <row r="124" spans="2:16" x14ac:dyDescent="0.2">
      <c r="B124" s="70" t="s">
        <v>135</v>
      </c>
      <c r="C124" s="3"/>
      <c r="D124" s="3"/>
      <c r="E124" s="3"/>
      <c r="F124" s="90">
        <v>579711</v>
      </c>
      <c r="G124" s="98">
        <f t="shared" ref="G124:H124" si="40">F124+G169+G140+G170</f>
        <v>586217</v>
      </c>
      <c r="H124" s="98">
        <f t="shared" si="40"/>
        <v>592507</v>
      </c>
      <c r="I124" s="99">
        <f>H124+I169+I140+I170+57</f>
        <v>603799</v>
      </c>
      <c r="J124" s="235">
        <f t="shared" ref="J124:N124" si="41">I124+J171+J140+J172+J174</f>
        <v>627233.06999999995</v>
      </c>
      <c r="K124" s="98">
        <f t="shared" si="41"/>
        <v>652307.52489999984</v>
      </c>
      <c r="L124" s="98">
        <f t="shared" si="41"/>
        <v>678886.44709399983</v>
      </c>
      <c r="M124" s="98">
        <f t="shared" si="41"/>
        <v>707060.10461963981</v>
      </c>
      <c r="N124" s="99">
        <f t="shared" si="41"/>
        <v>736642.44502156181</v>
      </c>
    </row>
    <row r="125" spans="2:16" x14ac:dyDescent="0.2">
      <c r="B125" s="70" t="s">
        <v>137</v>
      </c>
      <c r="C125" s="3"/>
      <c r="D125" s="3"/>
      <c r="E125" s="3"/>
      <c r="F125" s="90">
        <v>-450704</v>
      </c>
      <c r="G125" s="90">
        <v>-473580</v>
      </c>
      <c r="H125" s="90">
        <v>-473580</v>
      </c>
      <c r="I125" s="91">
        <v>-492890</v>
      </c>
      <c r="J125" s="94">
        <f>I125</f>
        <v>-492890</v>
      </c>
      <c r="K125" s="82">
        <f>J125</f>
        <v>-492890</v>
      </c>
      <c r="L125" s="82">
        <f>K125</f>
        <v>-492890</v>
      </c>
      <c r="M125" s="82">
        <f>L125</f>
        <v>-492890</v>
      </c>
      <c r="N125" s="24">
        <f>M125</f>
        <v>-492890</v>
      </c>
    </row>
    <row r="126" spans="2:16" x14ac:dyDescent="0.2">
      <c r="B126" s="70" t="s">
        <v>138</v>
      </c>
      <c r="C126" s="3"/>
      <c r="D126" s="3"/>
      <c r="E126" s="3"/>
      <c r="F126" s="90">
        <v>374260</v>
      </c>
      <c r="G126" s="82">
        <f>F126+G60-26</f>
        <v>410774</v>
      </c>
      <c r="H126" s="82">
        <f>G126+H60</f>
        <v>422750</v>
      </c>
      <c r="I126" s="24">
        <f>H126+I60</f>
        <v>513711</v>
      </c>
      <c r="J126" s="94">
        <f t="shared" ref="J126:N126" ca="1" si="42">I126+J60</f>
        <v>593807.22888331243</v>
      </c>
      <c r="K126" s="82">
        <f t="shared" ca="1" si="42"/>
        <v>680115.92035470507</v>
      </c>
      <c r="L126" s="82">
        <f t="shared" ca="1" si="42"/>
        <v>777148.65620103315</v>
      </c>
      <c r="M126" s="82">
        <f t="shared" ca="1" si="42"/>
        <v>881091.09107962763</v>
      </c>
      <c r="N126" s="24">
        <f t="shared" ca="1" si="42"/>
        <v>998350.16815137072</v>
      </c>
    </row>
    <row r="127" spans="2:16" x14ac:dyDescent="0.2">
      <c r="B127" s="70" t="s">
        <v>139</v>
      </c>
      <c r="C127" s="3"/>
      <c r="D127" s="3"/>
      <c r="E127" s="3"/>
      <c r="F127" s="92">
        <v>214</v>
      </c>
      <c r="G127" s="92">
        <v>-6025</v>
      </c>
      <c r="H127" s="92">
        <v>-8280</v>
      </c>
      <c r="I127" s="93">
        <v>-2881</v>
      </c>
      <c r="J127" s="252">
        <f>I127</f>
        <v>-2881</v>
      </c>
      <c r="K127" s="85">
        <f>J127</f>
        <v>-2881</v>
      </c>
      <c r="L127" s="85">
        <f>K127</f>
        <v>-2881</v>
      </c>
      <c r="M127" s="85">
        <f>L127</f>
        <v>-2881</v>
      </c>
      <c r="N127" s="86">
        <f>M127</f>
        <v>-2881</v>
      </c>
    </row>
    <row r="128" spans="2:16" x14ac:dyDescent="0.2">
      <c r="B128" s="25" t="s">
        <v>140</v>
      </c>
      <c r="C128" s="4"/>
      <c r="D128" s="4"/>
      <c r="E128" s="4"/>
      <c r="F128" s="83">
        <f t="shared" ref="F128:I128" si="43">SUM(F123:F127)</f>
        <v>503523</v>
      </c>
      <c r="G128" s="83">
        <f t="shared" si="43"/>
        <v>517428</v>
      </c>
      <c r="H128" s="83">
        <f>SUM(H123:H127)+2391</f>
        <v>535831</v>
      </c>
      <c r="I128" s="84">
        <f t="shared" si="43"/>
        <v>621782</v>
      </c>
      <c r="J128" s="83">
        <f t="shared" ref="J128:N128" ca="1" si="44">SUM(J123:J127)</f>
        <v>725312.29888331238</v>
      </c>
      <c r="K128" s="83">
        <f t="shared" ca="1" si="44"/>
        <v>836695.44525470491</v>
      </c>
      <c r="L128" s="83">
        <f t="shared" ca="1" si="44"/>
        <v>960307.10329503298</v>
      </c>
      <c r="M128" s="83">
        <f t="shared" ca="1" si="44"/>
        <v>1092423.1956992676</v>
      </c>
      <c r="N128" s="84">
        <f t="shared" ca="1" si="44"/>
        <v>1239264.6131729325</v>
      </c>
    </row>
    <row r="129" spans="2:14" x14ac:dyDescent="0.2">
      <c r="B129" s="2"/>
      <c r="C129" s="3"/>
      <c r="D129" s="3"/>
      <c r="E129" s="3"/>
      <c r="F129" s="3"/>
      <c r="G129" s="3"/>
      <c r="H129" s="3"/>
      <c r="I129" s="24"/>
      <c r="J129" s="3"/>
      <c r="K129" s="3"/>
      <c r="L129" s="3"/>
      <c r="M129" s="3"/>
      <c r="N129" s="12"/>
    </row>
    <row r="130" spans="2:14" x14ac:dyDescent="0.2">
      <c r="B130" s="69" t="s">
        <v>141</v>
      </c>
      <c r="C130" s="3"/>
      <c r="D130" s="3"/>
      <c r="E130" s="3"/>
      <c r="F130" s="83">
        <f t="shared" ref="F130:N130" si="45">F112+F120+F128</f>
        <v>794152</v>
      </c>
      <c r="G130" s="83">
        <f t="shared" si="45"/>
        <v>777096</v>
      </c>
      <c r="H130" s="83">
        <f t="shared" si="45"/>
        <v>659111</v>
      </c>
      <c r="I130" s="84">
        <f t="shared" si="45"/>
        <v>770858</v>
      </c>
      <c r="J130" s="83">
        <f t="shared" ca="1" si="45"/>
        <v>884823.61888331245</v>
      </c>
      <c r="K130" s="83">
        <f t="shared" ca="1" si="45"/>
        <v>1007372.5576547049</v>
      </c>
      <c r="L130" s="83">
        <f t="shared" ca="1" si="45"/>
        <v>1141224.8424390331</v>
      </c>
      <c r="M130" s="83">
        <f t="shared" ca="1" si="45"/>
        <v>1284195.9991919077</v>
      </c>
      <c r="N130" s="84">
        <f t="shared" ca="1" si="45"/>
        <v>1440626.0568402046</v>
      </c>
    </row>
    <row r="131" spans="2:14" x14ac:dyDescent="0.2">
      <c r="B131" s="18"/>
      <c r="C131" s="16"/>
      <c r="D131" s="16"/>
      <c r="E131" s="16"/>
      <c r="F131" s="16"/>
      <c r="G131" s="16"/>
      <c r="H131" s="16"/>
      <c r="I131" s="19"/>
      <c r="J131" s="16"/>
      <c r="K131" s="16"/>
      <c r="L131" s="16"/>
      <c r="M131" s="16"/>
      <c r="N131" s="19"/>
    </row>
    <row r="132" spans="2:14" x14ac:dyDescent="0.2">
      <c r="H132" s="82"/>
    </row>
    <row r="133" spans="2:14" x14ac:dyDescent="0.2">
      <c r="B133" s="35" t="s">
        <v>142</v>
      </c>
      <c r="C133" s="36"/>
      <c r="D133" s="36"/>
      <c r="E133" s="36"/>
      <c r="F133" s="36"/>
      <c r="G133" s="36"/>
      <c r="H133" s="36"/>
      <c r="I133" s="36"/>
      <c r="J133" s="36"/>
      <c r="K133" s="36"/>
      <c r="L133" s="36"/>
      <c r="M133" s="36"/>
      <c r="N133" s="37"/>
    </row>
    <row r="134" spans="2:14" x14ac:dyDescent="0.2">
      <c r="B134" s="2"/>
      <c r="C134" s="3"/>
      <c r="D134" s="3"/>
      <c r="E134" s="3"/>
      <c r="F134" s="71" t="str">
        <f t="shared" ref="F134:N134" si="46">F$21</f>
        <v>FY 2007</v>
      </c>
      <c r="G134" s="71" t="str">
        <f t="shared" si="46"/>
        <v>FY 2008</v>
      </c>
      <c r="H134" s="67" t="str">
        <f>H$21</f>
        <v>FY 2009</v>
      </c>
      <c r="I134" s="68" t="str">
        <f>I$21</f>
        <v>FY 2010</v>
      </c>
      <c r="J134" s="71" t="str">
        <f>J$21</f>
        <v>FY 2011</v>
      </c>
      <c r="K134" s="71" t="str">
        <f>K$21</f>
        <v>FY 2012</v>
      </c>
      <c r="L134" s="71" t="str">
        <f t="shared" si="46"/>
        <v>FY 2013</v>
      </c>
      <c r="M134" s="71" t="str">
        <f t="shared" si="46"/>
        <v>FY 2014</v>
      </c>
      <c r="N134" s="72" t="str">
        <f t="shared" si="46"/>
        <v>FY 2015</v>
      </c>
    </row>
    <row r="135" spans="2:14" x14ac:dyDescent="0.2">
      <c r="B135" s="2"/>
      <c r="C135" s="3"/>
      <c r="D135" s="3"/>
      <c r="E135" s="3"/>
      <c r="F135" s="3"/>
      <c r="G135" s="3"/>
      <c r="H135" s="3"/>
      <c r="I135" s="12"/>
      <c r="J135" s="3"/>
      <c r="K135" s="3"/>
      <c r="L135" s="3"/>
      <c r="M135" s="3"/>
      <c r="N135" s="12"/>
    </row>
    <row r="136" spans="2:14" x14ac:dyDescent="0.2">
      <c r="B136" s="73" t="s">
        <v>143</v>
      </c>
      <c r="C136" s="74"/>
      <c r="D136" s="74"/>
      <c r="E136" s="74"/>
      <c r="F136" s="3"/>
      <c r="G136" s="3"/>
      <c r="H136" s="3"/>
      <c r="I136" s="12"/>
      <c r="J136" s="3"/>
      <c r="K136" s="3"/>
      <c r="L136" s="3"/>
      <c r="M136" s="3"/>
      <c r="N136" s="12"/>
    </row>
    <row r="137" spans="2:14" x14ac:dyDescent="0.2">
      <c r="B137" s="69" t="s">
        <v>93</v>
      </c>
      <c r="C137" s="3"/>
      <c r="D137" s="3"/>
      <c r="E137" s="3"/>
      <c r="F137" s="82"/>
      <c r="G137" s="82">
        <f>G57</f>
        <v>36540</v>
      </c>
      <c r="H137" s="82">
        <f>H57</f>
        <v>11976</v>
      </c>
      <c r="I137" s="24">
        <f t="shared" ref="I137:N137" si="47">I57</f>
        <v>90961</v>
      </c>
      <c r="J137" s="82">
        <f t="shared" ca="1" si="47"/>
        <v>80096.228883312404</v>
      </c>
      <c r="K137" s="82">
        <f t="shared" ca="1" si="47"/>
        <v>86308.691471392594</v>
      </c>
      <c r="L137" s="82">
        <f t="shared" ca="1" si="47"/>
        <v>97032.735846328025</v>
      </c>
      <c r="M137" s="82">
        <f t="shared" ca="1" si="47"/>
        <v>103942.4348785945</v>
      </c>
      <c r="N137" s="24">
        <f t="shared" ca="1" si="47"/>
        <v>117259.0770717431</v>
      </c>
    </row>
    <row r="138" spans="2:14" x14ac:dyDescent="0.2">
      <c r="B138" s="75" t="s">
        <v>170</v>
      </c>
      <c r="C138" s="3"/>
      <c r="D138" s="3"/>
      <c r="E138" s="3"/>
      <c r="F138" s="82"/>
      <c r="G138" s="82">
        <f>F88-G88</f>
        <v>18755</v>
      </c>
      <c r="H138" s="82">
        <f>G88-H88</f>
        <v>8243</v>
      </c>
      <c r="I138" s="24">
        <f>H88-I88</f>
        <v>163</v>
      </c>
      <c r="J138" s="82">
        <f t="shared" ref="J138:N139" si="48">J44</f>
        <v>12589.430000000022</v>
      </c>
      <c r="K138" s="82">
        <f t="shared" si="48"/>
        <v>13470.690100000007</v>
      </c>
      <c r="L138" s="82">
        <f t="shared" si="48"/>
        <v>12354.547205999988</v>
      </c>
      <c r="M138" s="82">
        <f t="shared" si="48"/>
        <v>13095.820038360049</v>
      </c>
      <c r="N138" s="24">
        <f t="shared" si="48"/>
        <v>11567.974367218005</v>
      </c>
    </row>
    <row r="139" spans="2:14" x14ac:dyDescent="0.2">
      <c r="B139" s="75" t="s">
        <v>144</v>
      </c>
      <c r="C139" s="3"/>
      <c r="D139" s="3"/>
      <c r="E139" s="3"/>
      <c r="F139" s="82"/>
      <c r="G139" s="82">
        <f>F91-G91</f>
        <v>3053</v>
      </c>
      <c r="H139" s="82">
        <f>G91-H91</f>
        <v>1571</v>
      </c>
      <c r="I139" s="24">
        <f>H91-I91</f>
        <v>-5307</v>
      </c>
      <c r="J139" s="82">
        <f t="shared" si="48"/>
        <v>944.93000000000029</v>
      </c>
      <c r="K139" s="82">
        <f t="shared" si="48"/>
        <v>1011.0751000000018</v>
      </c>
      <c r="L139" s="82">
        <f t="shared" si="48"/>
        <v>927.30030599999736</v>
      </c>
      <c r="M139" s="82">
        <f t="shared" si="48"/>
        <v>982.9383243600023</v>
      </c>
      <c r="N139" s="24">
        <f t="shared" si="48"/>
        <v>868.26218651800082</v>
      </c>
    </row>
    <row r="140" spans="2:14" x14ac:dyDescent="0.2">
      <c r="B140" s="75" t="s">
        <v>84</v>
      </c>
      <c r="C140" s="3"/>
      <c r="D140" s="3"/>
      <c r="E140" s="3"/>
      <c r="F140" s="82"/>
      <c r="G140" s="90">
        <f>5597+1+32+876</f>
        <v>6506</v>
      </c>
      <c r="H140" s="90">
        <f>5667+622</f>
        <v>6289</v>
      </c>
      <c r="I140" s="91">
        <f>10603+632</f>
        <v>11235</v>
      </c>
      <c r="J140" s="82">
        <f>J$35*'Operating Assumptions'!J14</f>
        <v>12021.45</v>
      </c>
      <c r="K140" s="82">
        <f>K$35*'Operating Assumptions'!K14</f>
        <v>12862.951500000001</v>
      </c>
      <c r="L140" s="82">
        <f>L$35*'Operating Assumptions'!L14</f>
        <v>13634.728590000001</v>
      </c>
      <c r="M140" s="82">
        <f>M$35*'Operating Assumptions'!M14</f>
        <v>14452.812305400001</v>
      </c>
      <c r="N140" s="24">
        <f>N$35*'Operating Assumptions'!N14</f>
        <v>15175.452920670003</v>
      </c>
    </row>
    <row r="141" spans="2:14" x14ac:dyDescent="0.2">
      <c r="B141" s="75" t="s">
        <v>145</v>
      </c>
      <c r="C141" s="3"/>
      <c r="D141" s="3"/>
      <c r="E141" s="3"/>
      <c r="F141" s="94"/>
      <c r="G141" s="94">
        <f>G116-F116+G109-F109+F80-G80</f>
        <v>-4739</v>
      </c>
      <c r="H141" s="94">
        <f>H116-G116+H109-G109+G80-H80</f>
        <v>15338</v>
      </c>
      <c r="I141" s="95">
        <f>I116-H116+I109-H109+H80-I80</f>
        <v>19608</v>
      </c>
      <c r="J141" s="94">
        <f>J116-I116+J109-I109</f>
        <v>1.4699999999999989</v>
      </c>
      <c r="K141" s="94">
        <f>K116-J116+K109-J109</f>
        <v>1.5729000000000006</v>
      </c>
      <c r="L141" s="82">
        <f>L116-K116+L109-K109</f>
        <v>1.4425740000000005</v>
      </c>
      <c r="M141" s="82">
        <f>M116-L116+M109-L109</f>
        <v>1.5291284400000009</v>
      </c>
      <c r="N141" s="24">
        <f>N116-M116+N109-M109</f>
        <v>1.3507301220000016</v>
      </c>
    </row>
    <row r="142" spans="2:14" x14ac:dyDescent="0.2">
      <c r="B142" s="69" t="s">
        <v>146</v>
      </c>
      <c r="C142" s="3"/>
      <c r="D142" s="3"/>
      <c r="E142" s="3"/>
      <c r="F142" s="82"/>
      <c r="G142" s="82"/>
      <c r="H142" s="82"/>
      <c r="I142" s="24"/>
      <c r="J142" s="82"/>
      <c r="K142" s="82"/>
      <c r="L142" s="82"/>
      <c r="M142" s="82"/>
      <c r="N142" s="24"/>
    </row>
    <row r="143" spans="2:14" x14ac:dyDescent="0.2">
      <c r="B143" s="75" t="s">
        <v>172</v>
      </c>
      <c r="C143" s="3"/>
      <c r="D143" s="3"/>
      <c r="E143" s="3"/>
      <c r="F143" s="82"/>
      <c r="G143" s="82">
        <f t="shared" ref="G143:N143" si="49">F76-G76</f>
        <v>27579</v>
      </c>
      <c r="H143" s="82">
        <f t="shared" si="49"/>
        <v>-12496</v>
      </c>
      <c r="I143" s="24">
        <f t="shared" si="49"/>
        <v>-50955</v>
      </c>
      <c r="J143" s="82">
        <f t="shared" si="49"/>
        <v>-8942.2900000000081</v>
      </c>
      <c r="K143" s="82">
        <f t="shared" si="49"/>
        <v>-9568.2503000000142</v>
      </c>
      <c r="L143" s="82">
        <f t="shared" si="49"/>
        <v>-8775.4524180000008</v>
      </c>
      <c r="M143" s="82">
        <f t="shared" si="49"/>
        <v>-9301.9795630800072</v>
      </c>
      <c r="N143" s="24">
        <f t="shared" si="49"/>
        <v>-8216.7486140539986</v>
      </c>
    </row>
    <row r="144" spans="2:14" x14ac:dyDescent="0.2">
      <c r="B144" s="75" t="s">
        <v>176</v>
      </c>
      <c r="C144" s="3"/>
      <c r="D144" s="3"/>
      <c r="E144" s="3"/>
      <c r="F144" s="82"/>
      <c r="G144" s="82">
        <f t="shared" ref="G144:H146" si="50">F77-G77</f>
        <v>294</v>
      </c>
      <c r="H144" s="82">
        <f t="shared" si="50"/>
        <v>86</v>
      </c>
      <c r="I144" s="24">
        <f t="shared" ref="I144:N144" si="51">H77-I77</f>
        <v>732</v>
      </c>
      <c r="J144" s="82">
        <f t="shared" si="51"/>
        <v>0</v>
      </c>
      <c r="K144" s="82">
        <f t="shared" si="51"/>
        <v>0</v>
      </c>
      <c r="L144" s="82">
        <f>K77-L77</f>
        <v>0</v>
      </c>
      <c r="M144" s="82">
        <f t="shared" si="51"/>
        <v>0</v>
      </c>
      <c r="N144" s="24">
        <f t="shared" si="51"/>
        <v>0</v>
      </c>
    </row>
    <row r="145" spans="2:14" x14ac:dyDescent="0.2">
      <c r="B145" s="75" t="s">
        <v>167</v>
      </c>
      <c r="C145" s="3"/>
      <c r="D145" s="3"/>
      <c r="E145" s="3"/>
      <c r="F145" s="82"/>
      <c r="G145" s="82">
        <f t="shared" si="50"/>
        <v>-64989</v>
      </c>
      <c r="H145" s="82">
        <f t="shared" si="50"/>
        <v>9669</v>
      </c>
      <c r="I145" s="24">
        <f t="shared" ref="I145:N146" si="52">H78-I78</f>
        <v>-27925</v>
      </c>
      <c r="J145" s="82">
        <f t="shared" si="52"/>
        <v>-14910.139999999985</v>
      </c>
      <c r="K145" s="82">
        <f t="shared" si="52"/>
        <v>-15953.849799999996</v>
      </c>
      <c r="L145" s="82">
        <f>K78-L78</f>
        <v>-14631.959388000017</v>
      </c>
      <c r="M145" s="82">
        <f t="shared" si="52"/>
        <v>-15509.87695128005</v>
      </c>
      <c r="N145" s="24">
        <f t="shared" si="52"/>
        <v>-13700.391306963982</v>
      </c>
    </row>
    <row r="146" spans="2:14" x14ac:dyDescent="0.2">
      <c r="B146" s="75" t="s">
        <v>347</v>
      </c>
      <c r="C146" s="3"/>
      <c r="D146" s="3"/>
      <c r="E146" s="3"/>
      <c r="F146" s="82"/>
      <c r="G146" s="82">
        <f t="shared" si="50"/>
        <v>-414</v>
      </c>
      <c r="H146" s="82">
        <f t="shared" si="50"/>
        <v>9344</v>
      </c>
      <c r="I146" s="24">
        <f t="shared" si="52"/>
        <v>0</v>
      </c>
      <c r="J146" s="82">
        <f t="shared" si="52"/>
        <v>0</v>
      </c>
      <c r="K146" s="82">
        <f t="shared" si="52"/>
        <v>0</v>
      </c>
      <c r="L146" s="82">
        <f>K79-L79</f>
        <v>0</v>
      </c>
      <c r="M146" s="82">
        <f t="shared" si="52"/>
        <v>0</v>
      </c>
      <c r="N146" s="24">
        <f t="shared" si="52"/>
        <v>0</v>
      </c>
    </row>
    <row r="147" spans="2:14" x14ac:dyDescent="0.2">
      <c r="B147" s="75" t="s">
        <v>147</v>
      </c>
      <c r="C147" s="3"/>
      <c r="D147" s="3"/>
      <c r="E147" s="3"/>
      <c r="F147" s="82"/>
      <c r="G147" s="82">
        <f>F81-G81</f>
        <v>0</v>
      </c>
      <c r="H147" s="82">
        <f>G81-H81</f>
        <v>-26244</v>
      </c>
      <c r="I147" s="24">
        <f t="shared" ref="I147:N147" si="53">H81-I81</f>
        <v>-28783</v>
      </c>
      <c r="J147" s="82">
        <f t="shared" si="53"/>
        <v>-3851.8899999999994</v>
      </c>
      <c r="K147" s="82">
        <f t="shared" si="53"/>
        <v>-4121.5223000000042</v>
      </c>
      <c r="L147" s="82">
        <f>K81-L81</f>
        <v>-3780.0247380000001</v>
      </c>
      <c r="M147" s="82">
        <f t="shared" si="53"/>
        <v>-4006.8262222800113</v>
      </c>
      <c r="N147" s="24">
        <f t="shared" si="53"/>
        <v>-3539.3631630140007</v>
      </c>
    </row>
    <row r="148" spans="2:14" x14ac:dyDescent="0.2">
      <c r="B148" s="75" t="s">
        <v>148</v>
      </c>
      <c r="C148" s="3"/>
      <c r="D148" s="3"/>
      <c r="E148" s="3"/>
      <c r="F148" s="82"/>
      <c r="G148" s="82">
        <f>G104-F104</f>
        <v>-9297</v>
      </c>
      <c r="H148" s="82">
        <f>H104-G104</f>
        <v>11929</v>
      </c>
      <c r="I148" s="24">
        <f t="shared" ref="I148:N148" si="54">I104-H104</f>
        <v>-3309</v>
      </c>
      <c r="J148" s="82">
        <f t="shared" si="54"/>
        <v>1941.1699999999983</v>
      </c>
      <c r="K148" s="82">
        <f t="shared" si="54"/>
        <v>2077.0518999999986</v>
      </c>
      <c r="L148" s="82">
        <f>L104-K104</f>
        <v>1904.9533140000058</v>
      </c>
      <c r="M148" s="82">
        <f t="shared" si="54"/>
        <v>2019.2505128400007</v>
      </c>
      <c r="N148" s="24">
        <f t="shared" si="54"/>
        <v>1783.6712863420034</v>
      </c>
    </row>
    <row r="149" spans="2:14" x14ac:dyDescent="0.2">
      <c r="B149" s="75" t="s">
        <v>168</v>
      </c>
      <c r="C149" s="3"/>
      <c r="D149" s="3"/>
      <c r="E149" s="3"/>
      <c r="F149" s="82"/>
      <c r="G149" s="82">
        <f>G106-F106</f>
        <v>-12017</v>
      </c>
      <c r="H149" s="82">
        <f>H106-G106</f>
        <v>-40042</v>
      </c>
      <c r="I149" s="24">
        <f t="shared" ref="I149:N149" si="55">I106-H106</f>
        <v>0</v>
      </c>
      <c r="J149" s="82">
        <f t="shared" si="55"/>
        <v>0</v>
      </c>
      <c r="K149" s="82">
        <f t="shared" si="55"/>
        <v>0</v>
      </c>
      <c r="L149" s="82">
        <f>L106-K106</f>
        <v>0</v>
      </c>
      <c r="M149" s="82">
        <f t="shared" si="55"/>
        <v>0</v>
      </c>
      <c r="N149" s="24">
        <f t="shared" si="55"/>
        <v>0</v>
      </c>
    </row>
    <row r="150" spans="2:14" x14ac:dyDescent="0.2">
      <c r="B150" s="75" t="s">
        <v>124</v>
      </c>
      <c r="C150" s="3"/>
      <c r="D150" s="3"/>
      <c r="E150" s="3"/>
      <c r="F150" s="94"/>
      <c r="G150" s="94">
        <f t="shared" ref="G150:N150" si="56">G117-F117+G108-F108</f>
        <v>-11691</v>
      </c>
      <c r="H150" s="94">
        <f t="shared" si="56"/>
        <v>-19532</v>
      </c>
      <c r="I150" s="95">
        <f t="shared" si="56"/>
        <v>0</v>
      </c>
      <c r="J150" s="94">
        <f t="shared" ca="1" si="56"/>
        <v>0</v>
      </c>
      <c r="K150" s="94">
        <f t="shared" ca="1" si="56"/>
        <v>0</v>
      </c>
      <c r="L150" s="82">
        <f t="shared" ca="1" si="56"/>
        <v>0</v>
      </c>
      <c r="M150" s="82">
        <f t="shared" ca="1" si="56"/>
        <v>0</v>
      </c>
      <c r="N150" s="24">
        <f t="shared" ca="1" si="56"/>
        <v>0</v>
      </c>
    </row>
    <row r="151" spans="2:14" x14ac:dyDescent="0.2">
      <c r="B151" s="75" t="s">
        <v>149</v>
      </c>
      <c r="C151" s="3"/>
      <c r="D151" s="3"/>
      <c r="E151" s="3"/>
      <c r="F151" s="82"/>
      <c r="G151" s="82">
        <f>G107-F107</f>
        <v>10370</v>
      </c>
      <c r="H151" s="82">
        <f>H107-G107</f>
        <v>6995</v>
      </c>
      <c r="I151" s="24">
        <f t="shared" ref="I151:N151" si="57">I107-H107</f>
        <v>8254</v>
      </c>
      <c r="J151" s="82">
        <f t="shared" si="57"/>
        <v>2141.5099999999984</v>
      </c>
      <c r="K151" s="82">
        <f t="shared" si="57"/>
        <v>2291.4157000000014</v>
      </c>
      <c r="L151" s="82">
        <f>L107-K107</f>
        <v>2101.5555420000019</v>
      </c>
      <c r="M151" s="82">
        <f t="shared" si="57"/>
        <v>2227.648874520004</v>
      </c>
      <c r="N151" s="24">
        <f t="shared" si="57"/>
        <v>1967.7565058260006</v>
      </c>
    </row>
    <row r="152" spans="2:14" x14ac:dyDescent="0.2">
      <c r="B152" s="75" t="s">
        <v>150</v>
      </c>
      <c r="C152" s="3"/>
      <c r="D152" s="3"/>
      <c r="E152" s="3"/>
      <c r="F152" s="82"/>
      <c r="G152" s="82">
        <f>G111-F111</f>
        <v>144431</v>
      </c>
      <c r="H152" s="82">
        <f>H111-G111</f>
        <v>-98756</v>
      </c>
      <c r="I152" s="24">
        <f t="shared" ref="I152:N152" si="58">I111-H111</f>
        <v>17877</v>
      </c>
      <c r="J152" s="82">
        <f t="shared" si="58"/>
        <v>4768.4700000000012</v>
      </c>
      <c r="K152" s="82">
        <f t="shared" si="58"/>
        <v>5102.2629000000015</v>
      </c>
      <c r="L152" s="82">
        <f>L111-K111</f>
        <v>4679.503973999992</v>
      </c>
      <c r="M152" s="82">
        <f t="shared" si="58"/>
        <v>4960.2742124400102</v>
      </c>
      <c r="N152" s="24">
        <f t="shared" si="58"/>
        <v>4381.5755543220002</v>
      </c>
    </row>
    <row r="153" spans="2:14" x14ac:dyDescent="0.2">
      <c r="B153" s="76" t="s">
        <v>151</v>
      </c>
      <c r="C153" s="4"/>
      <c r="D153" s="4"/>
      <c r="E153" s="4"/>
      <c r="F153" s="87"/>
      <c r="G153" s="87">
        <f>SUM(G137:G152)</f>
        <v>144381</v>
      </c>
      <c r="H153" s="87">
        <f>SUM(H137:H152)</f>
        <v>-115630</v>
      </c>
      <c r="I153" s="26">
        <f>SUM(I137:I152)</f>
        <v>32551</v>
      </c>
      <c r="J153" s="87">
        <f ca="1">SUM(J137:J141)+SUM(J143:J152)</f>
        <v>86800.338883312419</v>
      </c>
      <c r="K153" s="87">
        <f ca="1">SUM(K137:K141)+SUM(K143:K152)</f>
        <v>93482.089171392581</v>
      </c>
      <c r="L153" s="87">
        <f ca="1">SUM(L137:L141)+SUM(L143:L152)</f>
        <v>105449.33080832798</v>
      </c>
      <c r="M153" s="87">
        <f ca="1">SUM(M137:M141)+SUM(M143:M152)</f>
        <v>112864.02553831448</v>
      </c>
      <c r="N153" s="26">
        <f ca="1">SUM(N137:N141)+SUM(N143:N152)</f>
        <v>127548.61753872913</v>
      </c>
    </row>
    <row r="154" spans="2:14" x14ac:dyDescent="0.2">
      <c r="B154" s="2"/>
      <c r="C154" s="3"/>
      <c r="D154" s="3"/>
      <c r="E154" s="3"/>
      <c r="F154" s="3"/>
      <c r="G154" s="82"/>
      <c r="H154" s="82"/>
      <c r="I154" s="24"/>
      <c r="J154" s="3"/>
      <c r="K154" s="3"/>
      <c r="L154" s="3"/>
      <c r="M154" s="3"/>
      <c r="N154" s="12"/>
    </row>
    <row r="155" spans="2:14" x14ac:dyDescent="0.2">
      <c r="B155" s="73" t="s">
        <v>152</v>
      </c>
      <c r="C155" s="74"/>
      <c r="D155" s="74"/>
      <c r="E155" s="74"/>
      <c r="F155" s="3"/>
      <c r="G155" s="3"/>
      <c r="H155" s="3"/>
      <c r="I155" s="12"/>
      <c r="J155" s="3"/>
      <c r="K155" s="3"/>
      <c r="L155" s="3"/>
      <c r="M155" s="3"/>
      <c r="N155" s="12"/>
    </row>
    <row r="156" spans="2:14" x14ac:dyDescent="0.2">
      <c r="B156" s="70" t="s">
        <v>200</v>
      </c>
      <c r="C156" s="3"/>
      <c r="D156" s="3"/>
      <c r="E156" s="74"/>
      <c r="F156" s="82"/>
      <c r="G156" s="90">
        <v>0</v>
      </c>
      <c r="H156" s="90">
        <v>0</v>
      </c>
      <c r="I156" s="91">
        <v>0</v>
      </c>
      <c r="J156" s="90">
        <f>I73-J73</f>
        <v>0</v>
      </c>
      <c r="K156" s="82">
        <f>J73-K73</f>
        <v>0</v>
      </c>
      <c r="L156" s="82">
        <f>K73-L73</f>
        <v>0</v>
      </c>
      <c r="M156" s="82">
        <f>L73-M73</f>
        <v>0</v>
      </c>
      <c r="N156" s="24">
        <f>M73-N73</f>
        <v>0</v>
      </c>
    </row>
    <row r="157" spans="2:14" x14ac:dyDescent="0.2">
      <c r="B157" s="70" t="s">
        <v>202</v>
      </c>
      <c r="C157" s="3"/>
      <c r="D157" s="3"/>
      <c r="E157" s="74"/>
      <c r="F157" s="82"/>
      <c r="G157" s="90">
        <v>0</v>
      </c>
      <c r="H157" s="90">
        <v>0</v>
      </c>
      <c r="I157" s="91">
        <v>0</v>
      </c>
      <c r="J157" s="90"/>
      <c r="K157" s="82"/>
      <c r="L157" s="82"/>
      <c r="M157" s="82"/>
      <c r="N157" s="24"/>
    </row>
    <row r="158" spans="2:14" x14ac:dyDescent="0.2">
      <c r="B158" s="70" t="s">
        <v>350</v>
      </c>
      <c r="C158" s="3"/>
      <c r="D158" s="3"/>
      <c r="E158" s="74"/>
      <c r="F158" s="82"/>
      <c r="G158" s="82">
        <f>F73-G73</f>
        <v>-8545</v>
      </c>
      <c r="H158" s="82">
        <f t="shared" ref="H158:N158" si="59">G73-H73</f>
        <v>-31995</v>
      </c>
      <c r="I158" s="82">
        <f t="shared" si="59"/>
        <v>7931</v>
      </c>
      <c r="J158" s="234">
        <f t="shared" si="59"/>
        <v>0</v>
      </c>
      <c r="K158" s="82">
        <f t="shared" si="59"/>
        <v>0</v>
      </c>
      <c r="L158" s="82">
        <f t="shared" si="59"/>
        <v>0</v>
      </c>
      <c r="M158" s="82">
        <f t="shared" si="59"/>
        <v>0</v>
      </c>
      <c r="N158" s="24">
        <f t="shared" si="59"/>
        <v>0</v>
      </c>
    </row>
    <row r="159" spans="2:14" x14ac:dyDescent="0.2">
      <c r="B159" s="70" t="s">
        <v>201</v>
      </c>
      <c r="C159" s="3"/>
      <c r="D159" s="3"/>
      <c r="E159" s="74"/>
      <c r="F159" s="82"/>
      <c r="G159" s="90">
        <v>0</v>
      </c>
      <c r="H159" s="90">
        <v>0</v>
      </c>
      <c r="I159" s="91">
        <v>0</v>
      </c>
      <c r="J159" s="90">
        <f>I85-J85</f>
        <v>0</v>
      </c>
      <c r="K159" s="82">
        <f>J85-K85</f>
        <v>0</v>
      </c>
      <c r="L159" s="82">
        <f>K85-L85</f>
        <v>0</v>
      </c>
      <c r="M159" s="82">
        <f>L85-M85</f>
        <v>0</v>
      </c>
      <c r="N159" s="24">
        <f>M85-N85</f>
        <v>0</v>
      </c>
    </row>
    <row r="160" spans="2:14" x14ac:dyDescent="0.2">
      <c r="B160" s="70" t="s">
        <v>202</v>
      </c>
      <c r="C160" s="3"/>
      <c r="D160" s="3"/>
      <c r="E160" s="74"/>
      <c r="F160" s="82"/>
      <c r="G160" s="90">
        <v>0</v>
      </c>
      <c r="H160" s="90">
        <v>0</v>
      </c>
      <c r="I160" s="91">
        <v>0</v>
      </c>
      <c r="J160" s="90"/>
      <c r="K160" s="82"/>
      <c r="L160" s="82"/>
      <c r="M160" s="82"/>
      <c r="N160" s="24"/>
    </row>
    <row r="161" spans="2:14" x14ac:dyDescent="0.2">
      <c r="B161" s="70" t="s">
        <v>351</v>
      </c>
      <c r="C161" s="3"/>
      <c r="D161" s="3"/>
      <c r="E161" s="74"/>
      <c r="F161" s="82"/>
      <c r="G161" s="82">
        <f>F85-G85</f>
        <v>19987</v>
      </c>
      <c r="H161" s="82">
        <f t="shared" ref="H161:N161" si="60">G85-H85</f>
        <v>4289</v>
      </c>
      <c r="I161" s="82">
        <f t="shared" si="60"/>
        <v>-2339</v>
      </c>
      <c r="J161" s="234">
        <f t="shared" si="60"/>
        <v>0</v>
      </c>
      <c r="K161" s="82">
        <f t="shared" si="60"/>
        <v>0</v>
      </c>
      <c r="L161" s="82">
        <f t="shared" si="60"/>
        <v>0</v>
      </c>
      <c r="M161" s="82">
        <f t="shared" si="60"/>
        <v>0</v>
      </c>
      <c r="N161" s="24">
        <f t="shared" si="60"/>
        <v>0</v>
      </c>
    </row>
    <row r="162" spans="2:14" x14ac:dyDescent="0.2">
      <c r="B162" s="70" t="s">
        <v>352</v>
      </c>
      <c r="C162" s="3"/>
      <c r="D162" s="3"/>
      <c r="E162" s="3"/>
      <c r="F162" s="82"/>
      <c r="G162" s="82">
        <f>F86-G86+F89-G89</f>
        <v>2335</v>
      </c>
      <c r="H162" s="82">
        <f>G86-H86+G89-H89</f>
        <v>7635</v>
      </c>
      <c r="I162" s="24">
        <f t="shared" ref="I162:N162" si="61">H86-I86+H89-I89</f>
        <v>2050</v>
      </c>
      <c r="J162" s="94">
        <f t="shared" si="61"/>
        <v>-7329.3500000000058</v>
      </c>
      <c r="K162" s="82">
        <f t="shared" si="61"/>
        <v>-7842.4045000000042</v>
      </c>
      <c r="L162" s="82">
        <f>K86-L86+K89-L89</f>
        <v>-7192.6052699999709</v>
      </c>
      <c r="M162" s="82">
        <f t="shared" si="61"/>
        <v>-7624.1615862000326</v>
      </c>
      <c r="N162" s="24">
        <f t="shared" si="61"/>
        <v>-6734.6760678100109</v>
      </c>
    </row>
    <row r="163" spans="2:14" x14ac:dyDescent="0.2">
      <c r="B163" s="70" t="s">
        <v>164</v>
      </c>
      <c r="C163" s="3"/>
      <c r="D163" s="3"/>
      <c r="E163" s="3"/>
      <c r="F163" s="82"/>
      <c r="G163" s="82">
        <f>G88-F88</f>
        <v>-18755</v>
      </c>
      <c r="H163" s="82">
        <f>H88-G88</f>
        <v>-8243</v>
      </c>
      <c r="I163" s="24">
        <f>I88-H88</f>
        <v>-163</v>
      </c>
      <c r="J163" s="94">
        <f>-J44</f>
        <v>-12589.430000000022</v>
      </c>
      <c r="K163" s="82">
        <f>-K44</f>
        <v>-13470.690100000007</v>
      </c>
      <c r="L163" s="82">
        <f>-L44</f>
        <v>-12354.547205999988</v>
      </c>
      <c r="M163" s="82">
        <f>-M44</f>
        <v>-13095.820038360049</v>
      </c>
      <c r="N163" s="24">
        <f>-N44</f>
        <v>-11567.974367218005</v>
      </c>
    </row>
    <row r="164" spans="2:14" x14ac:dyDescent="0.2">
      <c r="B164" s="70" t="s">
        <v>353</v>
      </c>
      <c r="C164" s="3"/>
      <c r="D164" s="3"/>
      <c r="E164" s="3"/>
      <c r="F164" s="82"/>
      <c r="G164" s="82">
        <f>F92-G92</f>
        <v>3053</v>
      </c>
      <c r="H164" s="82">
        <f>G92-H92</f>
        <v>1571</v>
      </c>
      <c r="I164" s="24">
        <f t="shared" ref="I164:N164" si="62">H92-I92</f>
        <v>682</v>
      </c>
      <c r="J164" s="94">
        <f t="shared" si="62"/>
        <v>-535.15000000000146</v>
      </c>
      <c r="K164" s="82">
        <f t="shared" si="62"/>
        <v>-572.61049999999886</v>
      </c>
      <c r="L164" s="82">
        <f>K92-L92</f>
        <v>-525.16562999999951</v>
      </c>
      <c r="M164" s="82">
        <f t="shared" si="62"/>
        <v>-556.67556780000086</v>
      </c>
      <c r="N164" s="24">
        <f t="shared" si="62"/>
        <v>-491.73008489000131</v>
      </c>
    </row>
    <row r="165" spans="2:14" x14ac:dyDescent="0.2">
      <c r="B165" s="70" t="s">
        <v>171</v>
      </c>
      <c r="C165" s="3"/>
      <c r="D165" s="3"/>
      <c r="E165" s="3"/>
      <c r="F165" s="82"/>
      <c r="G165" s="82">
        <f>G91-F91</f>
        <v>-3053</v>
      </c>
      <c r="H165" s="82">
        <f>H91-G91</f>
        <v>-1571</v>
      </c>
      <c r="I165" s="24">
        <f>I91-H91</f>
        <v>5307</v>
      </c>
      <c r="J165" s="94">
        <f>-J45</f>
        <v>-944.93000000000029</v>
      </c>
      <c r="K165" s="82">
        <f>-K45</f>
        <v>-1011.0751000000018</v>
      </c>
      <c r="L165" s="82">
        <f>-L45</f>
        <v>-927.30030599999736</v>
      </c>
      <c r="M165" s="82">
        <f>-M45</f>
        <v>-982.9383243600023</v>
      </c>
      <c r="N165" s="24">
        <f>-N45</f>
        <v>-868.26218651800082</v>
      </c>
    </row>
    <row r="166" spans="2:14" x14ac:dyDescent="0.2">
      <c r="B166" s="70" t="s">
        <v>349</v>
      </c>
      <c r="C166" s="3"/>
      <c r="D166" s="3"/>
      <c r="E166" s="3"/>
      <c r="F166" s="82"/>
      <c r="G166" s="82">
        <f>SUM(F93:F95)-SUM(G93:G95)</f>
        <v>-11169</v>
      </c>
      <c r="H166" s="82">
        <f>SUM(G93:G95)-SUM(H93:H95)</f>
        <v>2537</v>
      </c>
      <c r="I166" s="24">
        <f t="shared" ref="I166:N166" si="63">SUM(H93:H95)-SUM(I93:I95)</f>
        <v>-8680</v>
      </c>
      <c r="J166" s="94">
        <f t="shared" si="63"/>
        <v>35274.270000000004</v>
      </c>
      <c r="K166" s="82">
        <f t="shared" si="63"/>
        <v>-444.83109999999942</v>
      </c>
      <c r="L166" s="82">
        <f>SUM(K93:K95)-SUM(L93:L95)</f>
        <v>-407.97366600000169</v>
      </c>
      <c r="M166" s="82">
        <f t="shared" si="63"/>
        <v>-432.45208595999793</v>
      </c>
      <c r="N166" s="24">
        <f t="shared" si="63"/>
        <v>-381.99934259800284</v>
      </c>
    </row>
    <row r="167" spans="2:14" x14ac:dyDescent="0.2">
      <c r="B167" s="25" t="s">
        <v>153</v>
      </c>
      <c r="C167" s="4"/>
      <c r="D167" s="4"/>
      <c r="E167" s="4"/>
      <c r="F167" s="87"/>
      <c r="G167" s="87">
        <f t="shared" ref="G167:N167" si="64">SUM(G156:G166)</f>
        <v>-16147</v>
      </c>
      <c r="H167" s="87">
        <f t="shared" si="64"/>
        <v>-25777</v>
      </c>
      <c r="I167" s="26">
        <f t="shared" si="64"/>
        <v>4788</v>
      </c>
      <c r="J167" s="87">
        <f t="shared" si="64"/>
        <v>13875.409999999974</v>
      </c>
      <c r="K167" s="87">
        <f t="shared" si="64"/>
        <v>-23341.611300000011</v>
      </c>
      <c r="L167" s="87">
        <f t="shared" si="64"/>
        <v>-21407.592077999958</v>
      </c>
      <c r="M167" s="87">
        <f t="shared" si="64"/>
        <v>-22692.047602680082</v>
      </c>
      <c r="N167" s="26">
        <f t="shared" si="64"/>
        <v>-20044.642049034021</v>
      </c>
    </row>
    <row r="168" spans="2:14" x14ac:dyDescent="0.2">
      <c r="B168" s="2"/>
      <c r="C168" s="3"/>
      <c r="D168" s="3"/>
      <c r="E168" s="3"/>
      <c r="F168" s="3"/>
      <c r="G168" s="3"/>
      <c r="H168" s="3"/>
      <c r="I168" s="12"/>
      <c r="J168" s="3"/>
      <c r="K168" s="3"/>
      <c r="L168" s="3"/>
      <c r="M168" s="3"/>
      <c r="N168" s="12"/>
    </row>
    <row r="169" spans="2:14" x14ac:dyDescent="0.2">
      <c r="B169" s="73" t="s">
        <v>154</v>
      </c>
      <c r="C169" s="74"/>
      <c r="D169" s="74"/>
      <c r="E169" s="74"/>
      <c r="F169" s="3"/>
      <c r="G169" s="3"/>
      <c r="H169" s="3"/>
      <c r="I169" s="12"/>
      <c r="J169" s="3"/>
      <c r="K169" s="3"/>
      <c r="L169" s="3"/>
      <c r="M169" s="3"/>
      <c r="N169" s="12"/>
    </row>
    <row r="170" spans="2:14" x14ac:dyDescent="0.2">
      <c r="B170" s="70" t="s">
        <v>355</v>
      </c>
      <c r="C170" s="74"/>
      <c r="D170" s="74"/>
      <c r="E170" s="74"/>
      <c r="F170" s="3"/>
      <c r="G170" s="82">
        <f t="shared" ref="G170:N170" si="65">G123-F123</f>
        <v>0</v>
      </c>
      <c r="H170" s="82">
        <f t="shared" si="65"/>
        <v>1</v>
      </c>
      <c r="I170" s="82">
        <f t="shared" si="65"/>
        <v>0</v>
      </c>
      <c r="J170" s="234">
        <f t="shared" si="65"/>
        <v>0</v>
      </c>
      <c r="K170" s="82">
        <f t="shared" si="65"/>
        <v>0</v>
      </c>
      <c r="L170" s="82">
        <f t="shared" si="65"/>
        <v>0</v>
      </c>
      <c r="M170" s="82">
        <f t="shared" si="65"/>
        <v>0</v>
      </c>
      <c r="N170" s="24">
        <f t="shared" si="65"/>
        <v>0</v>
      </c>
    </row>
    <row r="171" spans="2:14" x14ac:dyDescent="0.2">
      <c r="B171" s="70" t="s">
        <v>155</v>
      </c>
      <c r="C171" s="3"/>
      <c r="D171" s="3"/>
      <c r="E171" s="3"/>
      <c r="F171" s="82"/>
      <c r="G171" s="90">
        <v>1630</v>
      </c>
      <c r="H171" s="90">
        <v>6202</v>
      </c>
      <c r="I171" s="91">
        <v>8803</v>
      </c>
      <c r="J171" s="98">
        <f>I171*(1+'Operating Assumptions'!J7)</f>
        <v>9419.2100000000009</v>
      </c>
      <c r="K171" s="82">
        <f>J171*(1+'Operating Assumptions'!K7)</f>
        <v>10078.554700000002</v>
      </c>
      <c r="L171" s="82">
        <f>K171*(1+'Operating Assumptions'!L7)</f>
        <v>10683.267982000003</v>
      </c>
      <c r="M171" s="82">
        <f>L171*(1+'Operating Assumptions'!M7)</f>
        <v>11324.264060920004</v>
      </c>
      <c r="N171" s="24">
        <f>M171*(1+'Operating Assumptions'!N7)</f>
        <v>11890.477263966006</v>
      </c>
    </row>
    <row r="172" spans="2:14" x14ac:dyDescent="0.2">
      <c r="B172" s="70" t="s">
        <v>158</v>
      </c>
      <c r="C172" s="3"/>
      <c r="D172" s="3"/>
      <c r="E172" s="3"/>
      <c r="F172" s="90"/>
      <c r="G172" s="90">
        <v>-1308</v>
      </c>
      <c r="H172" s="90">
        <v>-716</v>
      </c>
      <c r="I172" s="91">
        <v>1863</v>
      </c>
      <c r="J172" s="234">
        <f>I172*(1+'Operating Assumptions'!J7)</f>
        <v>1993.41</v>
      </c>
      <c r="K172" s="82">
        <f>J172*(1+'Operating Assumptions'!K7)</f>
        <v>2132.9487000000004</v>
      </c>
      <c r="L172" s="82">
        <f>K172*(1+'Operating Assumptions'!L7)</f>
        <v>2260.9256220000007</v>
      </c>
      <c r="M172" s="82">
        <f>L172*(1+'Operating Assumptions'!M7)</f>
        <v>2396.581159320001</v>
      </c>
      <c r="N172" s="24">
        <f>M172*(1+'Operating Assumptions'!N7)</f>
        <v>2516.4102172860012</v>
      </c>
    </row>
    <row r="173" spans="2:14" x14ac:dyDescent="0.2">
      <c r="B173" s="70" t="s">
        <v>163</v>
      </c>
      <c r="C173" s="3"/>
      <c r="D173" s="3"/>
      <c r="E173" s="3"/>
      <c r="F173" s="90"/>
      <c r="G173" s="90">
        <v>0</v>
      </c>
      <c r="H173" s="90">
        <v>0</v>
      </c>
      <c r="I173" s="91">
        <v>0</v>
      </c>
      <c r="J173" s="234">
        <f>I173*(1+'Operating Assumptions'!J7)</f>
        <v>0</v>
      </c>
      <c r="K173" s="82">
        <f>J173*(1+'Operating Assumptions'!K7)</f>
        <v>0</v>
      </c>
      <c r="L173" s="82">
        <f>K173*(1+'Operating Assumptions'!L7)</f>
        <v>0</v>
      </c>
      <c r="M173" s="82">
        <f>L173*(1+'Operating Assumptions'!M7)</f>
        <v>0</v>
      </c>
      <c r="N173" s="24">
        <f>M173*(1+'Operating Assumptions'!N7)</f>
        <v>0</v>
      </c>
    </row>
    <row r="174" spans="2:14" x14ac:dyDescent="0.2">
      <c r="B174" s="70" t="s">
        <v>156</v>
      </c>
      <c r="C174" s="3"/>
      <c r="D174" s="3"/>
      <c r="E174" s="3"/>
      <c r="F174" s="82"/>
      <c r="G174" s="90">
        <v>0</v>
      </c>
      <c r="H174" s="90">
        <v>0</v>
      </c>
      <c r="I174" s="91">
        <v>0</v>
      </c>
      <c r="J174" s="254">
        <f>I174</f>
        <v>0</v>
      </c>
      <c r="K174" s="94">
        <f>J174</f>
        <v>0</v>
      </c>
      <c r="L174" s="94">
        <f>K174</f>
        <v>0</v>
      </c>
      <c r="M174" s="94">
        <f>L174</f>
        <v>0</v>
      </c>
      <c r="N174" s="95">
        <f>M174</f>
        <v>0</v>
      </c>
    </row>
    <row r="175" spans="2:14" x14ac:dyDescent="0.2">
      <c r="B175" s="70" t="s">
        <v>169</v>
      </c>
      <c r="C175" s="3"/>
      <c r="D175" s="3"/>
      <c r="E175" s="3"/>
      <c r="F175" s="82"/>
      <c r="G175" s="98">
        <f>G125-F125</f>
        <v>-22876</v>
      </c>
      <c r="H175" s="98">
        <f>H125-G125</f>
        <v>0</v>
      </c>
      <c r="I175" s="99">
        <f t="shared" ref="I175:N175" si="66">I125-H125</f>
        <v>-19310</v>
      </c>
      <c r="J175" s="98">
        <f t="shared" si="66"/>
        <v>0</v>
      </c>
      <c r="K175" s="82">
        <f t="shared" si="66"/>
        <v>0</v>
      </c>
      <c r="L175" s="82">
        <f>L125-K125</f>
        <v>0</v>
      </c>
      <c r="M175" s="82">
        <f t="shared" si="66"/>
        <v>0</v>
      </c>
      <c r="N175" s="24">
        <f t="shared" si="66"/>
        <v>0</v>
      </c>
    </row>
    <row r="176" spans="2:14" x14ac:dyDescent="0.2">
      <c r="B176" s="70" t="s">
        <v>157</v>
      </c>
      <c r="C176" s="3"/>
      <c r="D176" s="3"/>
      <c r="E176" s="3"/>
      <c r="F176" s="82"/>
      <c r="G176" s="82">
        <f>-G58</f>
        <v>0</v>
      </c>
      <c r="H176" s="82">
        <f>-H58</f>
        <v>0</v>
      </c>
      <c r="I176" s="24">
        <f t="shared" ref="I176:N176" si="67">-I58</f>
        <v>0</v>
      </c>
      <c r="J176" s="82">
        <f t="shared" si="67"/>
        <v>0</v>
      </c>
      <c r="K176" s="82">
        <f t="shared" si="67"/>
        <v>0</v>
      </c>
      <c r="L176" s="82">
        <f t="shared" si="67"/>
        <v>0</v>
      </c>
      <c r="M176" s="82">
        <f t="shared" si="67"/>
        <v>0</v>
      </c>
      <c r="N176" s="24">
        <f t="shared" si="67"/>
        <v>0</v>
      </c>
    </row>
    <row r="177" spans="2:14" x14ac:dyDescent="0.2">
      <c r="B177" s="70" t="s">
        <v>354</v>
      </c>
      <c r="C177" s="3"/>
      <c r="D177" s="3"/>
      <c r="E177" s="3"/>
      <c r="F177" s="82"/>
      <c r="G177" s="82">
        <f t="shared" ref="G177:N177" si="68">G127-F127</f>
        <v>-6239</v>
      </c>
      <c r="H177" s="82">
        <f t="shared" si="68"/>
        <v>-2255</v>
      </c>
      <c r="I177" s="82">
        <f t="shared" si="68"/>
        <v>5399</v>
      </c>
      <c r="J177" s="234">
        <f t="shared" si="68"/>
        <v>0</v>
      </c>
      <c r="K177" s="82">
        <f t="shared" si="68"/>
        <v>0</v>
      </c>
      <c r="L177" s="82">
        <f t="shared" si="68"/>
        <v>0</v>
      </c>
      <c r="M177" s="82">
        <f t="shared" si="68"/>
        <v>0</v>
      </c>
      <c r="N177" s="24">
        <f t="shared" si="68"/>
        <v>0</v>
      </c>
    </row>
    <row r="178" spans="2:14" x14ac:dyDescent="0.2">
      <c r="B178" s="70" t="s">
        <v>159</v>
      </c>
      <c r="C178" s="3"/>
      <c r="D178" s="3"/>
      <c r="E178" s="3"/>
      <c r="F178" s="82"/>
      <c r="G178" s="82">
        <f>G110-F110+G115-F115</f>
        <v>-140722</v>
      </c>
      <c r="H178" s="82">
        <f>H110-G110+H115-G115</f>
        <v>0</v>
      </c>
      <c r="I178" s="24">
        <f t="shared" ref="I178:N178" si="69">I110-H110+I115-H115</f>
        <v>0</v>
      </c>
      <c r="J178" s="82">
        <f t="shared" si="69"/>
        <v>0</v>
      </c>
      <c r="K178" s="82">
        <f t="shared" si="69"/>
        <v>0</v>
      </c>
      <c r="L178" s="82">
        <f>L110-K110+L115-K115</f>
        <v>0</v>
      </c>
      <c r="M178" s="82">
        <f t="shared" si="69"/>
        <v>0</v>
      </c>
      <c r="N178" s="24">
        <f t="shared" si="69"/>
        <v>0</v>
      </c>
    </row>
    <row r="179" spans="2:14" x14ac:dyDescent="0.2">
      <c r="B179" s="70" t="s">
        <v>348</v>
      </c>
      <c r="C179" s="3"/>
      <c r="D179" s="3"/>
      <c r="E179" s="3"/>
      <c r="F179" s="82"/>
      <c r="G179" s="82">
        <f t="shared" ref="G179:N179" si="70">G119-F119</f>
        <v>-11172</v>
      </c>
      <c r="H179" s="82">
        <f t="shared" si="70"/>
        <v>7848</v>
      </c>
      <c r="I179" s="86">
        <f t="shared" si="70"/>
        <v>2971</v>
      </c>
      <c r="J179" s="82">
        <f t="shared" si="70"/>
        <v>1582.7000000000007</v>
      </c>
      <c r="K179" s="82">
        <f t="shared" si="70"/>
        <v>1693.4890000000014</v>
      </c>
      <c r="L179" s="82">
        <f t="shared" si="70"/>
        <v>1553.1713399999971</v>
      </c>
      <c r="M179" s="82">
        <f t="shared" si="70"/>
        <v>1646.3616204000064</v>
      </c>
      <c r="N179" s="86">
        <f t="shared" si="70"/>
        <v>1454.2860980199985</v>
      </c>
    </row>
    <row r="180" spans="2:14" x14ac:dyDescent="0.2">
      <c r="B180" s="25" t="s">
        <v>160</v>
      </c>
      <c r="C180" s="4"/>
      <c r="D180" s="4"/>
      <c r="E180" s="4"/>
      <c r="F180" s="87"/>
      <c r="G180" s="87">
        <f>SUM(G170:G179)</f>
        <v>-180687</v>
      </c>
      <c r="H180" s="87">
        <f>SUM(H170:H179)</f>
        <v>11080</v>
      </c>
      <c r="I180" s="26">
        <f>SUM(I170:I179)</f>
        <v>-274</v>
      </c>
      <c r="J180" s="87">
        <f>SUM(J171:J178)</f>
        <v>11412.62</v>
      </c>
      <c r="K180" s="87">
        <f>SUM(K171:K178)</f>
        <v>12211.503400000003</v>
      </c>
      <c r="L180" s="87">
        <f>SUM(L171:L178)</f>
        <v>12944.193604000004</v>
      </c>
      <c r="M180" s="87">
        <f>SUM(M171:M178)</f>
        <v>13720.845220240006</v>
      </c>
      <c r="N180" s="26">
        <f>SUM(N171:N178)</f>
        <v>14406.887481252008</v>
      </c>
    </row>
    <row r="181" spans="2:14" x14ac:dyDescent="0.2">
      <c r="B181" s="2"/>
      <c r="C181" s="3"/>
      <c r="D181" s="3"/>
      <c r="E181" s="3"/>
      <c r="F181" s="3"/>
      <c r="G181" s="3"/>
      <c r="H181" s="3"/>
      <c r="I181" s="12"/>
      <c r="J181" s="3"/>
      <c r="K181" s="3"/>
      <c r="L181" s="3"/>
      <c r="M181" s="3"/>
      <c r="N181" s="12"/>
    </row>
    <row r="182" spans="2:14" x14ac:dyDescent="0.2">
      <c r="B182" s="69" t="s">
        <v>161</v>
      </c>
      <c r="C182" s="3"/>
      <c r="D182" s="3"/>
      <c r="E182" s="3"/>
      <c r="F182" s="83"/>
      <c r="G182" s="83">
        <f t="shared" ref="G182:N182" si="71">G153+G167+G180</f>
        <v>-52453</v>
      </c>
      <c r="H182" s="83">
        <f t="shared" si="71"/>
        <v>-130327</v>
      </c>
      <c r="I182" s="84">
        <f t="shared" si="71"/>
        <v>37065</v>
      </c>
      <c r="J182" s="83">
        <f t="shared" ca="1" si="71"/>
        <v>112088.36888331239</v>
      </c>
      <c r="K182" s="83">
        <f t="shared" ca="1" si="71"/>
        <v>82351.981271392564</v>
      </c>
      <c r="L182" s="83">
        <f t="shared" ca="1" si="71"/>
        <v>96985.932334328027</v>
      </c>
      <c r="M182" s="83">
        <f t="shared" ca="1" si="71"/>
        <v>103892.82315587442</v>
      </c>
      <c r="N182" s="84">
        <f t="shared" ca="1" si="71"/>
        <v>121910.86297094711</v>
      </c>
    </row>
    <row r="183" spans="2:14" x14ac:dyDescent="0.2">
      <c r="B183" s="69" t="s">
        <v>162</v>
      </c>
      <c r="C183" s="3"/>
      <c r="D183" s="3"/>
      <c r="E183" s="3"/>
      <c r="F183" s="83">
        <f>F72</f>
        <v>305707</v>
      </c>
      <c r="G183" s="83">
        <f t="shared" ref="G183:N183" si="72">F183+G182</f>
        <v>253254</v>
      </c>
      <c r="H183" s="83">
        <f>G183+H182</f>
        <v>122927</v>
      </c>
      <c r="I183" s="84">
        <f>H183+I182</f>
        <v>159992</v>
      </c>
      <c r="J183" s="83">
        <f ca="1">I183+J182</f>
        <v>272080.36888331239</v>
      </c>
      <c r="K183" s="83">
        <f t="shared" ca="1" si="72"/>
        <v>354432.35015470494</v>
      </c>
      <c r="L183" s="83">
        <f ca="1">K183+L182</f>
        <v>451418.28248903295</v>
      </c>
      <c r="M183" s="83">
        <f t="shared" ca="1" si="72"/>
        <v>555311.10564490734</v>
      </c>
      <c r="N183" s="84">
        <f t="shared" ca="1" si="72"/>
        <v>677221.96861585439</v>
      </c>
    </row>
    <row r="184" spans="2:14" x14ac:dyDescent="0.2">
      <c r="B184" s="69" t="s">
        <v>336</v>
      </c>
      <c r="C184" s="3"/>
      <c r="D184" s="3"/>
      <c r="E184" s="3"/>
      <c r="F184" s="82">
        <f>F72</f>
        <v>305707</v>
      </c>
      <c r="G184" s="82">
        <f>G72</f>
        <v>252391</v>
      </c>
      <c r="H184" s="82">
        <f>H72</f>
        <v>119581</v>
      </c>
      <c r="I184" s="24">
        <f>I72</f>
        <v>154312</v>
      </c>
      <c r="J184" s="83"/>
      <c r="K184" s="83"/>
      <c r="L184" s="83"/>
      <c r="M184" s="83"/>
      <c r="N184" s="84"/>
    </row>
    <row r="185" spans="2:14" x14ac:dyDescent="0.2">
      <c r="B185" s="27" t="s">
        <v>337</v>
      </c>
      <c r="C185" s="16"/>
      <c r="D185" s="16"/>
      <c r="E185" s="16"/>
      <c r="F185" s="85">
        <f>F183-F184</f>
        <v>0</v>
      </c>
      <c r="G185" s="85">
        <f>G183-G184</f>
        <v>863</v>
      </c>
      <c r="H185" s="85">
        <f>H183-H184</f>
        <v>3346</v>
      </c>
      <c r="I185" s="86">
        <f>I183-I184</f>
        <v>5680</v>
      </c>
      <c r="J185" s="16"/>
      <c r="K185" s="16"/>
      <c r="L185" s="16"/>
      <c r="M185" s="16"/>
      <c r="N185" s="19"/>
    </row>
    <row r="188" spans="2:14" x14ac:dyDescent="0.2">
      <c r="I188" s="205"/>
    </row>
    <row r="190" spans="2:14" x14ac:dyDescent="0.2">
      <c r="I190" s="205"/>
    </row>
  </sheetData>
  <sheetProtection password="C927" sheet="1" objects="1" scenarios="1"/>
  <pageMargins left="0.7" right="0.7" top="0.75" bottom="0.75" header="0.3" footer="0.3"/>
  <pageSetup paperSize="9" orientation="portrait" horizontalDpi="1200" verticalDpi="1200" r:id="rId1"/>
  <ignoredErrors>
    <ignoredError sqref="K126:N126"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71"/>
  <sheetViews>
    <sheetView topLeftCell="D1" zoomScale="90" zoomScaleNormal="90" workbookViewId="0">
      <selection activeCell="J20" sqref="J20"/>
    </sheetView>
  </sheetViews>
  <sheetFormatPr defaultRowHeight="12.75" x14ac:dyDescent="0.2"/>
  <cols>
    <col min="1" max="1" width="2.5703125" customWidth="1"/>
    <col min="5" max="5" width="10.7109375" customWidth="1"/>
  </cols>
  <sheetData>
    <row r="1" spans="2:14" x14ac:dyDescent="0.2">
      <c r="B1" s="1" t="str">
        <f>"Operating Assumptions - "&amp;TEXT(Company_Name,"")</f>
        <v>Operating Assumptions - Cymer Inc.</v>
      </c>
    </row>
    <row r="3" spans="2:14" x14ac:dyDescent="0.2">
      <c r="B3" s="3"/>
      <c r="C3" s="3"/>
      <c r="D3" s="3"/>
      <c r="E3" s="3"/>
      <c r="F3" s="16"/>
      <c r="G3" s="16"/>
      <c r="H3" s="16"/>
      <c r="I3" s="16"/>
      <c r="J3" s="16"/>
      <c r="K3" s="16"/>
      <c r="L3" s="16"/>
      <c r="M3" s="16"/>
      <c r="N3" s="16"/>
    </row>
    <row r="4" spans="2:14" x14ac:dyDescent="0.2">
      <c r="B4" s="3"/>
      <c r="C4" s="3"/>
      <c r="D4" s="3"/>
      <c r="E4" s="3"/>
      <c r="F4" s="149" t="s">
        <v>66</v>
      </c>
      <c r="G4" s="150"/>
      <c r="H4" s="150"/>
      <c r="I4" s="151"/>
      <c r="J4" s="150" t="s">
        <v>67</v>
      </c>
      <c r="K4" s="150"/>
      <c r="L4" s="150"/>
      <c r="M4" s="150"/>
      <c r="N4" s="151"/>
    </row>
    <row r="5" spans="2:14" x14ac:dyDescent="0.2">
      <c r="B5" s="3"/>
      <c r="C5" s="3"/>
      <c r="D5" s="3"/>
      <c r="E5" s="3"/>
      <c r="F5" s="67" t="str">
        <f>'Financial Statements'!F21</f>
        <v>FY 2007</v>
      </c>
      <c r="G5" s="67" t="str">
        <f>'Financial Statements'!G21</f>
        <v>FY 2008</v>
      </c>
      <c r="H5" s="67" t="str">
        <f>'Financial Statements'!H21</f>
        <v>FY 2009</v>
      </c>
      <c r="I5" s="68" t="str">
        <f>'Financial Statements'!I21</f>
        <v>FY 2010</v>
      </c>
      <c r="J5" s="67" t="str">
        <f>'Financial Statements'!J21</f>
        <v>FY 2011</v>
      </c>
      <c r="K5" s="67" t="str">
        <f>'Financial Statements'!K21</f>
        <v>FY 2012</v>
      </c>
      <c r="L5" s="67" t="str">
        <f>'Financial Statements'!L21</f>
        <v>FY 2013</v>
      </c>
      <c r="M5" s="67" t="str">
        <f>'Financial Statements'!M21</f>
        <v>FY 2014</v>
      </c>
      <c r="N5" s="68" t="str">
        <f>'Financial Statements'!N21</f>
        <v>FY 2015</v>
      </c>
    </row>
    <row r="6" spans="2:14" x14ac:dyDescent="0.2">
      <c r="B6" s="155" t="s">
        <v>2</v>
      </c>
      <c r="C6" s="156"/>
      <c r="D6" s="156"/>
      <c r="E6" s="156"/>
      <c r="F6" s="3"/>
      <c r="G6" s="3"/>
      <c r="H6" s="3"/>
      <c r="I6" s="12"/>
      <c r="J6" s="3"/>
      <c r="K6" s="3"/>
      <c r="L6" s="3"/>
      <c r="M6" s="3"/>
      <c r="N6" s="12"/>
    </row>
    <row r="7" spans="2:14" x14ac:dyDescent="0.2">
      <c r="B7" s="70" t="s">
        <v>73</v>
      </c>
      <c r="C7" s="3"/>
      <c r="D7" s="3"/>
      <c r="E7" s="3"/>
      <c r="F7" s="141">
        <v>0</v>
      </c>
      <c r="G7" s="140">
        <f>'Financial Statements'!G35/'Financial Statements'!F35-1</f>
        <v>-0.12015809973624492</v>
      </c>
      <c r="H7" s="140">
        <f>'Financial Statements'!H35/'Financial Statements'!G35-1</f>
        <v>-0.32972266399424854</v>
      </c>
      <c r="I7" s="20">
        <f>'Financial Statements'!I35/'Financial Statements'!H35-1</f>
        <v>0.73633899318737317</v>
      </c>
      <c r="J7" s="141">
        <v>7.0000000000000007E-2</v>
      </c>
      <c r="K7" s="141">
        <v>7.0000000000000007E-2</v>
      </c>
      <c r="L7" s="141">
        <v>0.06</v>
      </c>
      <c r="M7" s="141">
        <v>0.06</v>
      </c>
      <c r="N7" s="132">
        <v>0.05</v>
      </c>
    </row>
    <row r="8" spans="2:14" x14ac:dyDescent="0.2">
      <c r="B8" s="70" t="s">
        <v>178</v>
      </c>
      <c r="C8" s="3"/>
      <c r="D8" s="3"/>
      <c r="E8" s="3"/>
      <c r="F8" s="140">
        <f>'Financial Statements'!F36/'Financial Statements'!F35</f>
        <v>0.49891124332944858</v>
      </c>
      <c r="G8" s="140">
        <f>'Financial Statements'!G36/'Financial Statements'!G35</f>
        <v>0.52453759177359971</v>
      </c>
      <c r="H8" s="140">
        <f>'Financial Statements'!H36/'Financial Statements'!H35</f>
        <v>0.55661370846117841</v>
      </c>
      <c r="I8" s="20">
        <f>'Financial Statements'!I36/'Financial Statements'!I35</f>
        <v>0.48940021602032163</v>
      </c>
      <c r="J8" s="145">
        <f t="shared" ref="J8:N10" si="0">I8</f>
        <v>0.48940021602032163</v>
      </c>
      <c r="K8" s="140">
        <f t="shared" si="0"/>
        <v>0.48940021602032163</v>
      </c>
      <c r="L8" s="140">
        <f t="shared" si="0"/>
        <v>0.48940021602032163</v>
      </c>
      <c r="M8" s="140">
        <f t="shared" si="0"/>
        <v>0.48940021602032163</v>
      </c>
      <c r="N8" s="20">
        <f t="shared" si="0"/>
        <v>0.48940021602032163</v>
      </c>
    </row>
    <row r="9" spans="2:14" x14ac:dyDescent="0.2">
      <c r="B9" s="70" t="s">
        <v>177</v>
      </c>
      <c r="C9" s="3"/>
      <c r="D9" s="3"/>
      <c r="E9" s="3"/>
      <c r="F9" s="140">
        <f>'Financial Statements'!F38/'Financial Statements'!F35</f>
        <v>0.12480831748757898</v>
      </c>
      <c r="G9" s="140">
        <f>'Financial Statements'!G38/'Financial Statements'!G35</f>
        <v>0.13048299601315874</v>
      </c>
      <c r="H9" s="140">
        <f>'Financial Statements'!H38/'Financial Statements'!H35</f>
        <v>0.14357220864319517</v>
      </c>
      <c r="I9" s="20">
        <f>'Financial Statements'!I38/'Financial Statements'!I35</f>
        <v>0.11691678724993401</v>
      </c>
      <c r="J9" s="145">
        <f t="shared" si="0"/>
        <v>0.11691678724993401</v>
      </c>
      <c r="K9" s="140">
        <f t="shared" si="0"/>
        <v>0.11691678724993401</v>
      </c>
      <c r="L9" s="140">
        <f t="shared" si="0"/>
        <v>0.11691678724993401</v>
      </c>
      <c r="M9" s="140">
        <f t="shared" si="0"/>
        <v>0.11691678724993401</v>
      </c>
      <c r="N9" s="20">
        <f t="shared" si="0"/>
        <v>0.11691678724993401</v>
      </c>
    </row>
    <row r="10" spans="2:14" x14ac:dyDescent="0.2">
      <c r="B10" s="70" t="s">
        <v>179</v>
      </c>
      <c r="C10" s="3"/>
      <c r="D10" s="3"/>
      <c r="E10" s="3"/>
      <c r="F10" s="140">
        <f>'Financial Statements'!F39/'Financial Statements'!F35</f>
        <v>0.15687680181561675</v>
      </c>
      <c r="G10" s="140">
        <f>'Financial Statements'!G39/'Financial Statements'!G35</f>
        <v>0.20746606827737957</v>
      </c>
      <c r="H10" s="140">
        <f>'Financial Statements'!H39/'Financial Statements'!H35</f>
        <v>0.21389892870144053</v>
      </c>
      <c r="I10" s="20">
        <f>'Financial Statements'!I39/'Financial Statements'!I35</f>
        <v>0.16696274304626091</v>
      </c>
      <c r="J10" s="145">
        <f t="shared" si="0"/>
        <v>0.16696274304626091</v>
      </c>
      <c r="K10" s="140">
        <f t="shared" si="0"/>
        <v>0.16696274304626091</v>
      </c>
      <c r="L10" s="140">
        <f t="shared" si="0"/>
        <v>0.16696274304626091</v>
      </c>
      <c r="M10" s="140">
        <f t="shared" si="0"/>
        <v>0.16696274304626091</v>
      </c>
      <c r="N10" s="20">
        <f t="shared" si="0"/>
        <v>0.16696274304626091</v>
      </c>
    </row>
    <row r="11" spans="2:14" x14ac:dyDescent="0.2">
      <c r="B11" s="2"/>
      <c r="C11" s="3"/>
      <c r="D11" s="3"/>
      <c r="E11" s="3"/>
      <c r="F11" s="140"/>
      <c r="G11" s="140"/>
      <c r="H11" s="140"/>
      <c r="I11" s="20"/>
      <c r="J11" s="140"/>
      <c r="K11" s="140"/>
      <c r="L11" s="140"/>
      <c r="M11" s="140"/>
      <c r="N11" s="20"/>
    </row>
    <row r="12" spans="2:14" x14ac:dyDescent="0.2">
      <c r="B12" s="70" t="s">
        <v>187</v>
      </c>
      <c r="C12" s="3"/>
      <c r="D12" s="3"/>
      <c r="E12" s="3"/>
      <c r="F12" s="140">
        <f>'Financial Statements'!F44/'Financial Statements'!F89</f>
        <v>0</v>
      </c>
      <c r="G12" s="140">
        <f>'Financial Statements'!G44/'Financial Statements'!G89</f>
        <v>0</v>
      </c>
      <c r="H12" s="140">
        <f>'Financial Statements'!H44/'Financial Statements'!H89</f>
        <v>0</v>
      </c>
      <c r="I12" s="20">
        <f>'Financial Statements'!I44/'Financial Statements'!I89</f>
        <v>0</v>
      </c>
      <c r="J12" s="145">
        <f t="shared" ref="J12:N14" si="1">I12</f>
        <v>0</v>
      </c>
      <c r="K12" s="142">
        <f t="shared" si="1"/>
        <v>0</v>
      </c>
      <c r="L12" s="142">
        <f t="shared" si="1"/>
        <v>0</v>
      </c>
      <c r="M12" s="142">
        <f t="shared" si="1"/>
        <v>0</v>
      </c>
      <c r="N12" s="143">
        <f t="shared" si="1"/>
        <v>0</v>
      </c>
    </row>
    <row r="13" spans="2:14" x14ac:dyDescent="0.2">
      <c r="B13" s="70" t="s">
        <v>188</v>
      </c>
      <c r="C13" s="3"/>
      <c r="D13" s="3"/>
      <c r="E13" s="3"/>
      <c r="F13" s="140">
        <f>'Financial Statements'!F45/'Financial Statements'!F90</f>
        <v>0</v>
      </c>
      <c r="G13" s="140">
        <f>'Financial Statements'!G45/'Financial Statements'!G90</f>
        <v>0</v>
      </c>
      <c r="H13" s="140">
        <f>'Financial Statements'!H45/'Financial Statements'!H90</f>
        <v>0</v>
      </c>
      <c r="I13" s="20">
        <f>'Financial Statements'!I45/'Financial Statements'!I90</f>
        <v>0</v>
      </c>
      <c r="J13" s="145">
        <f t="shared" si="1"/>
        <v>0</v>
      </c>
      <c r="K13" s="142">
        <f t="shared" si="1"/>
        <v>0</v>
      </c>
      <c r="L13" s="142">
        <f t="shared" si="1"/>
        <v>0</v>
      </c>
      <c r="M13" s="142">
        <f t="shared" si="1"/>
        <v>0</v>
      </c>
      <c r="N13" s="143">
        <f t="shared" si="1"/>
        <v>0</v>
      </c>
    </row>
    <row r="14" spans="2:14" x14ac:dyDescent="0.2">
      <c r="B14" s="70" t="s">
        <v>189</v>
      </c>
      <c r="C14" s="3"/>
      <c r="D14" s="3"/>
      <c r="E14" s="3"/>
      <c r="F14" s="140">
        <f>'Financial Statements'!F140/'Financial Statements'!F35</f>
        <v>0</v>
      </c>
      <c r="G14" s="140">
        <f>'Financial Statements'!G140/'Financial Statements'!G35</f>
        <v>1.4173983137622274E-2</v>
      </c>
      <c r="H14" s="140">
        <f>'Financial Statements'!H140/'Financial Statements'!H35</f>
        <v>2.0441130584013728E-2</v>
      </c>
      <c r="I14" s="20">
        <f>'Financial Statements'!I140/'Financial Statements'!I35</f>
        <v>2.1031094571600253E-2</v>
      </c>
      <c r="J14" s="145">
        <f t="shared" si="1"/>
        <v>2.1031094571600253E-2</v>
      </c>
      <c r="K14" s="142">
        <f t="shared" si="1"/>
        <v>2.1031094571600253E-2</v>
      </c>
      <c r="L14" s="142">
        <f t="shared" si="1"/>
        <v>2.1031094571600253E-2</v>
      </c>
      <c r="M14" s="142">
        <f t="shared" si="1"/>
        <v>2.1031094571600253E-2</v>
      </c>
      <c r="N14" s="143">
        <f t="shared" si="1"/>
        <v>2.1031094571600253E-2</v>
      </c>
    </row>
    <row r="15" spans="2:14" x14ac:dyDescent="0.2">
      <c r="B15" s="70" t="s">
        <v>191</v>
      </c>
      <c r="C15" s="3"/>
      <c r="D15" s="3"/>
      <c r="E15" s="3"/>
      <c r="F15" s="140">
        <f>'Financial Statements'!F47/'Financial Statements'!F35</f>
        <v>0</v>
      </c>
      <c r="G15" s="140">
        <f>'Financial Statements'!G47/'Financial Statements'!G35</f>
        <v>0</v>
      </c>
      <c r="H15" s="140">
        <f>'Financial Statements'!H47/'Financial Statements'!H35</f>
        <v>0</v>
      </c>
      <c r="I15" s="20">
        <f>'Financial Statements'!I47/'Financial Statements'!I35</f>
        <v>0</v>
      </c>
      <c r="J15" s="141">
        <v>0</v>
      </c>
      <c r="K15" s="142">
        <f>J15</f>
        <v>0</v>
      </c>
      <c r="L15" s="142">
        <f>K15</f>
        <v>0</v>
      </c>
      <c r="M15" s="142">
        <f>L15</f>
        <v>0</v>
      </c>
      <c r="N15" s="143">
        <f>M15</f>
        <v>0</v>
      </c>
    </row>
    <row r="16" spans="2:14" x14ac:dyDescent="0.2">
      <c r="B16" s="70"/>
      <c r="C16" s="3"/>
      <c r="D16" s="3"/>
      <c r="E16" s="3"/>
      <c r="F16" s="140"/>
      <c r="G16" s="140"/>
      <c r="H16" s="140"/>
      <c r="I16" s="20"/>
      <c r="J16" s="141"/>
      <c r="K16" s="142"/>
      <c r="L16" s="142"/>
      <c r="M16" s="142"/>
      <c r="N16" s="143"/>
    </row>
    <row r="17" spans="2:18" x14ac:dyDescent="0.2">
      <c r="B17" s="70" t="s">
        <v>193</v>
      </c>
      <c r="C17" s="3"/>
      <c r="D17" s="3"/>
      <c r="E17" s="3"/>
      <c r="F17" s="145">
        <f>'Financial Statements'!F49/('Financial Statements'!F105+'Financial Statements'!F110+'Financial Statements'!F115)</f>
        <v>-4.7675558903369768E-2</v>
      </c>
      <c r="G17" s="145">
        <f>'Financial Statements'!G49/AVERAGE('Financial Statements'!G105+'Financial Statements'!G110+'Financial Statements'!G115,'Financial Statements'!F105+'Financial Statements'!F110+'Financial Statements'!F115)</f>
        <v>-9.4626284447350092E-2</v>
      </c>
      <c r="H17" s="145">
        <v>0</v>
      </c>
      <c r="I17" s="111">
        <v>0</v>
      </c>
      <c r="J17" s="145">
        <f>I17</f>
        <v>0</v>
      </c>
      <c r="K17" s="145">
        <f>J17</f>
        <v>0</v>
      </c>
      <c r="L17" s="145">
        <f>K17</f>
        <v>0</v>
      </c>
      <c r="M17" s="145">
        <f>L17</f>
        <v>0</v>
      </c>
      <c r="N17" s="111">
        <f>M17</f>
        <v>0</v>
      </c>
      <c r="R17" s="63"/>
    </row>
    <row r="18" spans="2:18" x14ac:dyDescent="0.2">
      <c r="B18" s="70" t="s">
        <v>192</v>
      </c>
      <c r="C18" s="3"/>
      <c r="D18" s="3"/>
      <c r="E18" s="3"/>
      <c r="F18" s="140">
        <f>'Financial Statements'!F50/('Financial Statements'!F72+'Financial Statements'!F73+'Financial Statements'!F85)</f>
        <v>5.6150263632676466E-2</v>
      </c>
      <c r="G18" s="140">
        <f>'Financial Statements'!G50/AVERAGE('Financial Statements'!F72+'Financial Statements'!F73+'Financial Statements'!F85,'Financial Statements'!G72+'Financial Statements'!G73+'Financial Statements'!G85)</f>
        <v>2.7164853010832723E-2</v>
      </c>
      <c r="H18" s="140">
        <f>'Financial Statements'!H50/AVERAGE('Financial Statements'!G72+'Financial Statements'!G73+'Financial Statements'!G85,'Financial Statements'!H72+'Financial Statements'!H73+'Financial Statements'!H85)</f>
        <v>5.7203522138262663E-3</v>
      </c>
      <c r="I18" s="20">
        <f>'Financial Statements'!I50/AVERAGE('Financial Statements'!H72+'Financial Statements'!H73+'Financial Statements'!H85,'Financial Statements'!I72+'Financial Statements'!I73+'Financial Statements'!I85)</f>
        <v>2.5913333745441057E-3</v>
      </c>
      <c r="J18" s="141">
        <v>0.01</v>
      </c>
      <c r="K18" s="141">
        <v>0.01</v>
      </c>
      <c r="L18" s="141">
        <v>0.02</v>
      </c>
      <c r="M18" s="141">
        <v>0.02</v>
      </c>
      <c r="N18" s="132">
        <v>0.03</v>
      </c>
    </row>
    <row r="19" spans="2:18" x14ac:dyDescent="0.2">
      <c r="B19" s="70" t="s">
        <v>196</v>
      </c>
      <c r="C19" s="3"/>
      <c r="D19" s="3"/>
      <c r="E19" s="3"/>
      <c r="F19" s="140">
        <f>'Financial Statements'!F53/'Financial Statements'!F52</f>
        <v>0.34202784708745343</v>
      </c>
      <c r="G19" s="140">
        <f>'Financial Statements'!G53/'Financial Statements'!G52</f>
        <v>0.32999761260544325</v>
      </c>
      <c r="H19" s="140">
        <f>'Financial Statements'!H53/'Financial Statements'!H52</f>
        <v>0.49035538929155953</v>
      </c>
      <c r="I19" s="20">
        <f>'Financial Statements'!I53/'Financial Statements'!I52</f>
        <v>0.25</v>
      </c>
      <c r="J19" s="141">
        <v>0.25</v>
      </c>
      <c r="K19" s="145">
        <f>J19</f>
        <v>0.25</v>
      </c>
      <c r="L19" s="145">
        <f>K19</f>
        <v>0.25</v>
      </c>
      <c r="M19" s="145">
        <f>L19</f>
        <v>0.25</v>
      </c>
      <c r="N19" s="111">
        <f>M19</f>
        <v>0.25</v>
      </c>
    </row>
    <row r="20" spans="2:18" x14ac:dyDescent="0.2">
      <c r="B20" s="2"/>
      <c r="C20" s="3"/>
      <c r="D20" s="3"/>
      <c r="E20" s="3"/>
      <c r="F20" s="140"/>
      <c r="G20" s="140"/>
      <c r="H20" s="140"/>
      <c r="I20" s="20"/>
      <c r="J20" s="140"/>
      <c r="K20" s="140"/>
      <c r="L20" s="140"/>
      <c r="M20" s="140"/>
      <c r="N20" s="20"/>
    </row>
    <row r="21" spans="2:18" x14ac:dyDescent="0.2">
      <c r="B21" s="70" t="s">
        <v>199</v>
      </c>
      <c r="C21" s="3"/>
      <c r="D21" s="3"/>
      <c r="E21" s="3"/>
      <c r="F21" s="140">
        <f>'Financial Statements'!F58/'Financial Statements'!F63</f>
        <v>0</v>
      </c>
      <c r="G21" s="140">
        <f>'Financial Statements'!G58/'Financial Statements'!G63</f>
        <v>0</v>
      </c>
      <c r="H21" s="140">
        <f>'Financial Statements'!H58/'Financial Statements'!H63</f>
        <v>0</v>
      </c>
      <c r="I21" s="20">
        <f>'Financial Statements'!I58/'Financial Statements'!I63</f>
        <v>0</v>
      </c>
      <c r="J21" s="141">
        <v>0</v>
      </c>
      <c r="K21" s="141">
        <v>0</v>
      </c>
      <c r="L21" s="141">
        <v>0</v>
      </c>
      <c r="M21" s="141">
        <v>0</v>
      </c>
      <c r="N21" s="132">
        <v>0</v>
      </c>
    </row>
    <row r="22" spans="2:18" x14ac:dyDescent="0.2">
      <c r="B22" s="70"/>
      <c r="C22" s="3"/>
      <c r="D22" s="3"/>
      <c r="E22" s="3"/>
      <c r="F22" s="140"/>
      <c r="G22" s="140"/>
      <c r="H22" s="140"/>
      <c r="I22" s="20"/>
      <c r="J22" s="141"/>
      <c r="K22" s="141"/>
      <c r="L22" s="141"/>
      <c r="M22" s="141"/>
      <c r="N22" s="132"/>
    </row>
    <row r="23" spans="2:18" x14ac:dyDescent="0.2">
      <c r="B23" s="155" t="s">
        <v>96</v>
      </c>
      <c r="C23" s="156"/>
      <c r="D23" s="156"/>
      <c r="E23" s="156"/>
      <c r="F23" s="140"/>
      <c r="G23" s="140"/>
      <c r="H23" s="140"/>
      <c r="I23" s="20"/>
      <c r="J23" s="140"/>
      <c r="K23" s="140"/>
      <c r="L23" s="140"/>
      <c r="M23" s="140"/>
      <c r="N23" s="20"/>
    </row>
    <row r="24" spans="2:18" x14ac:dyDescent="0.2">
      <c r="B24" s="70" t="s">
        <v>203</v>
      </c>
      <c r="C24" s="3"/>
      <c r="D24" s="3"/>
      <c r="E24" s="3"/>
      <c r="F24" s="140">
        <f>'Financial Statements'!F76/'Financial Statements'!F$35</f>
        <v>0.17610830828681837</v>
      </c>
      <c r="G24" s="140">
        <f>'Financial Statements'!G76/'Financial Statements'!G$35</f>
        <v>0.14007537962135902</v>
      </c>
      <c r="H24" s="140">
        <f>'Financial Statements'!H76/'Financial Statements'!H$35</f>
        <v>0.24959696292058869</v>
      </c>
      <c r="I24" s="20">
        <f>'Financial Statements'!I76/'Financial Statements'!I$35</f>
        <v>0.23913299850807457</v>
      </c>
      <c r="J24" s="145">
        <f>J25/Days_In_Year</f>
        <v>0.23913299850807457</v>
      </c>
      <c r="K24" s="140">
        <f>K25/Days_In_Year</f>
        <v>0.23913299850807457</v>
      </c>
      <c r="L24" s="140">
        <f>L25/Days_In_Year</f>
        <v>0.23913299850807457</v>
      </c>
      <c r="M24" s="140">
        <f>M25/Days_In_Year</f>
        <v>0.23913299850807457</v>
      </c>
      <c r="N24" s="20">
        <f>N25/Days_In_Year</f>
        <v>0.23913299850807457</v>
      </c>
    </row>
    <row r="25" spans="2:18" x14ac:dyDescent="0.2">
      <c r="B25" s="70" t="s">
        <v>205</v>
      </c>
      <c r="C25" s="3"/>
      <c r="D25" s="3"/>
      <c r="E25" s="3"/>
      <c r="F25" s="144">
        <f>F24*Days_In_Year</f>
        <v>64.279532524688705</v>
      </c>
      <c r="G25" s="144">
        <f>G24*Days_In_Year</f>
        <v>51.127513561796043</v>
      </c>
      <c r="H25" s="144">
        <f>H24*Days_In_Year</f>
        <v>91.102891466014867</v>
      </c>
      <c r="I25" s="139">
        <f>I24*Days_In_Year</f>
        <v>87.283544455447213</v>
      </c>
      <c r="J25" s="255">
        <f t="shared" ref="J25:J30" si="2">I25</f>
        <v>87.283544455447213</v>
      </c>
      <c r="K25" s="144">
        <f t="shared" ref="K25:N27" si="3">J25</f>
        <v>87.283544455447213</v>
      </c>
      <c r="L25" s="144">
        <f t="shared" si="3"/>
        <v>87.283544455447213</v>
      </c>
      <c r="M25" s="144">
        <f t="shared" si="3"/>
        <v>87.283544455447213</v>
      </c>
      <c r="N25" s="139">
        <f t="shared" si="3"/>
        <v>87.283544455447213</v>
      </c>
    </row>
    <row r="26" spans="2:18" x14ac:dyDescent="0.2">
      <c r="B26" s="70" t="s">
        <v>204</v>
      </c>
      <c r="C26" s="3"/>
      <c r="D26" s="3"/>
      <c r="E26" s="3"/>
      <c r="F26" s="140">
        <f>'Financial Statements'!F77/'Financial Statements'!F$35</f>
        <v>2.1315095381218181E-3</v>
      </c>
      <c r="G26" s="140">
        <f>'Financial Statements'!G77/'Financial Statements'!G$35</f>
        <v>1.782096250626348E-3</v>
      </c>
      <c r="H26" s="140">
        <f>'Financial Statements'!H77/'Financial Statements'!H$35</f>
        <v>2.3792188881377086E-3</v>
      </c>
      <c r="I26" s="20">
        <f>'Financial Statements'!I77/'Financial Statements'!I$35</f>
        <v>0</v>
      </c>
      <c r="J26" s="145">
        <f t="shared" si="2"/>
        <v>0</v>
      </c>
      <c r="K26" s="140">
        <f t="shared" si="3"/>
        <v>0</v>
      </c>
      <c r="L26" s="140">
        <f t="shared" si="3"/>
        <v>0</v>
      </c>
      <c r="M26" s="140">
        <f t="shared" si="3"/>
        <v>0</v>
      </c>
      <c r="N26" s="20">
        <f t="shared" si="3"/>
        <v>0</v>
      </c>
    </row>
    <row r="27" spans="2:18" x14ac:dyDescent="0.2">
      <c r="B27" s="70" t="s">
        <v>209</v>
      </c>
      <c r="C27" s="3"/>
      <c r="D27" s="3"/>
      <c r="E27" s="3"/>
      <c r="F27" s="140">
        <f>'Financial Statements'!F78/'Financial Statements'!F$36</f>
        <v>0.49852850776087293</v>
      </c>
      <c r="G27" s="140">
        <f>'Financial Statements'!G78/'Financial Statements'!G$36</f>
        <v>0.80885333599149389</v>
      </c>
      <c r="H27" s="140">
        <f>'Financial Statements'!H78/'Financial Statements'!H$36</f>
        <v>1.0807416058394161</v>
      </c>
      <c r="I27" s="20">
        <f>'Financial Statements'!I78/'Financial Statements'!I$36</f>
        <v>0.81471989963357072</v>
      </c>
      <c r="J27" s="145">
        <f t="shared" si="2"/>
        <v>0.81471989963357072</v>
      </c>
      <c r="K27" s="140">
        <f t="shared" si="3"/>
        <v>0.81471989963357072</v>
      </c>
      <c r="L27" s="140">
        <f t="shared" si="3"/>
        <v>0.81471989963357072</v>
      </c>
      <c r="M27" s="140">
        <f t="shared" si="3"/>
        <v>0.81471989963357072</v>
      </c>
      <c r="N27" s="20">
        <f t="shared" si="3"/>
        <v>0.81471989963357072</v>
      </c>
    </row>
    <row r="28" spans="2:18" x14ac:dyDescent="0.2">
      <c r="B28" s="70" t="s">
        <v>208</v>
      </c>
      <c r="C28" s="3"/>
      <c r="D28" s="3"/>
      <c r="E28" s="3"/>
      <c r="F28" s="140">
        <f>'Financial Statements'!F79/'Financial Statements'!F$36</f>
        <v>3.4309205471031196E-2</v>
      </c>
      <c r="G28" s="140">
        <f>'Financial Statements'!G79/'Financial Statements'!G$36</f>
        <v>3.8809144072301967E-2</v>
      </c>
      <c r="H28" s="140">
        <f>'Financial Statements'!H79/'Financial Statements'!H$36</f>
        <v>0</v>
      </c>
      <c r="I28" s="20">
        <f>'Financial Statements'!I79/'Financial Statements'!I$36</f>
        <v>0</v>
      </c>
      <c r="J28" s="145">
        <f t="shared" si="2"/>
        <v>0</v>
      </c>
      <c r="K28" s="140">
        <f t="shared" ref="K28:N30" si="4">J28</f>
        <v>0</v>
      </c>
      <c r="L28" s="140">
        <f t="shared" si="4"/>
        <v>0</v>
      </c>
      <c r="M28" s="140">
        <f t="shared" si="4"/>
        <v>0</v>
      </c>
      <c r="N28" s="20">
        <f t="shared" si="4"/>
        <v>0</v>
      </c>
    </row>
    <row r="29" spans="2:18" x14ac:dyDescent="0.2">
      <c r="B29" s="70" t="s">
        <v>212</v>
      </c>
      <c r="C29" s="3"/>
      <c r="D29" s="3"/>
      <c r="E29" s="3"/>
      <c r="F29" s="140">
        <f>('Financial Statements'!F80+'Financial Statements'!F94)/('Financial Statements'!F87+'Financial Statements'!F90)</f>
        <v>0.20711457918838899</v>
      </c>
      <c r="G29" s="140">
        <f>('Financial Statements'!G80+'Financial Statements'!G94)/('Financial Statements'!G87+'Financial Statements'!G90)</f>
        <v>0.24301042285743499</v>
      </c>
      <c r="H29" s="140">
        <f>('Financial Statements'!H80+'Financial Statements'!H94)/('Financial Statements'!H87+'Financial Statements'!H90)</f>
        <v>0.18676293315134546</v>
      </c>
      <c r="I29" s="20">
        <f>('Financial Statements'!I80+'Financial Statements'!I94)/('Financial Statements'!I87+'Financial Statements'!I90)</f>
        <v>0.15587606068734502</v>
      </c>
      <c r="J29" s="145">
        <f t="shared" si="2"/>
        <v>0.15587606068734502</v>
      </c>
      <c r="K29" s="140">
        <f t="shared" si="4"/>
        <v>0.15587606068734502</v>
      </c>
      <c r="L29" s="140">
        <f t="shared" si="4"/>
        <v>0.15587606068734502</v>
      </c>
      <c r="M29" s="140">
        <f t="shared" si="4"/>
        <v>0.15587606068734502</v>
      </c>
      <c r="N29" s="20">
        <f t="shared" si="4"/>
        <v>0.15587606068734502</v>
      </c>
    </row>
    <row r="30" spans="2:18" x14ac:dyDescent="0.2">
      <c r="B30" s="70" t="s">
        <v>210</v>
      </c>
      <c r="C30" s="3"/>
      <c r="D30" s="3"/>
      <c r="E30" s="3"/>
      <c r="F30" s="140">
        <f>'Financial Statements'!F81/'Financial Statements'!F$35</f>
        <v>0</v>
      </c>
      <c r="G30" s="140">
        <f>'Financial Statements'!G81/'Financial Statements'!G$35</f>
        <v>0</v>
      </c>
      <c r="H30" s="140">
        <f>'Financial Statements'!H81/'Financial Statements'!H$35</f>
        <v>8.5300847677986374E-2</v>
      </c>
      <c r="I30" s="20">
        <f>'Financial Statements'!I81/'Financial Statements'!I$35</f>
        <v>0.10300650120084087</v>
      </c>
      <c r="J30" s="145">
        <f t="shared" si="2"/>
        <v>0.10300650120084087</v>
      </c>
      <c r="K30" s="140">
        <f t="shared" si="4"/>
        <v>0.10300650120084087</v>
      </c>
      <c r="L30" s="140">
        <f t="shared" si="4"/>
        <v>0.10300650120084087</v>
      </c>
      <c r="M30" s="140">
        <f t="shared" si="4"/>
        <v>0.10300650120084087</v>
      </c>
      <c r="N30" s="20">
        <f t="shared" si="4"/>
        <v>0.10300650120084087</v>
      </c>
    </row>
    <row r="31" spans="2:18" x14ac:dyDescent="0.2">
      <c r="B31" s="2"/>
      <c r="C31" s="3"/>
      <c r="D31" s="3"/>
      <c r="E31" s="3"/>
      <c r="F31" s="140"/>
      <c r="G31" s="140"/>
      <c r="H31" s="140"/>
      <c r="I31" s="20"/>
      <c r="J31" s="140"/>
      <c r="K31" s="140"/>
      <c r="L31" s="140"/>
      <c r="M31" s="140"/>
      <c r="N31" s="20"/>
    </row>
    <row r="32" spans="2:18" x14ac:dyDescent="0.2">
      <c r="B32" s="70" t="s">
        <v>213</v>
      </c>
      <c r="C32" s="3"/>
      <c r="D32" s="3"/>
      <c r="E32" s="3"/>
      <c r="F32" s="140">
        <f>'Financial Statements'!F86/'Financial Statements'!F$35</f>
        <v>0</v>
      </c>
      <c r="G32" s="140">
        <f>'Financial Statements'!G86/'Financial Statements'!G$35</f>
        <v>0</v>
      </c>
      <c r="H32" s="140">
        <f>'Financial Statements'!H86/'Financial Statements'!H$35</f>
        <v>0</v>
      </c>
      <c r="I32" s="20">
        <f>'Financial Statements'!I86/'Financial Statements'!I$35</f>
        <v>0</v>
      </c>
      <c r="J32" s="145">
        <f t="shared" ref="J32:J37" si="5">I32</f>
        <v>0</v>
      </c>
      <c r="K32" s="145">
        <f t="shared" ref="K32:N36" si="6">J32</f>
        <v>0</v>
      </c>
      <c r="L32" s="145">
        <f t="shared" si="6"/>
        <v>0</v>
      </c>
      <c r="M32" s="145">
        <f t="shared" si="6"/>
        <v>0</v>
      </c>
      <c r="N32" s="111">
        <f t="shared" si="6"/>
        <v>0</v>
      </c>
    </row>
    <row r="33" spans="2:14" x14ac:dyDescent="0.2">
      <c r="B33" s="70" t="s">
        <v>214</v>
      </c>
      <c r="C33" s="3"/>
      <c r="D33" s="3"/>
      <c r="E33" s="3"/>
      <c r="F33" s="140">
        <f>'Financial Statements'!F87/'Financial Statements'!F$35</f>
        <v>0.51641760718886098</v>
      </c>
      <c r="G33" s="140">
        <f>'Financial Statements'!G87/'Financial Statements'!G$35</f>
        <v>0.62271628069105245</v>
      </c>
      <c r="H33" s="140">
        <f>'Financial Statements'!H87/'Financial Statements'!H$35</f>
        <v>0.93101890373914398</v>
      </c>
      <c r="I33" s="20">
        <f>'Financial Statements'!I87/'Financial Statements'!I$35</f>
        <v>0.53266418199618504</v>
      </c>
      <c r="J33" s="145">
        <f t="shared" si="5"/>
        <v>0.53266418199618504</v>
      </c>
      <c r="K33" s="145">
        <f t="shared" si="6"/>
        <v>0.53266418199618504</v>
      </c>
      <c r="L33" s="145">
        <f t="shared" si="6"/>
        <v>0.53266418199618504</v>
      </c>
      <c r="M33" s="145">
        <f t="shared" si="6"/>
        <v>0.53266418199618504</v>
      </c>
      <c r="N33" s="111">
        <f t="shared" si="6"/>
        <v>0.53266418199618504</v>
      </c>
    </row>
    <row r="34" spans="2:14" x14ac:dyDescent="0.2">
      <c r="B34" s="70" t="s">
        <v>215</v>
      </c>
      <c r="C34" s="3"/>
      <c r="D34" s="3"/>
      <c r="E34" s="3"/>
      <c r="F34" s="140">
        <f>'Financial Statements'!F90/'Financial Statements'!F35</f>
        <v>5.2009216095197201E-2</v>
      </c>
      <c r="G34" s="140">
        <f>'Financial Statements'!G90/'Financial Statements'!G35</f>
        <v>5.911200191716956E-2</v>
      </c>
      <c r="H34" s="140">
        <f>'Financial Statements'!H90/'Financial Statements'!H35</f>
        <v>8.819036351344324E-2</v>
      </c>
      <c r="I34" s="20">
        <f>'Financial Statements'!I90/'Financial Statements'!I35</f>
        <v>3.9580014563588409E-2</v>
      </c>
      <c r="J34" s="145">
        <f t="shared" si="5"/>
        <v>3.9580014563588409E-2</v>
      </c>
      <c r="K34" s="145">
        <f t="shared" si="6"/>
        <v>3.9580014563588409E-2</v>
      </c>
      <c r="L34" s="145">
        <f t="shared" si="6"/>
        <v>3.9580014563588409E-2</v>
      </c>
      <c r="M34" s="145">
        <f t="shared" si="6"/>
        <v>3.9580014563588409E-2</v>
      </c>
      <c r="N34" s="111">
        <f t="shared" si="6"/>
        <v>3.9580014563588409E-2</v>
      </c>
    </row>
    <row r="35" spans="2:14" x14ac:dyDescent="0.2">
      <c r="B35" s="70" t="s">
        <v>216</v>
      </c>
      <c r="C35" s="3"/>
      <c r="D35" s="3"/>
      <c r="E35" s="3"/>
      <c r="F35" s="140">
        <f>'Financial Statements'!F88/'Financial Statements'!F87</f>
        <v>-0.56674325292394945</v>
      </c>
      <c r="G35" s="140">
        <f>'Financial Statements'!G88/'Financial Statements'!G87</f>
        <v>-0.59980128256709342</v>
      </c>
      <c r="H35" s="140">
        <f>'Financial Statements'!H88/'Financial Statements'!H87</f>
        <v>-0.6273054485915075</v>
      </c>
      <c r="I35" s="20">
        <f>'Financial Statements'!I88/'Financial Statements'!I87</f>
        <v>-0.63203820715927383</v>
      </c>
      <c r="J35" s="145">
        <f t="shared" si="5"/>
        <v>-0.63203820715927383</v>
      </c>
      <c r="K35" s="145">
        <f t="shared" si="6"/>
        <v>-0.63203820715927383</v>
      </c>
      <c r="L35" s="145">
        <f t="shared" si="6"/>
        <v>-0.63203820715927383</v>
      </c>
      <c r="M35" s="145">
        <f t="shared" si="6"/>
        <v>-0.63203820715927383</v>
      </c>
      <c r="N35" s="111">
        <f t="shared" si="6"/>
        <v>-0.63203820715927383</v>
      </c>
    </row>
    <row r="36" spans="2:14" x14ac:dyDescent="0.2">
      <c r="B36" s="70" t="s">
        <v>217</v>
      </c>
      <c r="C36" s="3"/>
      <c r="D36" s="3"/>
      <c r="E36" s="3"/>
      <c r="F36" s="140">
        <f>'Financial Statements'!F91/'Financial Statements'!F90</f>
        <v>-0.52268455386429813</v>
      </c>
      <c r="G36" s="140">
        <f>'Financial Statements'!G91/'Financial Statements'!G90</f>
        <v>-0.63520436368997157</v>
      </c>
      <c r="H36" s="140">
        <f>'Financial Statements'!H91/'Financial Statements'!H90</f>
        <v>-0.69310433789112891</v>
      </c>
      <c r="I36" s="20">
        <f>'Financial Statements'!I91/'Financial Statements'!I90</f>
        <v>-0.63843170639424895</v>
      </c>
      <c r="J36" s="145">
        <f t="shared" si="5"/>
        <v>-0.63843170639424895</v>
      </c>
      <c r="K36" s="145">
        <f t="shared" si="6"/>
        <v>-0.63843170639424895</v>
      </c>
      <c r="L36" s="145">
        <f t="shared" si="6"/>
        <v>-0.63843170639424895</v>
      </c>
      <c r="M36" s="145">
        <f t="shared" si="6"/>
        <v>-0.63843170639424895</v>
      </c>
      <c r="N36" s="111">
        <f t="shared" si="6"/>
        <v>-0.63843170639424895</v>
      </c>
    </row>
    <row r="37" spans="2:14" x14ac:dyDescent="0.2">
      <c r="B37" s="70" t="s">
        <v>218</v>
      </c>
      <c r="C37" s="3"/>
      <c r="D37" s="3"/>
      <c r="E37" s="3"/>
      <c r="F37" s="140">
        <f>'Financial Statements'!F95/'Financial Statements'!F$35</f>
        <v>9.6703827516408016E-3</v>
      </c>
      <c r="G37" s="140">
        <f>'Financial Statements'!G95/'Financial Statements'!G$35</f>
        <v>1.3764406004226487E-2</v>
      </c>
      <c r="H37" s="140">
        <f>'Financial Statements'!H95/'Financial Statements'!H$35</f>
        <v>1.934252951271517E-2</v>
      </c>
      <c r="I37" s="20">
        <f>'Financial Statements'!I95/'Financial Statements'!I$35</f>
        <v>1.1117371665396876E-2</v>
      </c>
      <c r="J37" s="145">
        <f t="shared" si="5"/>
        <v>1.1117371665396876E-2</v>
      </c>
      <c r="K37" s="145">
        <f>J37</f>
        <v>1.1117371665396876E-2</v>
      </c>
      <c r="L37" s="145">
        <f>K37</f>
        <v>1.1117371665396876E-2</v>
      </c>
      <c r="M37" s="145">
        <f>L37</f>
        <v>1.1117371665396876E-2</v>
      </c>
      <c r="N37" s="111">
        <f>M37</f>
        <v>1.1117371665396876E-2</v>
      </c>
    </row>
    <row r="38" spans="2:14" x14ac:dyDescent="0.2">
      <c r="B38" s="2"/>
      <c r="C38" s="3"/>
      <c r="D38" s="3"/>
      <c r="E38" s="3"/>
      <c r="F38" s="140"/>
      <c r="G38" s="140"/>
      <c r="H38" s="140"/>
      <c r="I38" s="20"/>
      <c r="J38" s="141"/>
      <c r="K38" s="140"/>
      <c r="L38" s="140"/>
      <c r="M38" s="140"/>
      <c r="N38" s="20"/>
    </row>
    <row r="39" spans="2:14" x14ac:dyDescent="0.2">
      <c r="B39" s="70" t="s">
        <v>220</v>
      </c>
      <c r="C39" s="3"/>
      <c r="D39" s="3"/>
      <c r="E39" s="3"/>
      <c r="F39" s="140">
        <f>'Financial Statements'!F104/'Financial Statements'!F$36</f>
        <v>0.10914399877055479</v>
      </c>
      <c r="G39" s="140">
        <f>'Financial Statements'!G104/'Financial Statements'!G$36</f>
        <v>7.937516613503455E-2</v>
      </c>
      <c r="H39" s="140">
        <f>'Financial Statements'!H104/'Financial Statements'!H$36</f>
        <v>0.18125547445255474</v>
      </c>
      <c r="I39" s="20">
        <f>'Financial Statements'!I104/'Financial Statements'!I$36</f>
        <v>0.10606941501365504</v>
      </c>
      <c r="J39" s="145">
        <f>J40/Days_In_Year</f>
        <v>0.10606941501365504</v>
      </c>
      <c r="K39" s="140">
        <f>K40/Days_In_Year</f>
        <v>0.10606941501365504</v>
      </c>
      <c r="L39" s="140">
        <f>L40/Days_In_Year</f>
        <v>0.10606941501365504</v>
      </c>
      <c r="M39" s="140">
        <f>M40/Days_In_Year</f>
        <v>0.10606941501365504</v>
      </c>
      <c r="N39" s="20">
        <f>N40/Days_In_Year</f>
        <v>0.10606941501365504</v>
      </c>
    </row>
    <row r="40" spans="2:14" x14ac:dyDescent="0.2">
      <c r="B40" s="70" t="s">
        <v>219</v>
      </c>
      <c r="C40" s="3"/>
      <c r="D40" s="3"/>
      <c r="E40" s="3"/>
      <c r="F40" s="144">
        <f>F39*Days_In_Year</f>
        <v>39.837559551252497</v>
      </c>
      <c r="G40" s="144">
        <f>G39*Days_In_Year</f>
        <v>28.971935639287612</v>
      </c>
      <c r="H40" s="144">
        <f>H39*Days_In_Year</f>
        <v>66.158248175182479</v>
      </c>
      <c r="I40" s="139">
        <f>I39*Days_In_Year</f>
        <v>38.715336479984089</v>
      </c>
      <c r="J40" s="255">
        <f t="shared" ref="J40:N44" si="7">I40</f>
        <v>38.715336479984089</v>
      </c>
      <c r="K40" s="144">
        <f t="shared" si="7"/>
        <v>38.715336479984089</v>
      </c>
      <c r="L40" s="144">
        <f t="shared" si="7"/>
        <v>38.715336479984089</v>
      </c>
      <c r="M40" s="144">
        <f t="shared" si="7"/>
        <v>38.715336479984089</v>
      </c>
      <c r="N40" s="139">
        <f t="shared" si="7"/>
        <v>38.715336479984089</v>
      </c>
    </row>
    <row r="41" spans="2:14" x14ac:dyDescent="0.2">
      <c r="B41" s="70" t="s">
        <v>221</v>
      </c>
      <c r="C41" s="3"/>
      <c r="D41" s="3"/>
      <c r="E41" s="3"/>
      <c r="F41" s="140">
        <f>'Financial Statements'!F106/'Financial Statements'!F43</f>
        <v>0.45481469832782934</v>
      </c>
      <c r="G41" s="140">
        <f>'Financial Statements'!G106/'Financial Statements'!G43</f>
        <v>0.66645584368030364</v>
      </c>
      <c r="H41" s="140">
        <f>'Financial Statements'!H106/'Financial Statements'!H43</f>
        <v>0</v>
      </c>
      <c r="I41" s="20">
        <f>'Financial Statements'!I106/'Financial Statements'!I43</f>
        <v>0</v>
      </c>
      <c r="J41" s="145">
        <f t="shared" si="7"/>
        <v>0</v>
      </c>
      <c r="K41" s="140">
        <f t="shared" si="7"/>
        <v>0</v>
      </c>
      <c r="L41" s="140">
        <f t="shared" si="7"/>
        <v>0</v>
      </c>
      <c r="M41" s="140">
        <f t="shared" si="7"/>
        <v>0</v>
      </c>
      <c r="N41" s="20">
        <f t="shared" si="7"/>
        <v>0</v>
      </c>
    </row>
    <row r="42" spans="2:14" x14ac:dyDescent="0.2">
      <c r="B42" s="70" t="s">
        <v>222</v>
      </c>
      <c r="C42" s="3"/>
      <c r="D42" s="3"/>
      <c r="E42" s="3"/>
      <c r="F42" s="140">
        <f>'Financial Statements'!F107/'Financial Statements'!F$35</f>
        <v>9.5342881678218729E-3</v>
      </c>
      <c r="G42" s="140">
        <f>'Financial Statements'!G107/'Financial Statements'!G$35</f>
        <v>3.3428465610771008E-2</v>
      </c>
      <c r="H42" s="140">
        <f>'Financial Statements'!H107/'Financial Statements'!H$35</f>
        <v>7.2608429975557748E-2</v>
      </c>
      <c r="I42" s="20">
        <f>'Financial Statements'!I107/'Financial Statements'!I$35</f>
        <v>5.7267848351487897E-2</v>
      </c>
      <c r="J42" s="145">
        <f t="shared" si="7"/>
        <v>5.7267848351487897E-2</v>
      </c>
      <c r="K42" s="140">
        <f t="shared" si="7"/>
        <v>5.7267848351487897E-2</v>
      </c>
      <c r="L42" s="140">
        <f t="shared" si="7"/>
        <v>5.7267848351487897E-2</v>
      </c>
      <c r="M42" s="140">
        <f t="shared" si="7"/>
        <v>5.7267848351487897E-2</v>
      </c>
      <c r="N42" s="20">
        <f t="shared" si="7"/>
        <v>5.7267848351487897E-2</v>
      </c>
    </row>
    <row r="43" spans="2:14" x14ac:dyDescent="0.2">
      <c r="B43" s="70" t="s">
        <v>226</v>
      </c>
      <c r="C43" s="3"/>
      <c r="D43" s="3"/>
      <c r="E43" s="3"/>
      <c r="F43" s="140">
        <f>'Financial Statements'!F108/'Financial Statements'!F53</f>
        <v>0.30324454551595253</v>
      </c>
      <c r="G43" s="140">
        <f>'Financial Statements'!G108/'Financial Statements'!G53</f>
        <v>6.5412672574908057E-2</v>
      </c>
      <c r="H43" s="140">
        <f>'Financial Statements'!H108/'Financial Statements'!H53</f>
        <v>0</v>
      </c>
      <c r="I43" s="20">
        <f>'Financial Statements'!I108/'Financial Statements'!I53</f>
        <v>0</v>
      </c>
      <c r="J43" s="145">
        <f t="shared" si="7"/>
        <v>0</v>
      </c>
      <c r="K43" s="140">
        <f t="shared" si="7"/>
        <v>0</v>
      </c>
      <c r="L43" s="140">
        <f t="shared" si="7"/>
        <v>0</v>
      </c>
      <c r="M43" s="140">
        <f t="shared" si="7"/>
        <v>0</v>
      </c>
      <c r="N43" s="20">
        <f t="shared" si="7"/>
        <v>0</v>
      </c>
    </row>
    <row r="44" spans="2:14" x14ac:dyDescent="0.2">
      <c r="B44" s="70" t="s">
        <v>225</v>
      </c>
      <c r="C44" s="3"/>
      <c r="D44" s="3"/>
      <c r="E44" s="3"/>
      <c r="F44" s="140">
        <f>'Financial Statements'!F111/'Financial Statements'!F$35</f>
        <v>8.7579739925167151E-3</v>
      </c>
      <c r="G44" s="140">
        <f>'Financial Statements'!G111/'Financial Statements'!G$35</f>
        <v>0.3246116642338947</v>
      </c>
      <c r="H44" s="140">
        <f>'Financial Statements'!H111/'Financial Statements'!H$35</f>
        <v>0.16330802433823913</v>
      </c>
      <c r="I44" s="20">
        <f>'Financial Statements'!I111/'Financial Statements'!I$35</f>
        <v>0.12751750719287769</v>
      </c>
      <c r="J44" s="145">
        <f t="shared" si="7"/>
        <v>0.12751750719287769</v>
      </c>
      <c r="K44" s="140">
        <f t="shared" si="7"/>
        <v>0.12751750719287769</v>
      </c>
      <c r="L44" s="140">
        <f t="shared" si="7"/>
        <v>0.12751750719287769</v>
      </c>
      <c r="M44" s="140">
        <f t="shared" si="7"/>
        <v>0.12751750719287769</v>
      </c>
      <c r="N44" s="20">
        <f t="shared" si="7"/>
        <v>0.12751750719287769</v>
      </c>
    </row>
    <row r="45" spans="2:14" x14ac:dyDescent="0.2">
      <c r="B45" s="70"/>
      <c r="C45" s="3"/>
      <c r="D45" s="3"/>
      <c r="E45" s="3"/>
      <c r="F45" s="140"/>
      <c r="G45" s="140"/>
      <c r="H45" s="140"/>
      <c r="I45" s="20"/>
      <c r="J45" s="145"/>
      <c r="K45" s="140"/>
      <c r="L45" s="140"/>
      <c r="M45" s="140"/>
      <c r="N45" s="20"/>
    </row>
    <row r="46" spans="2:14" x14ac:dyDescent="0.2">
      <c r="B46" s="70" t="s">
        <v>223</v>
      </c>
      <c r="C46" s="3"/>
      <c r="D46" s="3"/>
      <c r="E46" s="3"/>
      <c r="F46" s="140">
        <f>'Financial Statements'!F116/'Financial Statements'!F$35</f>
        <v>0</v>
      </c>
      <c r="G46" s="140">
        <f>'Financial Statements'!G116/'Financial Statements'!G$35</f>
        <v>0</v>
      </c>
      <c r="H46" s="140">
        <f>'Financial Statements'!H116/'Financial Statements'!H$35</f>
        <v>5.8505382495189557E-5</v>
      </c>
      <c r="I46" s="20">
        <f>'Financial Statements'!I116/'Financial Statements'!I$35</f>
        <v>3.9310457143178043E-5</v>
      </c>
      <c r="J46" s="145">
        <f t="shared" ref="J46:K48" si="8">I46</f>
        <v>3.9310457143178043E-5</v>
      </c>
      <c r="K46" s="140">
        <f t="shared" si="8"/>
        <v>3.9310457143178043E-5</v>
      </c>
      <c r="L46" s="140">
        <f t="shared" ref="L46:N48" si="9">K46</f>
        <v>3.9310457143178043E-5</v>
      </c>
      <c r="M46" s="140">
        <f t="shared" si="9"/>
        <v>3.9310457143178043E-5</v>
      </c>
      <c r="N46" s="20">
        <f t="shared" si="9"/>
        <v>3.9310457143178043E-5</v>
      </c>
    </row>
    <row r="47" spans="2:14" x14ac:dyDescent="0.2">
      <c r="B47" s="70" t="s">
        <v>227</v>
      </c>
      <c r="C47" s="3"/>
      <c r="D47" s="3"/>
      <c r="E47" s="3"/>
      <c r="F47" s="140">
        <f>'Financial Statements'!F117/'Financial Statements'!F53</f>
        <v>0.39977033751379099</v>
      </c>
      <c r="G47" s="140">
        <f>'Financial Statements'!G117/'Financial Statements'!G53</f>
        <v>1.1121360101284139</v>
      </c>
      <c r="H47" s="140">
        <f>'Financial Statements'!H117/'Financial Statements'!H53</f>
        <v>0</v>
      </c>
      <c r="I47" s="20">
        <f>'Financial Statements'!I117/'Financial Statements'!I53</f>
        <v>0</v>
      </c>
      <c r="J47" s="145">
        <f t="shared" si="8"/>
        <v>0</v>
      </c>
      <c r="K47" s="140">
        <f t="shared" si="8"/>
        <v>0</v>
      </c>
      <c r="L47" s="140">
        <f t="shared" si="9"/>
        <v>0</v>
      </c>
      <c r="M47" s="140">
        <f t="shared" si="9"/>
        <v>0</v>
      </c>
      <c r="N47" s="20">
        <f t="shared" si="9"/>
        <v>0</v>
      </c>
    </row>
    <row r="48" spans="2:14" x14ac:dyDescent="0.2">
      <c r="B48" s="70" t="s">
        <v>224</v>
      </c>
      <c r="C48" s="3"/>
      <c r="D48" s="3"/>
      <c r="E48" s="3"/>
      <c r="F48" s="140">
        <f>'Financial Statements'!F119/'Financial Statements'!F$35</f>
        <v>4.4016055327240386E-2</v>
      </c>
      <c r="G48" s="140">
        <f>'Financial Statements'!G119/'Financial Statements'!G$35</f>
        <v>2.5687893509945318E-2</v>
      </c>
      <c r="H48" s="140">
        <f>'Financial Statements'!H119/'Financial Statements'!H$35</f>
        <v>6.3832622601279324E-2</v>
      </c>
      <c r="I48" s="20">
        <f>'Financial Statements'!I119/'Financial Statements'!I$35</f>
        <v>4.2324258857488362E-2</v>
      </c>
      <c r="J48" s="145">
        <f t="shared" si="8"/>
        <v>4.2324258857488362E-2</v>
      </c>
      <c r="K48" s="140">
        <f t="shared" si="8"/>
        <v>4.2324258857488362E-2</v>
      </c>
      <c r="L48" s="140">
        <f t="shared" si="9"/>
        <v>4.2324258857488362E-2</v>
      </c>
      <c r="M48" s="140">
        <f t="shared" si="9"/>
        <v>4.2324258857488362E-2</v>
      </c>
      <c r="N48" s="20">
        <f t="shared" si="9"/>
        <v>4.2324258857488362E-2</v>
      </c>
    </row>
    <row r="49" spans="2:14" x14ac:dyDescent="0.2">
      <c r="B49" s="18"/>
      <c r="C49" s="16"/>
      <c r="D49" s="16"/>
      <c r="E49" s="16"/>
      <c r="F49" s="146"/>
      <c r="G49" s="146"/>
      <c r="H49" s="146"/>
      <c r="I49" s="147"/>
      <c r="J49" s="148"/>
      <c r="K49" s="146"/>
      <c r="L49" s="146"/>
      <c r="M49" s="146"/>
      <c r="N49" s="147"/>
    </row>
    <row r="50" spans="2:14" x14ac:dyDescent="0.2">
      <c r="F50" s="104"/>
      <c r="G50" s="104"/>
      <c r="H50" s="104"/>
      <c r="I50" s="157"/>
      <c r="J50" s="105"/>
      <c r="K50" s="104"/>
      <c r="L50" s="104"/>
      <c r="M50" s="104"/>
      <c r="N50" s="104"/>
    </row>
    <row r="51" spans="2:14" x14ac:dyDescent="0.2">
      <c r="F51" s="104"/>
      <c r="G51" s="104"/>
      <c r="H51" s="104"/>
      <c r="I51" s="140"/>
      <c r="J51" s="105"/>
      <c r="K51" s="104"/>
      <c r="L51" s="104"/>
      <c r="M51" s="104"/>
      <c r="N51" s="104"/>
    </row>
    <row r="52" spans="2:14" x14ac:dyDescent="0.2">
      <c r="F52" s="104"/>
      <c r="G52" s="104"/>
      <c r="H52" s="104"/>
      <c r="I52" s="140"/>
      <c r="J52" s="105"/>
      <c r="K52" s="104"/>
      <c r="L52" s="104"/>
      <c r="M52" s="104"/>
      <c r="N52" s="104"/>
    </row>
    <row r="53" spans="2:14" x14ac:dyDescent="0.2">
      <c r="F53" s="104"/>
      <c r="G53" s="104"/>
      <c r="H53" s="104"/>
      <c r="I53" s="140"/>
      <c r="J53" s="105"/>
      <c r="K53" s="104"/>
      <c r="L53" s="104"/>
      <c r="M53" s="104"/>
      <c r="N53" s="104"/>
    </row>
    <row r="54" spans="2:14" x14ac:dyDescent="0.2">
      <c r="F54" s="104"/>
      <c r="G54" s="104"/>
      <c r="H54" s="104"/>
      <c r="I54" s="140"/>
      <c r="J54" s="105"/>
      <c r="K54" s="104"/>
      <c r="L54" s="104"/>
      <c r="M54" s="104"/>
      <c r="N54" s="104"/>
    </row>
    <row r="55" spans="2:14" x14ac:dyDescent="0.2">
      <c r="F55" s="104"/>
      <c r="G55" s="104"/>
      <c r="H55" s="104"/>
      <c r="I55" s="140"/>
      <c r="J55" s="105"/>
      <c r="K55" s="104"/>
      <c r="L55" s="104"/>
      <c r="M55" s="104"/>
      <c r="N55" s="104"/>
    </row>
    <row r="56" spans="2:14" x14ac:dyDescent="0.2">
      <c r="F56" s="104"/>
      <c r="G56" s="104"/>
      <c r="H56" s="104"/>
      <c r="I56" s="140"/>
      <c r="J56" s="105"/>
      <c r="K56" s="104"/>
      <c r="L56" s="104"/>
      <c r="M56" s="104"/>
      <c r="N56" s="104"/>
    </row>
    <row r="57" spans="2:14" x14ac:dyDescent="0.2">
      <c r="F57" s="104"/>
      <c r="G57" s="104"/>
      <c r="H57" s="104"/>
      <c r="I57" s="140"/>
      <c r="J57" s="105"/>
      <c r="K57" s="104"/>
      <c r="L57" s="104"/>
      <c r="M57" s="104"/>
      <c r="N57" s="104"/>
    </row>
    <row r="58" spans="2:14" x14ac:dyDescent="0.2">
      <c r="F58" s="104"/>
      <c r="G58" s="104"/>
      <c r="H58" s="104"/>
      <c r="I58" s="140"/>
      <c r="J58" s="105"/>
      <c r="K58" s="104"/>
      <c r="L58" s="104"/>
      <c r="M58" s="104"/>
      <c r="N58" s="104"/>
    </row>
    <row r="59" spans="2:14" x14ac:dyDescent="0.2">
      <c r="F59" s="104"/>
      <c r="G59" s="104"/>
      <c r="H59" s="104"/>
      <c r="I59" s="140"/>
      <c r="J59" s="105"/>
      <c r="K59" s="104"/>
      <c r="L59" s="104"/>
      <c r="M59" s="104"/>
      <c r="N59" s="104"/>
    </row>
    <row r="60" spans="2:14" x14ac:dyDescent="0.2">
      <c r="F60" s="104"/>
      <c r="G60" s="104"/>
      <c r="H60" s="104"/>
      <c r="I60" s="140"/>
      <c r="J60" s="105"/>
      <c r="K60" s="104"/>
      <c r="L60" s="104"/>
      <c r="M60" s="104"/>
      <c r="N60" s="104"/>
    </row>
    <row r="61" spans="2:14" x14ac:dyDescent="0.2">
      <c r="F61" s="104"/>
      <c r="G61" s="104"/>
      <c r="H61" s="104"/>
      <c r="I61" s="140"/>
      <c r="J61" s="105"/>
      <c r="K61" s="104"/>
      <c r="L61" s="104"/>
      <c r="M61" s="104"/>
      <c r="N61" s="104"/>
    </row>
    <row r="62" spans="2:14" x14ac:dyDescent="0.2">
      <c r="F62" s="104"/>
      <c r="G62" s="104"/>
      <c r="H62" s="104"/>
      <c r="I62" s="140"/>
      <c r="J62" s="105"/>
      <c r="K62" s="104"/>
      <c r="L62" s="104"/>
      <c r="M62" s="104"/>
      <c r="N62" s="104"/>
    </row>
    <row r="63" spans="2:14" x14ac:dyDescent="0.2">
      <c r="F63" s="104"/>
      <c r="G63" s="104"/>
      <c r="H63" s="104"/>
      <c r="I63" s="140"/>
      <c r="J63" s="105"/>
      <c r="K63" s="104"/>
      <c r="L63" s="104"/>
      <c r="M63" s="104"/>
      <c r="N63" s="104"/>
    </row>
    <row r="64" spans="2:14" x14ac:dyDescent="0.2">
      <c r="F64" s="104"/>
      <c r="G64" s="104"/>
      <c r="H64" s="104"/>
      <c r="I64" s="140"/>
      <c r="J64" s="105"/>
      <c r="K64" s="104"/>
      <c r="L64" s="104"/>
      <c r="M64" s="104"/>
      <c r="N64" s="104"/>
    </row>
    <row r="65" spans="6:14" x14ac:dyDescent="0.2">
      <c r="F65" s="104"/>
      <c r="G65" s="104"/>
      <c r="H65" s="104"/>
      <c r="I65" s="140"/>
      <c r="J65" s="105"/>
      <c r="K65" s="104"/>
      <c r="L65" s="104"/>
      <c r="M65" s="104"/>
      <c r="N65" s="104"/>
    </row>
    <row r="66" spans="6:14" x14ac:dyDescent="0.2">
      <c r="F66" s="104"/>
      <c r="G66" s="104"/>
      <c r="H66" s="104"/>
      <c r="I66" s="140"/>
      <c r="J66" s="105"/>
      <c r="K66" s="104"/>
      <c r="L66" s="104"/>
      <c r="M66" s="104"/>
      <c r="N66" s="104"/>
    </row>
    <row r="67" spans="6:14" x14ac:dyDescent="0.2">
      <c r="F67" s="104"/>
      <c r="G67" s="104"/>
      <c r="H67" s="104"/>
      <c r="I67" s="140"/>
      <c r="J67" s="105"/>
      <c r="K67" s="104"/>
      <c r="L67" s="104"/>
      <c r="M67" s="104"/>
      <c r="N67" s="104"/>
    </row>
    <row r="68" spans="6:14" x14ac:dyDescent="0.2">
      <c r="F68" s="104"/>
      <c r="G68" s="104"/>
      <c r="H68" s="104"/>
      <c r="I68" s="140"/>
      <c r="J68" s="105"/>
      <c r="K68" s="104"/>
      <c r="L68" s="104"/>
      <c r="M68" s="104"/>
      <c r="N68" s="104"/>
    </row>
    <row r="69" spans="6:14" x14ac:dyDescent="0.2">
      <c r="F69" s="104"/>
      <c r="G69" s="104"/>
      <c r="H69" s="104"/>
      <c r="I69" s="140"/>
      <c r="J69" s="105"/>
      <c r="K69" s="104"/>
      <c r="L69" s="104"/>
      <c r="M69" s="104"/>
      <c r="N69" s="104"/>
    </row>
    <row r="70" spans="6:14" x14ac:dyDescent="0.2">
      <c r="F70" s="104"/>
      <c r="G70" s="104"/>
      <c r="H70" s="104"/>
      <c r="I70" s="140"/>
      <c r="J70" s="105"/>
      <c r="K70" s="104"/>
      <c r="L70" s="104"/>
      <c r="M70" s="104"/>
      <c r="N70" s="104"/>
    </row>
    <row r="71" spans="6:14" x14ac:dyDescent="0.2">
      <c r="F71" s="104"/>
      <c r="G71" s="104"/>
      <c r="H71" s="104"/>
      <c r="I71" s="140"/>
      <c r="J71" s="105"/>
      <c r="K71" s="104"/>
      <c r="L71" s="104"/>
      <c r="M71" s="104"/>
      <c r="N71" s="10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67"/>
  <sheetViews>
    <sheetView workbookViewId="0">
      <selection activeCell="G24" sqref="G24"/>
    </sheetView>
  </sheetViews>
  <sheetFormatPr defaultRowHeight="12.75" x14ac:dyDescent="0.2"/>
  <cols>
    <col min="1" max="1" width="2.85546875" customWidth="1"/>
    <col min="2" max="2" width="41.5703125" bestFit="1" customWidth="1"/>
  </cols>
  <sheetData>
    <row r="1" spans="2:11" x14ac:dyDescent="0.2">
      <c r="B1" s="1" t="str">
        <f>"Ratios - "&amp;TEXT(Company_Name,"")</f>
        <v>Ratios - Cymer Inc.</v>
      </c>
    </row>
    <row r="2" spans="2:11" x14ac:dyDescent="0.2">
      <c r="B2" s="1"/>
    </row>
    <row r="3" spans="2:11" x14ac:dyDescent="0.2">
      <c r="B3" s="35" t="s">
        <v>297</v>
      </c>
      <c r="C3" s="36"/>
      <c r="D3" s="36"/>
      <c r="E3" s="36"/>
      <c r="F3" s="36"/>
      <c r="G3" s="36"/>
      <c r="H3" s="36"/>
      <c r="I3" s="36"/>
      <c r="J3" s="36"/>
      <c r="K3" s="37"/>
    </row>
    <row r="4" spans="2:11" x14ac:dyDescent="0.2">
      <c r="B4" s="2"/>
      <c r="C4" s="71" t="str">
        <f>'Financial Statements'!F21</f>
        <v>FY 2007</v>
      </c>
      <c r="D4" s="71" t="str">
        <f>'Financial Statements'!G21</f>
        <v>FY 2008</v>
      </c>
      <c r="E4" s="71" t="str">
        <f>'Financial Statements'!H21</f>
        <v>FY 2009</v>
      </c>
      <c r="F4" s="72" t="str">
        <f>'Financial Statements'!I21</f>
        <v>FY 2010</v>
      </c>
      <c r="G4" s="71" t="str">
        <f>'Financial Statements'!J21</f>
        <v>FY 2011</v>
      </c>
      <c r="H4" s="71" t="str">
        <f>'Financial Statements'!K21</f>
        <v>FY 2012</v>
      </c>
      <c r="I4" s="71" t="str">
        <f>'Financial Statements'!L21</f>
        <v>FY 2013</v>
      </c>
      <c r="J4" s="71" t="str">
        <f>'Financial Statements'!M21</f>
        <v>FY 2014</v>
      </c>
      <c r="K4" s="72" t="str">
        <f>'Financial Statements'!N21</f>
        <v>FY 2015</v>
      </c>
    </row>
    <row r="5" spans="2:11" x14ac:dyDescent="0.2">
      <c r="B5" s="2"/>
      <c r="C5" s="160"/>
      <c r="D5" s="160"/>
      <c r="E5" s="160"/>
      <c r="F5" s="158"/>
      <c r="G5" s="160"/>
      <c r="H5" s="160"/>
      <c r="I5" s="160"/>
      <c r="J5" s="160"/>
      <c r="K5" s="158"/>
    </row>
    <row r="6" spans="2:11" x14ac:dyDescent="0.2">
      <c r="B6" s="161" t="s">
        <v>240</v>
      </c>
      <c r="C6" s="3"/>
      <c r="D6" s="3"/>
      <c r="E6" s="3"/>
      <c r="F6" s="12"/>
      <c r="G6" s="3"/>
      <c r="H6" s="3"/>
      <c r="I6" s="3"/>
      <c r="J6" s="3"/>
      <c r="K6" s="12"/>
    </row>
    <row r="7" spans="2:11" x14ac:dyDescent="0.2">
      <c r="B7" s="162" t="s">
        <v>296</v>
      </c>
      <c r="C7" s="131">
        <f>'Financial Statements'!F28</f>
        <v>17.988458905226093</v>
      </c>
      <c r="D7" s="131">
        <f>'Financial Statements'!G28</f>
        <v>36.935960591133004</v>
      </c>
      <c r="E7" s="131">
        <f>'Financial Statements'!H28</f>
        <v>112.5</v>
      </c>
      <c r="F7" s="129">
        <f>'Financial Statements'!I28</f>
        <v>14.900662251655628</v>
      </c>
      <c r="G7" s="131">
        <f ca="1">'Financial Statements'!J28</f>
        <v>16.921884562722941</v>
      </c>
      <c r="H7" s="131">
        <f ca="1">'Financial Statements'!K28</f>
        <v>15.703854570916466</v>
      </c>
      <c r="I7" s="131">
        <f ca="1">'Financial Statements'!L28</f>
        <v>13.968266763284701</v>
      </c>
      <c r="J7" s="131">
        <f ca="1">'Financial Statements'!M28</f>
        <v>13.039709341578732</v>
      </c>
      <c r="K7" s="129">
        <f ca="1">'Financial Statements'!N28</f>
        <v>11.558841949980389</v>
      </c>
    </row>
    <row r="8" spans="2:11" x14ac:dyDescent="0.2">
      <c r="B8" s="163" t="s">
        <v>241</v>
      </c>
      <c r="C8" s="140">
        <f>('Financial Statements'!F57+'Financial Statements'!F49*(1+'Operating Assumptions'!F19))/('Financial Statements'!F99)</f>
        <v>9.9928395538751116E-2</v>
      </c>
      <c r="D8" s="140">
        <f>('Financial Statements'!G57+'Financial Statements'!G49*(1+'Operating Assumptions'!G19))/('Financial Statements'!G99)</f>
        <v>3.5626069231179877E-2</v>
      </c>
      <c r="E8" s="140">
        <f>('Financial Statements'!H57+'Financial Statements'!H49*(1+'Operating Assumptions'!H19))/('Financial Statements'!H99)</f>
        <v>1.5843195310682096E-2</v>
      </c>
      <c r="F8" s="20">
        <f>('Financial Statements'!I57+'Financial Statements'!I49*(1+'Operating Assumptions'!I19))/('Financial Statements'!I99)</f>
        <v>0.11701863378209736</v>
      </c>
      <c r="G8" s="140">
        <f ca="1">('Financial Statements'!J57+'Financial Statements'!J49*(1+'Operating Assumptions'!J19))/('Financial Statements'!J99)</f>
        <v>9.0522254575886529E-2</v>
      </c>
      <c r="H8" s="140">
        <f ca="1">('Financial Statements'!K57+'Financial Statements'!K49*(1+'Operating Assumptions'!K19))/('Financial Statements'!K99)</f>
        <v>8.5677032608800177E-2</v>
      </c>
      <c r="I8" s="140">
        <f ca="1">('Financial Statements'!L57+'Financial Statements'!L49*(1+'Operating Assumptions'!L19))/('Financial Statements'!L99)</f>
        <v>8.5025082032870083E-2</v>
      </c>
      <c r="J8" s="140">
        <f ca="1">('Financial Statements'!M57+'Financial Statements'!M49*(1+'Operating Assumptions'!M19))/('Financial Statements'!M99)</f>
        <v>8.0939696856244095E-2</v>
      </c>
      <c r="K8" s="20">
        <f ca="1">('Financial Statements'!N57+'Financial Statements'!N49*(1+'Operating Assumptions'!N19))/('Financial Statements'!N99)</f>
        <v>8.1394527410487888E-2</v>
      </c>
    </row>
    <row r="9" spans="2:11" x14ac:dyDescent="0.2">
      <c r="B9" s="163" t="s">
        <v>242</v>
      </c>
      <c r="C9" s="140">
        <f>('Financial Statements'!F48-'Financial Statements'!F53)/'Financial Statements'!F99</f>
        <v>8.8206036124066925E-2</v>
      </c>
      <c r="D9" s="140">
        <f>('Financial Statements'!G48-'Financial Statements'!G53)/'Financial Statements'!G99</f>
        <v>5.5971205616809246E-2</v>
      </c>
      <c r="E9" s="140">
        <f>('Financial Statements'!H48-'Financial Statements'!H53)/'Financial Statements'!H99</f>
        <v>1.4621209477614545E-2</v>
      </c>
      <c r="F9" s="20">
        <f>('Financial Statements'!I48-'Financial Statements'!I53)/'Financial Statements'!I99</f>
        <v>0.11784920179851542</v>
      </c>
      <c r="G9" s="140">
        <f ca="1">('Financial Statements'!J48-'Financial Statements'!J53)/'Financial Statements'!J99</f>
        <v>8.7406761515364931E-2</v>
      </c>
      <c r="H9" s="140">
        <f ca="1">('Financial Statements'!K48-'Financial Statements'!K53)/'Financial Statements'!K99</f>
        <v>8.1947266926144013E-2</v>
      </c>
      <c r="I9" s="140">
        <f ca="1">('Financial Statements'!L48-'Financial Statements'!L53)/'Financial Statements'!L99</f>
        <v>7.686901498954804E-2</v>
      </c>
      <c r="J9" s="140">
        <f ca="1">('Financial Statements'!M48-'Financial Statements'!M53)/'Financial Statements'!M99</f>
        <v>7.2127417509119107E-2</v>
      </c>
      <c r="K9" s="20">
        <f ca="1">('Financial Statements'!N48-'Financial Statements'!N53)/'Financial Statements'!N99</f>
        <v>6.7260327895471067E-2</v>
      </c>
    </row>
    <row r="10" spans="2:11" x14ac:dyDescent="0.2">
      <c r="B10" s="163" t="s">
        <v>243</v>
      </c>
      <c r="C10" s="140">
        <f>('Financial Statements'!F57+'Financial Statements'!F49*(1+'Operating Assumptions'!F19))/('Financial Statements'!F120+'Financial Statements'!F128)</f>
        <v>0.1148998444619173</v>
      </c>
      <c r="D10" s="140">
        <f>('Financial Statements'!G57+'Financial Statements'!G49*(1+'Operating Assumptions'!G19))/('Financial Statements'!G120+'Financial Statements'!G128)</f>
        <v>5.0107102978880096E-2</v>
      </c>
      <c r="E10" s="140">
        <f>('Financial Statements'!H57+'Financial Statements'!H49*(1+'Operating Assumptions'!H19))/('Financial Statements'!H120+'Financial Statements'!H128)</f>
        <v>1.8798649663753289E-2</v>
      </c>
      <c r="F10" s="20">
        <f>('Financial Statements'!I57+'Financial Statements'!I49*(1+'Operating Assumptions'!I19))/('Financial Statements'!I120+'Financial Statements'!I128)</f>
        <v>0.13997971797589434</v>
      </c>
      <c r="G10" s="140">
        <f ca="1">('Financial Statements'!J57+'Financial Statements'!J49*(1+'Operating Assumptions'!J19))/('Financial Statements'!J120+'Financial Statements'!J128)</f>
        <v>0.10686229952671943</v>
      </c>
      <c r="H10" s="140">
        <f ca="1">('Financial Statements'!K57+'Financial Statements'!K49*(1+'Operating Assumptions'!K19))/('Financial Statements'!K120+'Financial Statements'!K128)</f>
        <v>0.10005578882355706</v>
      </c>
      <c r="I10" s="140">
        <f ca="1">('Financial Statements'!L57+'Financial Statements'!L49*(1+'Operating Assumptions'!L19))/('Financial Statements'!L120+'Financial Statements'!L128)</f>
        <v>9.8233945531507785E-2</v>
      </c>
      <c r="J10" s="140">
        <f ca="1">('Financial Statements'!M57+'Financial Statements'!M49*(1+'Operating Assumptions'!M19))/('Financial Statements'!M120+'Financial Statements'!M128)</f>
        <v>9.2678648885502438E-2</v>
      </c>
      <c r="K10" s="20">
        <f ca="1">('Financial Statements'!N57+'Financial Statements'!N49*(1+'Operating Assumptions'!N19))/('Financial Statements'!N120+'Financial Statements'!N128)</f>
        <v>9.2342125549154733E-2</v>
      </c>
    </row>
    <row r="11" spans="2:11" x14ac:dyDescent="0.2">
      <c r="B11" s="163" t="s">
        <v>244</v>
      </c>
      <c r="C11" s="140">
        <f>('Financial Statements'!F57+'Financial Statements'!F49*(1+'Operating Assumptions'!F19))/('Financial Statements'!F120+'Financial Statements'!F128+'Financial Statements'!F110)</f>
        <v>0.1148998444619173</v>
      </c>
      <c r="D11" s="140">
        <f>('Financial Statements'!G57+'Financial Statements'!G49*(1+'Operating Assumptions'!G19))/('Financial Statements'!G120+'Financial Statements'!G128+'Financial Statements'!G110)</f>
        <v>5.0107102978880096E-2</v>
      </c>
      <c r="E11" s="140">
        <f>('Financial Statements'!H57+'Financial Statements'!H49*(1+'Operating Assumptions'!H19))/('Financial Statements'!H120+'Financial Statements'!H128+'Financial Statements'!H110)</f>
        <v>1.8798649663753289E-2</v>
      </c>
      <c r="F11" s="20">
        <f>('Financial Statements'!I57+'Financial Statements'!I49*(1+'Operating Assumptions'!I19))/('Financial Statements'!I120+'Financial Statements'!I128+'Financial Statements'!I110)</f>
        <v>0.13997971797589434</v>
      </c>
      <c r="G11" s="140">
        <f ca="1">('Financial Statements'!J57+'Financial Statements'!J49*(1+'Operating Assumptions'!J19))/('Financial Statements'!J120+'Financial Statements'!J128+'Financial Statements'!J110)</f>
        <v>0.10686229952671943</v>
      </c>
      <c r="H11" s="140">
        <f ca="1">('Financial Statements'!K57+'Financial Statements'!K49*(1+'Operating Assumptions'!K19))/('Financial Statements'!K120+'Financial Statements'!K128+'Financial Statements'!K110)</f>
        <v>0.10005578882355706</v>
      </c>
      <c r="I11" s="140">
        <f ca="1">('Financial Statements'!L57+'Financial Statements'!L49*(1+'Operating Assumptions'!L19))/('Financial Statements'!L120+'Financial Statements'!L128+'Financial Statements'!L110)</f>
        <v>9.8233945531507785E-2</v>
      </c>
      <c r="J11" s="140">
        <f ca="1">('Financial Statements'!M57+'Financial Statements'!M49*(1+'Operating Assumptions'!M19))/('Financial Statements'!M120+'Financial Statements'!M128+'Financial Statements'!M110)</f>
        <v>9.2678648885502438E-2</v>
      </c>
      <c r="K11" s="20">
        <f ca="1">('Financial Statements'!N57+'Financial Statements'!N49*(1+'Operating Assumptions'!N19))/('Financial Statements'!N120+'Financial Statements'!N128+'Financial Statements'!N110)</f>
        <v>9.2342125549154733E-2</v>
      </c>
    </row>
    <row r="12" spans="2:11" x14ac:dyDescent="0.2">
      <c r="B12" s="163" t="s">
        <v>245</v>
      </c>
      <c r="C12" s="140">
        <f>'Financial Statements'!F48/('Financial Statements'!F120+'Financial Statements'!F128)</f>
        <v>0.1657250743476662</v>
      </c>
      <c r="D12" s="140">
        <f>'Financial Statements'!G48/('Financial Statements'!G120+'Financial Statements'!G128)</f>
        <v>0.1087429458801044</v>
      </c>
      <c r="E12" s="140">
        <f>'Financial Statements'!H48/('Financial Statements'!H120+'Financial Statements'!H128)</f>
        <v>3.2450746010714904E-2</v>
      </c>
      <c r="F12" s="20">
        <f>'Financial Statements'!I48/('Financial Statements'!I120+'Financial Statements'!I128)</f>
        <v>0.18794779124567629</v>
      </c>
      <c r="G12" s="140">
        <f ca="1">'Financial Statements'!J48/('Financial Statements'!J120+'Financial Statements'!J128)</f>
        <v>0.13880519970135585</v>
      </c>
      <c r="H12" s="140">
        <f ca="1">'Financial Statements'!K48/('Financial Statements'!K120+'Financial Statements'!K128)</f>
        <v>0.12905200446534398</v>
      </c>
      <c r="I12" s="140">
        <f ca="1">'Financial Statements'!L48/('Financial Statements'!L120+'Financial Statements'!L128)</f>
        <v>0.12155546116722782</v>
      </c>
      <c r="J12" s="140">
        <f ca="1">'Financial Statements'!M48/('Financial Statements'!M120+'Financial Statements'!M128)</f>
        <v>0.11348117847050457</v>
      </c>
      <c r="K12" s="20">
        <f ca="1">'Financial Statements'!N48/('Financial Statements'!N120+'Financial Statements'!N128)</f>
        <v>0.10708757877656662</v>
      </c>
    </row>
    <row r="13" spans="2:11" x14ac:dyDescent="0.2">
      <c r="B13" s="163" t="s">
        <v>246</v>
      </c>
      <c r="C13" s="140">
        <f>'Financial Statements'!F57/'Financial Statements'!F128</f>
        <v>0.17548751496952472</v>
      </c>
      <c r="D13" s="140">
        <f>'Financial Statements'!G57/'Financial Statements'!G128</f>
        <v>7.0618520837681761E-2</v>
      </c>
      <c r="E13" s="140">
        <f>'Financial Statements'!H57/'Financial Statements'!H128</f>
        <v>2.2350330607971543E-2</v>
      </c>
      <c r="F13" s="20">
        <f>'Financial Statements'!I57/'Financial Statements'!I128</f>
        <v>0.14629082218526751</v>
      </c>
      <c r="G13" s="140">
        <f ca="1">'Financial Statements'!J57/'Financial Statements'!J128</f>
        <v>0.11042998858095776</v>
      </c>
      <c r="H13" s="140">
        <f ca="1">'Financial Statements'!K57/'Financial Statements'!K128</f>
        <v>0.10315425040364443</v>
      </c>
      <c r="I13" s="140">
        <f ca="1">'Financial Statements'!L57/'Financial Statements'!L128</f>
        <v>0.10104344278344557</v>
      </c>
      <c r="J13" s="140">
        <f ca="1">'Financial Statements'!M57/'Financial Statements'!M128</f>
        <v>9.5148505897533819E-2</v>
      </c>
      <c r="K13" s="20">
        <f ca="1">'Financial Statements'!N57/'Financial Statements'!N128</f>
        <v>9.4619886524089952E-2</v>
      </c>
    </row>
    <row r="14" spans="2:11" x14ac:dyDescent="0.2">
      <c r="B14" s="161" t="s">
        <v>247</v>
      </c>
      <c r="C14" s="140"/>
      <c r="D14" s="140"/>
      <c r="E14" s="140"/>
      <c r="F14" s="20"/>
      <c r="G14" s="140"/>
      <c r="H14" s="140"/>
      <c r="I14" s="140"/>
      <c r="J14" s="140"/>
      <c r="K14" s="20"/>
    </row>
    <row r="15" spans="2:11" x14ac:dyDescent="0.2">
      <c r="B15" s="163" t="s">
        <v>248</v>
      </c>
      <c r="C15" s="140">
        <f>'Financial Statements'!F37/'Financial Statements'!F35</f>
        <v>0.50108875667055142</v>
      </c>
      <c r="D15" s="140">
        <f>'Financial Statements'!G37/'Financial Statements'!G35</f>
        <v>0.47546240822640029</v>
      </c>
      <c r="E15" s="140">
        <f>'Financial Statements'!H37/'Financial Statements'!H35</f>
        <v>0.44338629153882159</v>
      </c>
      <c r="F15" s="20">
        <f>'Financial Statements'!I37/'Financial Statements'!I35</f>
        <v>0.51059978397967831</v>
      </c>
      <c r="G15" s="140">
        <f>'Financial Statements'!J37/'Financial Statements'!J35</f>
        <v>0.51059978397967831</v>
      </c>
      <c r="H15" s="140">
        <f>'Financial Statements'!K37/'Financial Statements'!K35</f>
        <v>0.51059978397967842</v>
      </c>
      <c r="I15" s="140">
        <f>'Financial Statements'!L37/'Financial Statements'!L35</f>
        <v>0.51059978397967831</v>
      </c>
      <c r="J15" s="140">
        <f>'Financial Statements'!M37/'Financial Statements'!M35</f>
        <v>0.51059978397967831</v>
      </c>
      <c r="K15" s="20">
        <f>'Financial Statements'!N37/'Financial Statements'!N35</f>
        <v>0.51059978397967842</v>
      </c>
    </row>
    <row r="16" spans="2:11" x14ac:dyDescent="0.2">
      <c r="B16" s="163" t="s">
        <v>249</v>
      </c>
      <c r="C16" s="140">
        <f>'Financial Statements'!F57/'Financial Statements'!F35</f>
        <v>0.16937450162546772</v>
      </c>
      <c r="D16" s="140">
        <f>'Financial Statements'!G57/'Financial Statements'!G35</f>
        <v>7.9606108799372563E-2</v>
      </c>
      <c r="E16" s="140">
        <f>'Financial Statements'!H57/'Financial Statements'!H35</f>
        <v>3.8925581153466116E-2</v>
      </c>
      <c r="F16" s="20">
        <f>'Financial Statements'!I57/'Financial Statements'!I35</f>
        <v>0.17027230915241037</v>
      </c>
      <c r="G16" s="140">
        <f ca="1">'Financial Statements'!J57/'Financial Statements'!J35</f>
        <v>0.14012547275690396</v>
      </c>
      <c r="H16" s="140">
        <f ca="1">'Financial Statements'!K57/'Financial Statements'!K35</f>
        <v>0.14111584364489954</v>
      </c>
      <c r="I16" s="140">
        <f ca="1">'Financial Statements'!L57/'Financial Statements'!L35</f>
        <v>0.1496696197988075</v>
      </c>
      <c r="J16" s="140">
        <f ca="1">'Financial Statements'!M57/'Financial Statements'!M35</f>
        <v>0.15125244358963677</v>
      </c>
      <c r="K16" s="20">
        <f ca="1">'Financial Statements'!N57/'Financial Statements'!N35</f>
        <v>0.16250498434319635</v>
      </c>
    </row>
    <row r="17" spans="2:11" x14ac:dyDescent="0.2">
      <c r="B17" s="163" t="s">
        <v>250</v>
      </c>
      <c r="C17" s="140">
        <f>'Financial Statements'!F48/'Financial Statements'!F35</f>
        <v>0.21940363736735571</v>
      </c>
      <c r="D17" s="140">
        <f>'Financial Statements'!G48/'Financial Statements'!G35</f>
        <v>0.13089475174832793</v>
      </c>
      <c r="E17" s="140">
        <f>'Financial Statements'!H48/'Financial Statements'!H35</f>
        <v>5.8589890269904833E-2</v>
      </c>
      <c r="F17" s="20">
        <f>'Financial Statements'!I48/'Financial Statements'!I35</f>
        <v>0.22672025368348342</v>
      </c>
      <c r="G17" s="140">
        <f>'Financial Statements'!J48/'Financial Statements'!J35</f>
        <v>0.18201128288845886</v>
      </c>
      <c r="H17" s="140">
        <f>'Financial Statements'!K48/'Financial Statements'!K35</f>
        <v>0.18201128288845897</v>
      </c>
      <c r="I17" s="140">
        <f>'Financial Statements'!L48/'Financial Statements'!L35</f>
        <v>0.1852023713282735</v>
      </c>
      <c r="J17" s="140">
        <f>'Financial Statements'!M48/'Financial Statements'!M35</f>
        <v>0.18520237132827341</v>
      </c>
      <c r="K17" s="20">
        <f>'Financial Statements'!N48/'Financial Statements'!N35</f>
        <v>0.18845424240503697</v>
      </c>
    </row>
    <row r="18" spans="2:11" x14ac:dyDescent="0.2">
      <c r="B18" s="163" t="s">
        <v>251</v>
      </c>
      <c r="C18" s="140">
        <f>('Financial Statements'!F48-'Financial Statements'!F53)/'Financial Statements'!F35</f>
        <v>0.13427168312580506</v>
      </c>
      <c r="D18" s="140">
        <f>('Financial Statements'!G48-'Financial Statements'!G53)/'Financial Statements'!G35</f>
        <v>9.475828413324329E-2</v>
      </c>
      <c r="E18" s="140">
        <f>('Financial Statements'!H48-'Financial Statements'!H53)/'Financial Statements'!H35</f>
        <v>3.1323131728118986E-2</v>
      </c>
      <c r="F18" s="20">
        <f>('Financial Statements'!I48-'Financial Statements'!I53)/'Financial Statements'!I35</f>
        <v>0.17005516567485759</v>
      </c>
      <c r="G18" s="140">
        <f ca="1">('Financial Statements'!J48-'Financial Statements'!J53)/'Financial Statements'!J35</f>
        <v>0.13530279196949088</v>
      </c>
      <c r="H18" s="140">
        <f ca="1">('Financial Statements'!K48-'Financial Statements'!K53)/'Financial Statements'!K35</f>
        <v>0.13497266834015911</v>
      </c>
      <c r="I18" s="140">
        <f ca="1">('Financial Statements'!L48-'Financial Statements'!L53)/'Financial Statements'!L35</f>
        <v>0.13531249806200432</v>
      </c>
      <c r="J18" s="140">
        <f ca="1">('Financial Statements'!M48-'Financial Statements'!M53)/'Financial Statements'!M35</f>
        <v>0.13478489013172781</v>
      </c>
      <c r="K18" s="20">
        <f ca="1">('Financial Statements'!N48-'Financial Statements'!N53)/'Financial Statements'!N35</f>
        <v>0.13428591429063819</v>
      </c>
    </row>
    <row r="19" spans="2:11" x14ac:dyDescent="0.2">
      <c r="B19" s="163" t="s">
        <v>252</v>
      </c>
      <c r="C19" s="136">
        <f>'Financial Statements'!F62</f>
        <v>2.5016039582427143</v>
      </c>
      <c r="D19" s="136">
        <f>'Financial Statements'!G62</f>
        <v>1.2183248866364365</v>
      </c>
      <c r="E19" s="136">
        <f>'Financial Statements'!H62</f>
        <v>0.4</v>
      </c>
      <c r="F19" s="137">
        <f>'Financial Statements'!I62</f>
        <v>3.02</v>
      </c>
      <c r="G19" s="136">
        <f ca="1">'Financial Statements'!J62</f>
        <v>2.659278275608266</v>
      </c>
      <c r="H19" s="136">
        <f ca="1">'Financial Statements'!K62</f>
        <v>2.8655385081914848</v>
      </c>
      <c r="I19" s="136">
        <f ca="1">'Financial Statements'!L62</f>
        <v>3.221587958090947</v>
      </c>
      <c r="J19" s="136">
        <f ca="1">'Financial Statements'!M62</f>
        <v>3.45099716728439</v>
      </c>
      <c r="K19" s="137">
        <f ca="1">'Financial Statements'!N62</f>
        <v>3.8931235667666821</v>
      </c>
    </row>
    <row r="20" spans="2:11" x14ac:dyDescent="0.2">
      <c r="B20" s="161" t="s">
        <v>253</v>
      </c>
      <c r="C20" s="140"/>
      <c r="D20" s="140"/>
      <c r="E20" s="140"/>
      <c r="F20" s="20"/>
      <c r="G20" s="140"/>
      <c r="H20" s="140"/>
      <c r="I20" s="140"/>
      <c r="J20" s="140"/>
      <c r="K20" s="20"/>
    </row>
    <row r="21" spans="2:11" x14ac:dyDescent="0.2">
      <c r="B21" s="163" t="s">
        <v>254</v>
      </c>
      <c r="C21" s="131">
        <f>'Financial Statements'!F35/'Financial Statements'!F99</f>
        <v>0.65692210055505751</v>
      </c>
      <c r="D21" s="131">
        <f>'Financial Statements'!G35/'Financial Statements'!G99</f>
        <v>0.59067348178346046</v>
      </c>
      <c r="E21" s="131">
        <f>'Financial Statements'!H35/'Financial Statements'!H99</f>
        <v>0.46678632278933291</v>
      </c>
      <c r="F21" s="129">
        <f>'Financial Statements'!I35/'Financial Statements'!I99</f>
        <v>0.69300571570898917</v>
      </c>
      <c r="G21" s="131">
        <f ca="1">'Financial Statements'!J35/'Financial Statements'!J99</f>
        <v>0.64600855786534017</v>
      </c>
      <c r="H21" s="131">
        <f ca="1">'Financial Statements'!K35/'Financial Statements'!K99</f>
        <v>0.60713971157197477</v>
      </c>
      <c r="I21" s="131">
        <f ca="1">'Financial Statements'!L35/'Financial Statements'!L99</f>
        <v>0.5680851073662414</v>
      </c>
      <c r="J21" s="131">
        <f ca="1">'Financial Statements'!M35/'Financial Statements'!M99</f>
        <v>0.53512984607271352</v>
      </c>
      <c r="K21" s="129">
        <f ca="1">'Financial Statements'!N35/'Financial Statements'!N99</f>
        <v>0.50087403619934356</v>
      </c>
    </row>
    <row r="22" spans="2:11" x14ac:dyDescent="0.2">
      <c r="B22" s="163" t="s">
        <v>255</v>
      </c>
      <c r="C22" s="131">
        <f>'Financial Statements'!F35/('Financial Statements'!F120+'Financial Statements'!F128)</f>
        <v>0.75534333129667541</v>
      </c>
      <c r="D22" s="131">
        <f>'Financial Statements'!G35/('Financial Statements'!G120+'Financial Statements'!G128)</f>
        <v>0.83076627922550383</v>
      </c>
      <c r="E22" s="131">
        <f>'Financial Statements'!H35/('Financial Statements'!H120+'Financial Statements'!H128)</f>
        <v>0.55386254968604187</v>
      </c>
      <c r="F22" s="129">
        <f>'Financial Statements'!I35/('Financial Statements'!I120+'Financial Statements'!I128)</f>
        <v>0.82898544877275904</v>
      </c>
      <c r="G22" s="131">
        <f ca="1">'Financial Statements'!J35/('Financial Statements'!J120+'Financial Statements'!J128)</f>
        <v>0.76261865472603263</v>
      </c>
      <c r="H22" s="131">
        <f ca="1">'Financial Statements'!K35/('Financial Statements'!K120+'Financial Statements'!K128)</f>
        <v>0.70903299189660807</v>
      </c>
      <c r="I22" s="131">
        <f ca="1">'Financial Statements'!L35/('Financial Statements'!L120+'Financial Statements'!L128)</f>
        <v>0.65633857868790058</v>
      </c>
      <c r="J22" s="131">
        <f ca="1">'Financial Statements'!M35/('Financial Statements'!M120+'Financial Statements'!M128)</f>
        <v>0.61274149816018197</v>
      </c>
      <c r="K22" s="129">
        <f ca="1">'Financial Statements'!N35/('Financial Statements'!N120+'Financial Statements'!N128)</f>
        <v>0.5682418045352764</v>
      </c>
    </row>
    <row r="23" spans="2:11" x14ac:dyDescent="0.2">
      <c r="B23" s="163" t="s">
        <v>256</v>
      </c>
      <c r="C23" s="131">
        <f>'Financial Statements'!F35/'Financial Statements'!F128</f>
        <v>1.0360916978966204</v>
      </c>
      <c r="D23" s="131">
        <f>'Financial Statements'!G35/'Financial Statements'!G128</f>
        <v>0.88709926791746874</v>
      </c>
      <c r="E23" s="131">
        <f>'Financial Statements'!H35/'Financial Statements'!H128</f>
        <v>0.57418103842442858</v>
      </c>
      <c r="F23" s="129">
        <f>'Financial Statements'!I35/'Financial Statements'!I128</f>
        <v>0.85915803287969095</v>
      </c>
      <c r="G23" s="131">
        <f ca="1">'Financial Statements'!J35/'Financial Statements'!J128</f>
        <v>0.78807932924898483</v>
      </c>
      <c r="H23" s="131">
        <f ca="1">'Financial Statements'!K35/'Financial Statements'!K128</f>
        <v>0.73098985726379007</v>
      </c>
      <c r="I23" s="131">
        <f ca="1">'Financial Statements'!L35/'Financial Statements'!L128</f>
        <v>0.67510990486427791</v>
      </c>
      <c r="J23" s="131">
        <f ca="1">'Financial Statements'!M35/'Financial Statements'!M128</f>
        <v>0.62907086748086782</v>
      </c>
      <c r="K23" s="129">
        <f ca="1">'Financial Statements'!N35/'Financial Statements'!N128</f>
        <v>0.5822583652219615</v>
      </c>
    </row>
    <row r="24" spans="2:11" x14ac:dyDescent="0.2">
      <c r="B24" s="163" t="s">
        <v>257</v>
      </c>
      <c r="C24" s="131">
        <f>'Financial Statements'!F35/('Financial Statements'!F86+'Financial Statements'!F87)</f>
        <v>1.9364173221039815</v>
      </c>
      <c r="D24" s="131">
        <f>'Financial Statements'!G35/('Financial Statements'!G86+'Financial Statements'!G87)</f>
        <v>1.605867761944912</v>
      </c>
      <c r="E24" s="131">
        <f>'Financial Statements'!H35/('Financial Statements'!H86+'Financial Statements'!H87)</f>
        <v>1.0740920468787638</v>
      </c>
      <c r="F24" s="129">
        <f>'Financial Statements'!I35/('Financial Statements'!I86+'Financial Statements'!I87)</f>
        <v>1.8773554404436417</v>
      </c>
      <c r="G24" s="131">
        <f>'Financial Statements'!J35/('Financial Statements'!J86+'Financial Statements'!J87)</f>
        <v>1.8773554404436414</v>
      </c>
      <c r="H24" s="131">
        <f>'Financial Statements'!K35/('Financial Statements'!K86+'Financial Statements'!K87)</f>
        <v>1.8773554404436414</v>
      </c>
      <c r="I24" s="131">
        <f>'Financial Statements'!L35/('Financial Statements'!L86+'Financial Statements'!L87)</f>
        <v>1.8773554404436417</v>
      </c>
      <c r="J24" s="131">
        <f>'Financial Statements'!M35/('Financial Statements'!M86+'Financial Statements'!M87)</f>
        <v>1.8773554404436414</v>
      </c>
      <c r="K24" s="129">
        <f>'Financial Statements'!N35/('Financial Statements'!N86+'Financial Statements'!N87)</f>
        <v>1.8773554404436414</v>
      </c>
    </row>
    <row r="25" spans="2:11" x14ac:dyDescent="0.2">
      <c r="B25" s="163" t="s">
        <v>258</v>
      </c>
      <c r="C25" s="144">
        <f>'Financial Statements'!F71/('Financial Statements'!F36+SUM('Financial Statements'!F38:F42)+'Financial Statements'!F49+'Financial Statements'!F53)*Days_In_Year</f>
        <v>250.78337880783391</v>
      </c>
      <c r="D25" s="144">
        <f>'Financial Statements'!G71/('Financial Statements'!G36+SUM('Financial Statements'!G38:G42)+'Financial Statements'!G49+'Financial Statements'!G53)*Days_In_Year</f>
        <v>225.00701956918923</v>
      </c>
      <c r="E25" s="144">
        <f>'Financial Statements'!H71/('Financial Statements'!H36+SUM('Financial Statements'!H38:H42)+'Financial Statements'!H49+'Financial Statements'!H53)*Days_In_Year</f>
        <v>139.82420757042135</v>
      </c>
      <c r="F25" s="139">
        <f>'Financial Statements'!I71/('Financial Statements'!I36+SUM('Financial Statements'!I38:I42)+'Financial Statements'!I49+'Financial Statements'!I53)*Days_In_Year</f>
        <v>113.63119665551689</v>
      </c>
      <c r="G25" s="144">
        <f ca="1">'Financial Statements'!J71/('Financial Statements'!J36+SUM('Financial Statements'!J38:J42)+'Financial Statements'!J49+'Financial Statements'!J53)*Days_In_Year</f>
        <v>165.46933322047809</v>
      </c>
      <c r="H25" s="144">
        <f ca="1">'Financial Statements'!K71/('Financial Statements'!K36+SUM('Financial Statements'!K38:K42)+'Financial Statements'!K49+'Financial Statements'!K53)*Days_In_Year</f>
        <v>213.12841304481969</v>
      </c>
      <c r="I25" s="144">
        <f ca="1">'Financial Statements'!L71/('Financial Statements'!L36+SUM('Financial Statements'!L38:L42)+'Financial Statements'!L49+'Financial Statements'!L53)*Days_In_Year</f>
        <v>265.52430588161531</v>
      </c>
      <c r="J25" s="144">
        <f ca="1">'Financial Statements'!M71/('Financial Statements'!M36+SUM('Financial Statements'!M38:M42)+'Financial Statements'!M49+'Financial Statements'!M53)*Days_In_Year</f>
        <v>316.15003336536222</v>
      </c>
      <c r="K25" s="139">
        <f ca="1">'Financial Statements'!N71/('Financial Statements'!N36+SUM('Financial Statements'!N38:N42)+'Financial Statements'!N49+'Financial Statements'!N53)*Days_In_Year</f>
        <v>373.27295345207966</v>
      </c>
    </row>
    <row r="26" spans="2:11" x14ac:dyDescent="0.2">
      <c r="B26" s="163" t="s">
        <v>259</v>
      </c>
      <c r="C26" s="144">
        <f>'Financial Statements'!F74/('Financial Statements'!F35/Days_In_Year)</f>
        <v>64.691621174017058</v>
      </c>
      <c r="D26" s="144">
        <f>'Financial Statements'!G74/('Financial Statements'!G35/Days_In_Year)</f>
        <v>52.952473802313676</v>
      </c>
      <c r="E26" s="144">
        <f>'Financial Statements'!H74/('Financial Statements'!H35/Days_In_Year)</f>
        <v>93.827958422174845</v>
      </c>
      <c r="F26" s="139">
        <f>'Financial Statements'!I74/('Financial Statements'!I35/Days_In_Year)</f>
        <v>87.697595884756709</v>
      </c>
      <c r="G26" s="144">
        <f>'Financial Statements'!J74/('Financial Statements'!J35/Days_In_Year)</f>
        <v>0</v>
      </c>
      <c r="H26" s="144">
        <f>'Financial Statements'!K74/('Financial Statements'!K35/Days_In_Year)</f>
        <v>0</v>
      </c>
      <c r="I26" s="144">
        <f>'Financial Statements'!L74/('Financial Statements'!L35/Days_In_Year)</f>
        <v>0</v>
      </c>
      <c r="J26" s="144">
        <f>'Financial Statements'!M74/('Financial Statements'!M35/Days_In_Year)</f>
        <v>0</v>
      </c>
      <c r="K26" s="139">
        <f>'Financial Statements'!N74/('Financial Statements'!N35/Days_In_Year)</f>
        <v>0</v>
      </c>
    </row>
    <row r="27" spans="2:11" x14ac:dyDescent="0.2">
      <c r="B27" s="163" t="s">
        <v>260</v>
      </c>
      <c r="C27" s="144">
        <f>'Financial Statements'!F76/('Financial Statements'!F35/Days_In_Year)</f>
        <v>64.279532524688719</v>
      </c>
      <c r="D27" s="144">
        <f>'Financial Statements'!G76/('Financial Statements'!G35/Days_In_Year)</f>
        <v>51.127513561796036</v>
      </c>
      <c r="E27" s="144">
        <f>'Financial Statements'!H76/('Financial Statements'!H35/Days_In_Year)</f>
        <v>91.102891466014881</v>
      </c>
      <c r="F27" s="139">
        <f>'Financial Statements'!I76/('Financial Statements'!I35/Days_In_Year)</f>
        <v>87.283544455447199</v>
      </c>
      <c r="G27" s="144">
        <f>'Financial Statements'!J76/('Financial Statements'!J35/Days_In_Year)</f>
        <v>87.283544455447213</v>
      </c>
      <c r="H27" s="144">
        <f>'Financial Statements'!K76/('Financial Statements'!K35/Days_In_Year)</f>
        <v>87.283544455447228</v>
      </c>
      <c r="I27" s="144">
        <f>'Financial Statements'!L76/('Financial Statements'!L35/Days_In_Year)</f>
        <v>87.283544455447213</v>
      </c>
      <c r="J27" s="144">
        <f>'Financial Statements'!M76/('Financial Statements'!M35/Days_In_Year)</f>
        <v>87.283544455447213</v>
      </c>
      <c r="K27" s="139">
        <f>'Financial Statements'!N76/('Financial Statements'!N35/Days_In_Year)</f>
        <v>87.283544455447213</v>
      </c>
    </row>
    <row r="28" spans="2:11" x14ac:dyDescent="0.2">
      <c r="B28" s="163" t="s">
        <v>261</v>
      </c>
      <c r="C28" s="144">
        <f>'Financial Statements'!F78/('Financial Statements'!F36/Days_In_Year)</f>
        <v>181.96290533271861</v>
      </c>
      <c r="D28" s="144">
        <f>'Financial Statements'!G78/('Financial Statements'!G36/Days_In_Year)</f>
        <v>295.23146763689527</v>
      </c>
      <c r="E28" s="144">
        <f>'Financial Statements'!H78/('Financial Statements'!H36/Days_In_Year)</f>
        <v>394.47068613138686</v>
      </c>
      <c r="F28" s="139">
        <f>'Financial Statements'!I78/('Financial Statements'!I36/Days_In_Year)</f>
        <v>297.37276336625331</v>
      </c>
      <c r="G28" s="144">
        <f>'Financial Statements'!J78/('Financial Statements'!J36/Days_In_Year)</f>
        <v>297.37276336625331</v>
      </c>
      <c r="H28" s="144">
        <f>'Financial Statements'!K78/('Financial Statements'!K36/Days_In_Year)</f>
        <v>297.37276336625331</v>
      </c>
      <c r="I28" s="144">
        <f>'Financial Statements'!L78/('Financial Statements'!L36/Days_In_Year)</f>
        <v>297.37276336625331</v>
      </c>
      <c r="J28" s="144">
        <f>'Financial Statements'!M78/('Financial Statements'!M36/Days_In_Year)</f>
        <v>297.37276336625331</v>
      </c>
      <c r="K28" s="139">
        <f>'Financial Statements'!N78/('Financial Statements'!N36/Days_In_Year)</f>
        <v>297.37276336625331</v>
      </c>
    </row>
    <row r="29" spans="2:11" x14ac:dyDescent="0.2">
      <c r="B29" s="163" t="s">
        <v>262</v>
      </c>
      <c r="C29" s="144">
        <f>'Financial Statements'!F104/('Financial Statements'!F36/Days_In_Year)</f>
        <v>39.837559551252497</v>
      </c>
      <c r="D29" s="144">
        <f>'Financial Statements'!G104/('Financial Statements'!G36/Days_In_Year)</f>
        <v>28.971935639287612</v>
      </c>
      <c r="E29" s="144">
        <f>'Financial Statements'!H104/('Financial Statements'!H36/Days_In_Year)</f>
        <v>66.158248175182479</v>
      </c>
      <c r="F29" s="139">
        <f>'Financial Statements'!I104/('Financial Statements'!I36/Days_In_Year)</f>
        <v>38.715336479984089</v>
      </c>
      <c r="G29" s="144">
        <f>'Financial Statements'!J104/('Financial Statements'!J36/Days_In_Year)</f>
        <v>38.715336479984089</v>
      </c>
      <c r="H29" s="144">
        <f>'Financial Statements'!K104/('Financial Statements'!K36/Days_In_Year)</f>
        <v>38.715336479984089</v>
      </c>
      <c r="I29" s="144">
        <f>'Financial Statements'!L104/('Financial Statements'!L36/Days_In_Year)</f>
        <v>38.715336479984089</v>
      </c>
      <c r="J29" s="144">
        <f>'Financial Statements'!M104/('Financial Statements'!M36/Days_In_Year)</f>
        <v>38.715336479984082</v>
      </c>
      <c r="K29" s="139">
        <f>'Financial Statements'!N104/('Financial Statements'!N36/Days_In_Year)</f>
        <v>38.715336479984089</v>
      </c>
    </row>
    <row r="30" spans="2:11" x14ac:dyDescent="0.2">
      <c r="B30" s="163" t="s">
        <v>263</v>
      </c>
      <c r="C30" s="131">
        <f>'Financial Statements'!F36/'Financial Statements'!F78</f>
        <v>2.0059033424015662</v>
      </c>
      <c r="D30" s="131">
        <f>'Financial Statements'!G36/'Financial Statements'!G78</f>
        <v>1.2363180758526491</v>
      </c>
      <c r="E30" s="131">
        <f>'Financial Statements'!H36/'Financial Statements'!H78</f>
        <v>0.92529055474208033</v>
      </c>
      <c r="F30" s="129">
        <f>'Financial Statements'!I36/'Financial Statements'!I78</f>
        <v>1.2274157050168544</v>
      </c>
      <c r="G30" s="131">
        <f>'Financial Statements'!J36/'Financial Statements'!J78</f>
        <v>1.2274157050168544</v>
      </c>
      <c r="H30" s="131">
        <f>'Financial Statements'!K36/'Financial Statements'!K78</f>
        <v>1.2274157050168544</v>
      </c>
      <c r="I30" s="131">
        <f>'Financial Statements'!L36/'Financial Statements'!L78</f>
        <v>1.2274157050168544</v>
      </c>
      <c r="J30" s="131">
        <f>'Financial Statements'!M36/'Financial Statements'!M78</f>
        <v>1.2274157050168544</v>
      </c>
      <c r="K30" s="129">
        <f>'Financial Statements'!N36/'Financial Statements'!N78</f>
        <v>1.2274157050168544</v>
      </c>
    </row>
    <row r="31" spans="2:11" x14ac:dyDescent="0.2">
      <c r="B31" s="163" t="s">
        <v>264</v>
      </c>
      <c r="C31" s="131">
        <f>'Financial Statements'!F35/('Financial Statements'!F82-'Financial Statements'!F112)</f>
        <v>1.0467310721200631</v>
      </c>
      <c r="D31" s="131">
        <f>'Financial Statements'!G35/('Financial Statements'!G82-'Financial Statements'!G112)</f>
        <v>1.224683096806555</v>
      </c>
      <c r="E31" s="131">
        <f>'Financial Statements'!H35/('Financial Statements'!H82-'Financial Statements'!H112)</f>
        <v>0.77057786326841393</v>
      </c>
      <c r="F31" s="129">
        <f>'Financial Statements'!I35/('Financial Statements'!I82-'Financial Statements'!I112)</f>
        <v>1.0889601441594234</v>
      </c>
      <c r="G31" s="131">
        <f ca="1">'Financial Statements'!J35/('Financial Statements'!J82-'Financial Statements'!J112)</f>
        <v>0.85798659078462369</v>
      </c>
      <c r="H31" s="131">
        <f ca="1">'Financial Statements'!K35/('Financial Statements'!K82-'Financial Statements'!K112)</f>
        <v>0.79193153371868785</v>
      </c>
      <c r="I31" s="131">
        <f ca="1">'Financial Statements'!L35/('Financial Statements'!L82-'Financial Statements'!L112)</f>
        <v>0.72756689078448522</v>
      </c>
      <c r="J31" s="131">
        <f ca="1">'Financial Statements'!M35/('Financial Statements'!M82-'Financial Statements'!M112)</f>
        <v>0.67503147037718803</v>
      </c>
      <c r="K31" s="129">
        <f ca="1">'Financial Statements'!N35/('Financial Statements'!N82-'Financial Statements'!N112)</f>
        <v>0.62186105572070094</v>
      </c>
    </row>
    <row r="32" spans="2:11" x14ac:dyDescent="0.2">
      <c r="B32" s="161" t="s">
        <v>265</v>
      </c>
      <c r="C32" s="140"/>
      <c r="D32" s="140"/>
      <c r="E32" s="140"/>
      <c r="F32" s="20"/>
      <c r="G32" s="140"/>
      <c r="H32" s="140"/>
      <c r="I32" s="140"/>
      <c r="J32" s="140"/>
      <c r="K32" s="20"/>
    </row>
    <row r="33" spans="2:11" x14ac:dyDescent="0.2">
      <c r="B33" s="163" t="s">
        <v>266</v>
      </c>
      <c r="C33" s="131">
        <f>('Financial Statements'!F82-'Financial Statements'!F112)/'Financial Statements'!F99</f>
        <v>0.62759396186120542</v>
      </c>
      <c r="D33" s="131">
        <f>('Financial Statements'!G82-'Financial Statements'!G112)/'Financial Statements'!G99</f>
        <v>0.48230720528737764</v>
      </c>
      <c r="E33" s="131">
        <f>('Financial Statements'!H82-'Financial Statements'!H112)/'Financial Statements'!H99</f>
        <v>0.60576139679052543</v>
      </c>
      <c r="F33" s="129">
        <f>('Financial Statements'!I82-'Financial Statements'!I112)/'Financial Statements'!I99</f>
        <v>0.6363921759909088</v>
      </c>
      <c r="G33" s="131">
        <f ca="1">('Financial Statements'!J82-'Financial Statements'!J112)/'Financial Statements'!J99</f>
        <v>0.75293549433513773</v>
      </c>
      <c r="H33" s="131">
        <f ca="1">('Financial Statements'!K82-'Financial Statements'!K112)/'Financial Statements'!K99</f>
        <v>0.76665682034533633</v>
      </c>
      <c r="I33" s="131">
        <f ca="1">('Financial Statements'!L82-'Financial Statements'!L112)/'Financial Statements'!L99</f>
        <v>0.7808012081936746</v>
      </c>
      <c r="J33" s="131">
        <f ca="1">('Financial Statements'!M82-'Financial Statements'!M112)/'Financial Statements'!M99</f>
        <v>0.79274799702849186</v>
      </c>
      <c r="K33" s="129">
        <f ca="1">('Financial Statements'!N82-'Financial Statements'!N112)/'Financial Statements'!N99</f>
        <v>0.80544364628021214</v>
      </c>
    </row>
    <row r="34" spans="2:11" x14ac:dyDescent="0.2">
      <c r="B34" s="163" t="s">
        <v>267</v>
      </c>
      <c r="C34" s="131">
        <f>'Financial Statements'!F82/'Financial Statements'!F112</f>
        <v>5.8165310500782779</v>
      </c>
      <c r="D34" s="131">
        <f>'Financial Statements'!G82/'Financial Statements'!G112</f>
        <v>2.6688737298625891</v>
      </c>
      <c r="E34" s="131">
        <f>'Financial Statements'!H82/'Financial Statements'!H112</f>
        <v>4.8530442083321272</v>
      </c>
      <c r="F34" s="129">
        <f>'Financial Statements'!I82/'Financial Statements'!I112</f>
        <v>4.8796947289335284</v>
      </c>
      <c r="G34" s="131">
        <f ca="1">'Financial Statements'!J82/'Financial Statements'!J112</f>
        <v>5.9241246619605388</v>
      </c>
      <c r="H34" s="131">
        <f ca="1">'Financial Statements'!K82/'Financial Statements'!K112</f>
        <v>6.3348461974678321</v>
      </c>
      <c r="I34" s="131">
        <f ca="1">'Financial Statements'!L82/'Financial Statements'!L112</f>
        <v>6.8067965775059722</v>
      </c>
      <c r="J34" s="131">
        <f ca="1">'Financial Statements'!M82/'Financial Statements'!M112</f>
        <v>7.2587199511650846</v>
      </c>
      <c r="K34" s="129">
        <f ca="1">'Financial Statements'!N82/'Financial Statements'!N112</f>
        <v>7.7938535344003395</v>
      </c>
    </row>
    <row r="35" spans="2:11" x14ac:dyDescent="0.2">
      <c r="B35" s="163" t="s">
        <v>268</v>
      </c>
      <c r="C35" s="131">
        <f>('Financial Statements'!F71+'Financial Statements'!F73+'Financial Statements'!F76+'Financial Statements'!F85)/'Financial Statements'!F112</f>
        <v>4.3427588472912113</v>
      </c>
      <c r="D35" s="131">
        <f>('Financial Statements'!G71+'Financial Statements'!G73+'Financial Statements'!G76+'Financial Statements'!G85)/'Financial Statements'!G112</f>
        <v>1.5882617484927555</v>
      </c>
      <c r="E35" s="131">
        <f>('Financial Statements'!H71+'Financial Statements'!H73+'Financial Statements'!H76+'Financial Statements'!H85)/'Financial Statements'!H112</f>
        <v>2.4958551672891152</v>
      </c>
      <c r="F35" s="129">
        <f>('Financial Statements'!I71+'Financial Statements'!I73+'Financial Statements'!I76+'Financial Statements'!I85)/'Financial Statements'!I112</f>
        <v>2.5944560876270315</v>
      </c>
      <c r="G35" s="131">
        <f ca="1">('Financial Statements'!J71+'Financial Statements'!J73+'Financial Statements'!J76+'Financial Statements'!J85)/'Financial Statements'!J112</f>
        <v>3.0425388223043495</v>
      </c>
      <c r="H35" s="131">
        <f ca="1">('Financial Statements'!K71+'Financial Statements'!K73+'Financial Statements'!K76+'Financial Statements'!K85)/'Financial Statements'!K112</f>
        <v>3.4654918847595448</v>
      </c>
      <c r="I35" s="131">
        <f ca="1">('Financial Statements'!L71+'Financial Statements'!L73+'Financial Statements'!L76+'Financial Statements'!L85)/'Financial Statements'!L112</f>
        <v>3.9473329873970724</v>
      </c>
      <c r="J35" s="131">
        <f ca="1">('Financial Statements'!M71+'Financial Statements'!M73+'Financial Statements'!M76+'Financial Statements'!M85)/'Financial Statements'!M112</f>
        <v>4.4085872314329624</v>
      </c>
      <c r="K35" s="129">
        <f ca="1">('Financial Statements'!N71+'Financial Statements'!N73+'Financial Statements'!N76+'Financial Statements'!N85)/'Financial Statements'!N112</f>
        <v>4.9511262673481982</v>
      </c>
    </row>
    <row r="36" spans="2:11" x14ac:dyDescent="0.2">
      <c r="B36" s="163" t="s">
        <v>269</v>
      </c>
      <c r="C36" s="131">
        <f>('Financial Statements'!F71+'Financial Statements'!F73+'Financial Statements'!F85)/'Financial Statements'!F112</f>
        <v>3.4548889619049459</v>
      </c>
      <c r="D36" s="131">
        <f>('Financial Statements'!G71+'Financial Statements'!G73+'Financial Statements'!G85)/'Financial Statements'!G112</f>
        <v>1.3019698818249015</v>
      </c>
      <c r="E36" s="131">
        <f>('Financial Statements'!H71+'Financial Statements'!H73+'Financial Statements'!H85)/'Financial Statements'!H112</f>
        <v>1.7547841695376509</v>
      </c>
      <c r="F36" s="129">
        <f>('Financial Statements'!I71+'Financial Statements'!I73+'Financial Statements'!I85)/'Financial Statements'!I112</f>
        <v>1.5841591205662542</v>
      </c>
      <c r="G36" s="131">
        <f ca="1">('Financial Statements'!J71+'Financial Statements'!J73+'Financial Statements'!J85)/'Financial Statements'!J112</f>
        <v>2.0322418552435719</v>
      </c>
      <c r="H36" s="131">
        <f ca="1">('Financial Statements'!K71+'Financial Statements'!K73+'Financial Statements'!K85)/'Financial Statements'!K112</f>
        <v>2.4551949176987677</v>
      </c>
      <c r="I36" s="131">
        <f ca="1">('Financial Statements'!L71+'Financial Statements'!L73+'Financial Statements'!L85)/'Financial Statements'!L112</f>
        <v>2.9370360203362953</v>
      </c>
      <c r="J36" s="131">
        <f ca="1">('Financial Statements'!M71+'Financial Statements'!M73+'Financial Statements'!M85)/'Financial Statements'!M112</f>
        <v>3.3982902643721853</v>
      </c>
      <c r="K36" s="129">
        <f ca="1">('Financial Statements'!N71+'Financial Statements'!N73+'Financial Statements'!N85)/'Financial Statements'!N112</f>
        <v>3.9408293002874211</v>
      </c>
    </row>
    <row r="37" spans="2:11" x14ac:dyDescent="0.2">
      <c r="B37" s="163" t="s">
        <v>270</v>
      </c>
      <c r="C37" s="144">
        <f>('Financial Statements'!F71+'Financial Statements'!F73+'Financial Statements'!F76+'Financial Statements'!F85)/('Financial Statements'!F36+'Financial Statements'!F38)*Days_In_Year</f>
        <v>504.08030928848893</v>
      </c>
      <c r="D37" s="144">
        <f>('Financial Statements'!G71+'Financial Statements'!G73+'Financial Statements'!G76+'Financial Statements'!G85)/('Financial Statements'!G36+'Financial Statements'!G38)*Days_In_Year</f>
        <v>433.02481864957548</v>
      </c>
      <c r="E37" s="144">
        <f>('Financial Statements'!H71+'Financial Statements'!H73+'Financial Statements'!H76+'Financial Statements'!H85)/('Financial Statements'!H36+'Financial Statements'!H38)*Days_In_Year</f>
        <v>438.20603281001939</v>
      </c>
      <c r="F37" s="139">
        <f>('Financial Statements'!I71+'Financial Statements'!I73+'Financial Statements'!I76+'Financial Statements'!I85)/('Financial Statements'!I36+'Financial Statements'!I38)*Days_In_Year</f>
        <v>369.68335906143869</v>
      </c>
      <c r="G37" s="144">
        <f ca="1">('Financial Statements'!J71+'Financial Statements'!J73+'Financial Statements'!J76+'Financial Statements'!J85)/('Financial Statements'!J36+'Financial Statements'!J38)*Days_In_Year</f>
        <v>433.53054895334924</v>
      </c>
      <c r="H37" s="144">
        <f ca="1">('Financial Statements'!K71+'Financial Statements'!K73+'Financial Statements'!K76+'Financial Statements'!K85)/('Financial Statements'!K36+'Financial Statements'!K38)*Days_In_Year</f>
        <v>493.79701852261053</v>
      </c>
      <c r="I37" s="144">
        <f ca="1">('Financial Statements'!L71+'Financial Statements'!L73+'Financial Statements'!L76+'Financial Statements'!L85)/('Financial Statements'!L36+'Financial Statements'!L38)*Days_In_Year</f>
        <v>562.45442930185027</v>
      </c>
      <c r="J37" s="144">
        <f ca="1">('Financial Statements'!M71+'Financial Statements'!M73+'Financial Statements'!M76+'Financial Statements'!M85)/('Financial Statements'!M36+'Financial Statements'!M38)*Days_In_Year</f>
        <v>628.17842406504315</v>
      </c>
      <c r="K37" s="139">
        <f ca="1">('Financial Statements'!N71+'Financial Statements'!N73+'Financial Statements'!N76+'Financial Statements'!N85)/('Financial Statements'!N36+'Financial Statements'!N38)*Days_In_Year</f>
        <v>705.48466724086961</v>
      </c>
    </row>
    <row r="38" spans="2:11" x14ac:dyDescent="0.2">
      <c r="B38" s="161" t="s">
        <v>271</v>
      </c>
      <c r="C38" s="140"/>
      <c r="D38" s="140"/>
      <c r="E38" s="140"/>
      <c r="F38" s="20"/>
      <c r="G38" s="140"/>
      <c r="H38" s="140"/>
      <c r="I38" s="140"/>
      <c r="J38" s="140"/>
      <c r="K38" s="20"/>
    </row>
    <row r="39" spans="2:11" x14ac:dyDescent="0.2">
      <c r="B39" s="163" t="s">
        <v>272</v>
      </c>
      <c r="C39" s="131">
        <f>'Financial Statements'!F99/'Financial Statements'!F128</f>
        <v>1.5771911114288721</v>
      </c>
      <c r="D39" s="131">
        <f>'Financial Statements'!G99/'Financial Statements'!G128</f>
        <v>1.5018437347804912</v>
      </c>
      <c r="E39" s="131">
        <f>'Financial Statements'!H99/'Financial Statements'!H128</f>
        <v>1.2300725415289522</v>
      </c>
      <c r="F39" s="129">
        <f>'Financial Statements'!I99/'Financial Statements'!I128</f>
        <v>1.2397560559810352</v>
      </c>
      <c r="G39" s="131">
        <f ca="1">'Financial Statements'!J99/'Financial Statements'!J128</f>
        <v>1.219920881316342</v>
      </c>
      <c r="H39" s="131">
        <f ca="1">'Financial Statements'!K99/'Financial Statements'!K128</f>
        <v>1.2039895321146905</v>
      </c>
      <c r="I39" s="131">
        <f ca="1">'Financial Statements'!L99/'Financial Statements'!L128</f>
        <v>1.1883957106255176</v>
      </c>
      <c r="J39" s="131">
        <f ca="1">'Financial Statements'!M99/'Financial Statements'!M128</f>
        <v>1.1755480881837967</v>
      </c>
      <c r="K39" s="129">
        <f ca="1">'Financial Statements'!N99/'Financial Statements'!N128</f>
        <v>1.1624846231602781</v>
      </c>
    </row>
    <row r="40" spans="2:11" x14ac:dyDescent="0.2">
      <c r="B40" s="163" t="s">
        <v>273</v>
      </c>
      <c r="C40" s="131">
        <f>'Financial Statements'!F120/'Financial Statements'!F128</f>
        <v>0.37168312073132709</v>
      </c>
      <c r="D40" s="131">
        <f>'Financial Statements'!G120/'Financial Statements'!G128</f>
        <v>6.7808468038065201E-2</v>
      </c>
      <c r="E40" s="131">
        <f>'Financial Statements'!H120/'Financial Statements'!H128</f>
        <v>3.6685074211831717E-2</v>
      </c>
      <c r="F40" s="129">
        <f>'Financial Statements'!I120/'Financial Statements'!I128</f>
        <v>3.6397000878121269E-2</v>
      </c>
      <c r="G40" s="131">
        <f ca="1">'Financial Statements'!J120/'Financial Statements'!J128</f>
        <v>3.3385853290067699E-2</v>
      </c>
      <c r="H40" s="131">
        <f ca="1">'Financial Statements'!K120/'Financial Statements'!K128</f>
        <v>3.0967339486487187E-2</v>
      </c>
      <c r="I40" s="131">
        <f ca="1">'Financial Statements'!L120/'Financial Statements'!L128</f>
        <v>2.8600065249712141E-2</v>
      </c>
      <c r="J40" s="131">
        <f ca="1">'Financial Statements'!M120/'Financial Statements'!M128</f>
        <v>2.6649687298341135E-2</v>
      </c>
      <c r="K40" s="129">
        <f ca="1">'Financial Statements'!N120/'Financial Statements'!N128</f>
        <v>2.4666542614104607E-2</v>
      </c>
    </row>
    <row r="41" spans="2:11" x14ac:dyDescent="0.2">
      <c r="B41" s="163" t="s">
        <v>274</v>
      </c>
      <c r="C41" s="131">
        <f>('Financial Statements'!F112+'Financial Statements'!F120)/'Financial Statements'!F128</f>
        <v>0.57719111142887214</v>
      </c>
      <c r="D41" s="131">
        <f>('Financial Statements'!G112+'Financial Statements'!G120)/'Financial Statements'!G128</f>
        <v>0.50184373478049116</v>
      </c>
      <c r="E41" s="131">
        <f>('Financial Statements'!H112+'Financial Statements'!H120)/'Financial Statements'!H128</f>
        <v>0.23007254152895223</v>
      </c>
      <c r="F41" s="129">
        <f>('Financial Statements'!I112+'Financial Statements'!I120)/'Financial Statements'!I128</f>
        <v>0.23975605598103517</v>
      </c>
      <c r="G41" s="131">
        <f ca="1">('Financial Statements'!J112+'Financial Statements'!J120)/'Financial Statements'!J128</f>
        <v>0.21992088131634185</v>
      </c>
      <c r="H41" s="131">
        <f ca="1">('Financial Statements'!K112+'Financial Statements'!K120)/'Financial Statements'!K128</f>
        <v>0.20398953211469065</v>
      </c>
      <c r="I41" s="131">
        <f ca="1">('Financial Statements'!L112+'Financial Statements'!L120)/'Financial Statements'!L128</f>
        <v>0.18839571062551752</v>
      </c>
      <c r="J41" s="131">
        <f ca="1">('Financial Statements'!M112+'Financial Statements'!M120)/'Financial Statements'!M128</f>
        <v>0.17554808818379672</v>
      </c>
      <c r="K41" s="129">
        <f ca="1">('Financial Statements'!N112+'Financial Statements'!N120)/'Financial Statements'!N128</f>
        <v>0.16248462316027831</v>
      </c>
    </row>
    <row r="42" spans="2:11" x14ac:dyDescent="0.2">
      <c r="B42" s="163" t="s">
        <v>275</v>
      </c>
      <c r="C42" s="131">
        <f>'Financial Statements'!F120/('Financial Statements'!F120+'Financial Statements'!F128)</f>
        <v>0.27096864801628556</v>
      </c>
      <c r="D42" s="131">
        <f>'Financial Statements'!G120/('Financial Statements'!G120+'Financial Statements'!G128)</f>
        <v>6.3502463285998179E-2</v>
      </c>
      <c r="E42" s="131">
        <f>'Financial Statements'!H120/('Financial Statements'!H120+'Financial Statements'!H128)</f>
        <v>3.5386903047410566E-2</v>
      </c>
      <c r="F42" s="129">
        <f>'Financial Statements'!I120/('Financial Statements'!I120+'Financial Statements'!I128)</f>
        <v>3.511878251990571E-2</v>
      </c>
      <c r="G42" s="131">
        <f ca="1">'Financial Statements'!J120/('Financial Statements'!J120+'Financial Statements'!J128)</f>
        <v>3.2307248240117346E-2</v>
      </c>
      <c r="H42" s="131">
        <f ca="1">'Financial Statements'!K120/('Financial Statements'!K120+'Financial Statements'!K128)</f>
        <v>3.0037168298572541E-2</v>
      </c>
      <c r="I42" s="131">
        <f ca="1">'Financial Statements'!L120/('Financial Statements'!L120+'Financial Statements'!L128)</f>
        <v>2.7804844872111625E-2</v>
      </c>
      <c r="J42" s="131">
        <f ca="1">'Financial Statements'!M120/('Financial Statements'!M120+'Financial Statements'!M128)</f>
        <v>2.5957916929260041E-2</v>
      </c>
      <c r="K42" s="129">
        <f ca="1">'Financial Statements'!N120/('Financial Statements'!N120+'Financial Statements'!N128)</f>
        <v>2.4072751073901485E-2</v>
      </c>
    </row>
    <row r="43" spans="2:11" x14ac:dyDescent="0.2">
      <c r="B43" s="163" t="s">
        <v>276</v>
      </c>
      <c r="C43" s="131">
        <f>('Financial Statements'!F115+'Financial Statements'!F119)/('Financial Statements'!F115+'Financial Statements'!F119+'Financial Statements'!F128)</f>
        <v>0.24532829342573831</v>
      </c>
      <c r="D43" s="131">
        <f>('Financial Statements'!G115+'Financial Statements'!G119)/('Financial Statements'!G115+'Financial Statements'!G119+'Financial Statements'!G128)</f>
        <v>2.2280001284912296E-2</v>
      </c>
      <c r="E43" s="131">
        <f>('Financial Statements'!H115+'Financial Statements'!H119)/('Financial Statements'!H115+'Financial Statements'!H119+'Financial Statements'!H128)</f>
        <v>3.5355644769294474E-2</v>
      </c>
      <c r="F43" s="129">
        <f>('Financial Statements'!I115+'Financial Statements'!I119)/('Financial Statements'!I115+'Financial Statements'!I119+'Financial Statements'!I128)</f>
        <v>3.5087338142000518E-2</v>
      </c>
      <c r="G43" s="131">
        <f ca="1">('Financial Statements'!J115+'Financial Statements'!J119)/('Financial Statements'!J115+'Financial Statements'!J119+'Financial Statements'!J128)</f>
        <v>3.2278237017824708E-2</v>
      </c>
      <c r="H43" s="131">
        <f ca="1">('Financial Statements'!K115+'Financial Statements'!K119)/('Financial Statements'!K115+'Financial Statements'!K119+'Financial Statements'!K128)</f>
        <v>3.0010132342275529E-2</v>
      </c>
      <c r="I43" s="131">
        <f ca="1">('Financial Statements'!L115+'Financial Statements'!L119)/('Financial Statements'!L115+'Financial Statements'!L119+'Financial Statements'!L128)</f>
        <v>2.7779760647301793E-2</v>
      </c>
      <c r="J43" s="131">
        <f ca="1">('Financial Statements'!M115+'Financial Statements'!M119)/('Financial Statements'!M115+'Financial Statements'!M119+'Financial Statements'!M128)</f>
        <v>2.5934454467910296E-2</v>
      </c>
      <c r="K43" s="129">
        <f ca="1">('Financial Statements'!N115+'Financial Statements'!N119)/('Financial Statements'!N115+'Financial Statements'!N119+'Financial Statements'!N128)</f>
        <v>2.4050950475203663E-2</v>
      </c>
    </row>
    <row r="44" spans="2:11" x14ac:dyDescent="0.2">
      <c r="B44" s="163" t="s">
        <v>277</v>
      </c>
      <c r="C44" s="131">
        <f>('Financial Statements'!F115+'Financial Statements'!F119)/'Financial Statements'!F128</f>
        <v>0.32507948991406549</v>
      </c>
      <c r="D44" s="131">
        <f>('Financial Statements'!G115+'Financial Statements'!G119)/'Financial Statements'!G128</f>
        <v>2.2787711527014386E-2</v>
      </c>
      <c r="E44" s="131">
        <f>('Financial Statements'!H115+'Financial Statements'!H119)/'Financial Statements'!H128</f>
        <v>3.6651481530557209E-2</v>
      </c>
      <c r="F44" s="129">
        <f>('Financial Statements'!I115+'Financial Statements'!I119)/'Financial Statements'!I128</f>
        <v>3.6363226983090538E-2</v>
      </c>
      <c r="G44" s="131">
        <f ca="1">('Financial Statements'!J115+'Financial Statements'!J119)/'Financial Statements'!J128</f>
        <v>3.335487353136983E-2</v>
      </c>
      <c r="H44" s="131">
        <f ca="1">('Financial Statements'!K115+'Financial Statements'!K119)/'Financial Statements'!K128</f>
        <v>3.093860394103112E-2</v>
      </c>
      <c r="I44" s="131">
        <f ca="1">('Financial Statements'!L115+'Financial Statements'!L119)/'Financial Statements'!L128</f>
        <v>2.8573526370730039E-2</v>
      </c>
      <c r="J44" s="131">
        <f ca="1">('Financial Statements'!M115+'Financial Statements'!M119)/'Financial Statements'!M128</f>
        <v>2.662495823496501E-2</v>
      </c>
      <c r="K44" s="129">
        <f ca="1">('Financial Statements'!N115+'Financial Statements'!N119)/'Financial Statements'!N128</f>
        <v>2.4643653771592295E-2</v>
      </c>
    </row>
    <row r="45" spans="2:11" x14ac:dyDescent="0.2">
      <c r="B45" s="163" t="s">
        <v>278</v>
      </c>
      <c r="C45" s="131">
        <f>('Financial Statements'!F112+'Financial Statements'!F120)/'Financial Statements'!F99</f>
        <v>0.36596142803896481</v>
      </c>
      <c r="D45" s="131">
        <f>('Financial Statements'!G112+'Financial Statements'!G120)/'Financial Statements'!G99</f>
        <v>0.33415176503289168</v>
      </c>
      <c r="E45" s="131">
        <f>('Financial Statements'!H112+'Financial Statements'!H120)/'Financial Statements'!H99</f>
        <v>0.1870398157518233</v>
      </c>
      <c r="F45" s="129">
        <f>('Financial Statements'!I112+'Financial Statements'!I120)/'Financial Statements'!I99</f>
        <v>0.1933897034213824</v>
      </c>
      <c r="G45" s="131">
        <f ca="1">('Financial Statements'!J112+'Financial Statements'!J120)/'Financial Statements'!J99</f>
        <v>0.1802747085360476</v>
      </c>
      <c r="H45" s="131">
        <f ca="1">('Financial Statements'!K112+'Financial Statements'!K120)/'Financial Statements'!K99</f>
        <v>0.16942799474045497</v>
      </c>
      <c r="I45" s="131">
        <f ca="1">('Financial Statements'!L112+'Financial Statements'!L120)/'Financial Statements'!L99</f>
        <v>0.15852944346824893</v>
      </c>
      <c r="J45" s="131">
        <f ca="1">('Financial Statements'!M112+'Financial Statements'!M120)/'Financial Statements'!M99</f>
        <v>0.1493329706783971</v>
      </c>
      <c r="K45" s="129">
        <f ca="1">('Financial Statements'!N112+'Financial Statements'!N120)/'Financial Statements'!N99</f>
        <v>0.13977356768690408</v>
      </c>
    </row>
    <row r="46" spans="2:11" x14ac:dyDescent="0.2">
      <c r="B46" s="163" t="s">
        <v>279</v>
      </c>
      <c r="C46" s="131">
        <f>('Financial Statements'!F52+'Financial Statements'!F49)/'Financial Statements'!F49</f>
        <v>-18.354896407810404</v>
      </c>
      <c r="D46" s="131">
        <f>('Financial Statements'!G52+'Financial Statements'!G49)/'Financial Statements'!G49</f>
        <v>-6.5494142385100629</v>
      </c>
      <c r="E46" s="131">
        <f>('Financial Statements'!H52+'Financial Statements'!H49)/'Financial Statements'!H49</f>
        <v>-15.625850340136054</v>
      </c>
      <c r="F46" s="129">
        <f>('Financial Statements'!I52+'Financial Statements'!I49)/'Financial Statements'!I49</f>
        <v>-199.13884297520661</v>
      </c>
      <c r="G46" s="131" t="e">
        <f ca="1">('Financial Statements'!J52+'Financial Statements'!J49)/'Financial Statements'!J49</f>
        <v>#DIV/0!</v>
      </c>
      <c r="H46" s="131" t="e">
        <f ca="1">('Financial Statements'!K52+'Financial Statements'!K49)/'Financial Statements'!K49</f>
        <v>#DIV/0!</v>
      </c>
      <c r="I46" s="131" t="e">
        <f ca="1">('Financial Statements'!L52+'Financial Statements'!L49)/'Financial Statements'!L49</f>
        <v>#DIV/0!</v>
      </c>
      <c r="J46" s="131" t="e">
        <f ca="1">('Financial Statements'!M52+'Financial Statements'!M49)/'Financial Statements'!M49</f>
        <v>#DIV/0!</v>
      </c>
      <c r="K46" s="129" t="e">
        <f ca="1">('Financial Statements'!N52+'Financial Statements'!N49)/'Financial Statements'!N49</f>
        <v>#DIV/0!</v>
      </c>
    </row>
    <row r="47" spans="2:11" x14ac:dyDescent="0.2">
      <c r="B47" s="163" t="s">
        <v>280</v>
      </c>
      <c r="C47" s="131">
        <f>'Financial Statements'!F48/'Financial Statements'!F49</f>
        <v>-17.060962885675959</v>
      </c>
      <c r="D47" s="131">
        <f>'Financial Statements'!G48/'Financial Statements'!G49</f>
        <v>-9.0240312406127963</v>
      </c>
      <c r="E47" s="131">
        <f>'Financial Statements'!H48/'Financial Statements'!H49</f>
        <v>-17.517978620019438</v>
      </c>
      <c r="F47" s="129">
        <f>'Financial Statements'!I48/'Financial Statements'!I49</f>
        <v>-200.19173553719008</v>
      </c>
      <c r="G47" s="131" t="e">
        <f>'Financial Statements'!J48/'Financial Statements'!J49</f>
        <v>#DIV/0!</v>
      </c>
      <c r="H47" s="131" t="e">
        <f>'Financial Statements'!K48/'Financial Statements'!K49</f>
        <v>#DIV/0!</v>
      </c>
      <c r="I47" s="131" t="e">
        <f>'Financial Statements'!L48/'Financial Statements'!L49</f>
        <v>#DIV/0!</v>
      </c>
      <c r="J47" s="131" t="e">
        <f>'Financial Statements'!M48/'Financial Statements'!M49</f>
        <v>#DIV/0!</v>
      </c>
      <c r="K47" s="129" t="e">
        <f>'Financial Statements'!N48/'Financial Statements'!N49</f>
        <v>#DIV/0!</v>
      </c>
    </row>
    <row r="48" spans="2:11" x14ac:dyDescent="0.2">
      <c r="B48" s="163" t="s">
        <v>281</v>
      </c>
      <c r="C48" s="131">
        <f>'Financial Statements'!F110/(1-'Operating Assumptions'!F19)</f>
        <v>0</v>
      </c>
      <c r="D48" s="131">
        <f>'Financial Statements'!G110/(1-'Operating Assumptions'!G19)</f>
        <v>0</v>
      </c>
      <c r="E48" s="131">
        <f>'Financial Statements'!H110/(1-'Operating Assumptions'!H19)</f>
        <v>0</v>
      </c>
      <c r="F48" s="129">
        <f>'Financial Statements'!I110/(1-'Operating Assumptions'!I19)</f>
        <v>0</v>
      </c>
      <c r="G48" s="131">
        <f>'Financial Statements'!J110/(1-'Operating Assumptions'!J19)</f>
        <v>0</v>
      </c>
      <c r="H48" s="131">
        <f>'Financial Statements'!K110/(1-'Operating Assumptions'!K19)</f>
        <v>0</v>
      </c>
      <c r="I48" s="131">
        <f>'Financial Statements'!L110/(1-'Operating Assumptions'!L19)</f>
        <v>0</v>
      </c>
      <c r="J48" s="131">
        <f>'Financial Statements'!M110/(1-'Operating Assumptions'!M19)</f>
        <v>0</v>
      </c>
      <c r="K48" s="129">
        <f>'Financial Statements'!N110/(1-'Operating Assumptions'!N19)</f>
        <v>0</v>
      </c>
    </row>
    <row r="49" spans="2:11" x14ac:dyDescent="0.2">
      <c r="B49" s="163" t="s">
        <v>282</v>
      </c>
      <c r="C49" s="131"/>
      <c r="D49" s="131"/>
      <c r="E49" s="131"/>
      <c r="F49" s="129"/>
      <c r="G49" s="131"/>
      <c r="H49" s="131"/>
      <c r="I49" s="131"/>
      <c r="J49" s="131"/>
      <c r="K49" s="129"/>
    </row>
    <row r="50" spans="2:11" x14ac:dyDescent="0.2">
      <c r="B50" s="163" t="s">
        <v>283</v>
      </c>
      <c r="C50" s="131">
        <f>('Financial Statements'!F48+'Financial Statements'!F44+'Financial Statements'!F45)/'Financial Statements'!F49</f>
        <v>-17.060962885675959</v>
      </c>
      <c r="D50" s="131">
        <f>('Financial Statements'!G48+'Financial Statements'!G44+'Financial Statements'!G45)/'Financial Statements'!G49</f>
        <v>-9.0240312406127963</v>
      </c>
      <c r="E50" s="131">
        <f>('Financial Statements'!H48+'Financial Statements'!H44+'Financial Statements'!H45)/'Financial Statements'!H49</f>
        <v>-17.517978620019438</v>
      </c>
      <c r="F50" s="129">
        <f>('Financial Statements'!I48+'Financial Statements'!I44+'Financial Statements'!I45)/'Financial Statements'!I49</f>
        <v>-200.19173553719008</v>
      </c>
      <c r="G50" s="131" t="e">
        <f>('Financial Statements'!J48+'Financial Statements'!J44+'Financial Statements'!J45)/'Financial Statements'!J49</f>
        <v>#DIV/0!</v>
      </c>
      <c r="H50" s="131" t="e">
        <f>('Financial Statements'!K48+'Financial Statements'!K44+'Financial Statements'!K45)/'Financial Statements'!K49</f>
        <v>#DIV/0!</v>
      </c>
      <c r="I50" s="131" t="e">
        <f>('Financial Statements'!L48+'Financial Statements'!L44+'Financial Statements'!L45)/'Financial Statements'!L49</f>
        <v>#DIV/0!</v>
      </c>
      <c r="J50" s="131" t="e">
        <f>('Financial Statements'!M48+'Financial Statements'!M44+'Financial Statements'!M45)/'Financial Statements'!M49</f>
        <v>#DIV/0!</v>
      </c>
      <c r="K50" s="129" t="e">
        <f>('Financial Statements'!N48+'Financial Statements'!N44+'Financial Statements'!N45)/'Financial Statements'!N49</f>
        <v>#DIV/0!</v>
      </c>
    </row>
    <row r="51" spans="2:11" x14ac:dyDescent="0.2">
      <c r="B51" s="163" t="s">
        <v>284</v>
      </c>
      <c r="C51" s="131"/>
      <c r="D51" s="131">
        <f>'Financial Statements'!G153/('Financial Statements'!G112+'Financial Statements'!G120)</f>
        <v>0.55602153519109021</v>
      </c>
      <c r="E51" s="131">
        <f>'Financial Statements'!H153/('Financial Statements'!H112+'Financial Statements'!H120)</f>
        <v>-0.93794613887086309</v>
      </c>
      <c r="F51" s="129">
        <f>'Financial Statements'!I153/('Financial Statements'!I112+'Financial Statements'!I120)</f>
        <v>0.21835171322010249</v>
      </c>
      <c r="G51" s="131">
        <f ca="1">'Financial Statements'!J153/('Financial Statements'!J112+'Financial Statements'!J120)</f>
        <v>0.54416413131878294</v>
      </c>
      <c r="H51" s="131">
        <f ca="1">'Financial Statements'!K153/('Financial Statements'!K112+'Financial Statements'!K120)</f>
        <v>0.54771309320201844</v>
      </c>
      <c r="I51" s="131">
        <f ca="1">'Financial Statements'!L153/('Financial Statements'!L112+'Financial Statements'!L120)</f>
        <v>0.58285788506563452</v>
      </c>
      <c r="J51" s="131">
        <f ca="1">'Financial Statements'!M153/('Financial Statements'!M112+'Financial Statements'!M120)</f>
        <v>0.58852988266736184</v>
      </c>
      <c r="K51" s="129">
        <f ca="1">'Financial Statements'!N153/('Financial Statements'!N112+'Financial Statements'!N120)</f>
        <v>0.63343118332767523</v>
      </c>
    </row>
    <row r="52" spans="2:11" x14ac:dyDescent="0.2">
      <c r="B52" s="161" t="s">
        <v>285</v>
      </c>
      <c r="C52" s="140"/>
      <c r="D52" s="140"/>
      <c r="E52" s="140"/>
      <c r="F52" s="20"/>
      <c r="G52" s="140"/>
      <c r="H52" s="140"/>
      <c r="I52" s="140"/>
      <c r="J52" s="140"/>
      <c r="K52" s="20"/>
    </row>
    <row r="53" spans="2:11" x14ac:dyDescent="0.2">
      <c r="B53" s="163" t="s">
        <v>286</v>
      </c>
      <c r="C53" s="140">
        <f>('Financial Statements'!F58/'Financial Statements'!F63)/Share_Price</f>
        <v>0</v>
      </c>
      <c r="D53" s="140">
        <f>('Financial Statements'!G58/'Financial Statements'!G63)/Share_Price</f>
        <v>0</v>
      </c>
      <c r="E53" s="140">
        <f>('Financial Statements'!H58/'Financial Statements'!H63)/Share_Price</f>
        <v>0</v>
      </c>
      <c r="F53" s="20">
        <f>('Financial Statements'!I58/'Financial Statements'!I63)/Share_Price</f>
        <v>0</v>
      </c>
      <c r="G53" s="140">
        <f>('Financial Statements'!J58/'Financial Statements'!J63)/Share_Price</f>
        <v>0</v>
      </c>
      <c r="H53" s="140">
        <f>('Financial Statements'!K58/'Financial Statements'!K63)/Share_Price</f>
        <v>0</v>
      </c>
      <c r="I53" s="140">
        <f>('Financial Statements'!L58/'Financial Statements'!L63)/Share_Price</f>
        <v>0</v>
      </c>
      <c r="J53" s="140">
        <f>('Financial Statements'!M58/'Financial Statements'!M63)/Share_Price</f>
        <v>0</v>
      </c>
      <c r="K53" s="20">
        <f>('Financial Statements'!N58/'Financial Statements'!N63)/Share_Price</f>
        <v>0</v>
      </c>
    </row>
    <row r="54" spans="2:11" x14ac:dyDescent="0.2">
      <c r="B54" s="163" t="s">
        <v>287</v>
      </c>
      <c r="C54" s="140">
        <f>'Financial Statements'!F58/'Financial Statements'!F57</f>
        <v>0</v>
      </c>
      <c r="D54" s="140">
        <f>'Financial Statements'!G58/'Financial Statements'!G57</f>
        <v>0</v>
      </c>
      <c r="E54" s="140">
        <f>'Financial Statements'!H58/'Financial Statements'!H57</f>
        <v>0</v>
      </c>
      <c r="F54" s="20">
        <f>'Financial Statements'!I58/'Financial Statements'!I57</f>
        <v>0</v>
      </c>
      <c r="G54" s="140">
        <f ca="1">'Financial Statements'!J58/'Financial Statements'!J57</f>
        <v>0</v>
      </c>
      <c r="H54" s="140">
        <f ca="1">'Financial Statements'!K58/'Financial Statements'!K57</f>
        <v>0</v>
      </c>
      <c r="I54" s="140">
        <f ca="1">'Financial Statements'!L58/'Financial Statements'!L57</f>
        <v>0</v>
      </c>
      <c r="J54" s="140">
        <f ca="1">'Financial Statements'!M58/'Financial Statements'!M57</f>
        <v>0</v>
      </c>
      <c r="K54" s="20">
        <f ca="1">'Financial Statements'!N58/'Financial Statements'!N57</f>
        <v>0</v>
      </c>
    </row>
    <row r="55" spans="2:11" x14ac:dyDescent="0.2">
      <c r="B55" s="164"/>
      <c r="C55" s="140"/>
      <c r="D55" s="140"/>
      <c r="E55" s="140"/>
      <c r="F55" s="20"/>
      <c r="G55" s="140"/>
      <c r="H55" s="140"/>
      <c r="I55" s="140"/>
      <c r="J55" s="140"/>
      <c r="K55" s="20"/>
    </row>
    <row r="56" spans="2:11" x14ac:dyDescent="0.2">
      <c r="B56" s="161" t="s">
        <v>288</v>
      </c>
      <c r="C56" s="140"/>
      <c r="D56" s="140"/>
      <c r="E56" s="140"/>
      <c r="F56" s="20"/>
      <c r="G56" s="140"/>
      <c r="H56" s="140"/>
      <c r="I56" s="140"/>
      <c r="J56" s="140"/>
      <c r="K56" s="20"/>
    </row>
    <row r="57" spans="2:11" x14ac:dyDescent="0.2">
      <c r="B57" s="163" t="s">
        <v>289</v>
      </c>
      <c r="C57" s="140">
        <f>'Financial Statements'!F52/'Financial Statements'!F35</f>
        <v>0.24890357602895172</v>
      </c>
      <c r="D57" s="140">
        <f>'Financial Statements'!G52/'Financial Statements'!G35</f>
        <v>0.10950523953726499</v>
      </c>
      <c r="E57" s="140">
        <f>'Financial Statements'!H52/'Financial Statements'!H35</f>
        <v>5.5606115762650163E-2</v>
      </c>
      <c r="F57" s="20">
        <f>'Financial Statements'!I52/'Financial Statements'!I35</f>
        <v>0.22666035203450335</v>
      </c>
      <c r="G57" s="140">
        <f ca="1">'Financial Statements'!J52/'Financial Statements'!J35</f>
        <v>0.18683396367587193</v>
      </c>
      <c r="H57" s="140">
        <f ca="1">'Financial Statements'!K52/'Financial Statements'!K35</f>
        <v>0.18815445819319937</v>
      </c>
      <c r="I57" s="140">
        <f ca="1">'Financial Statements'!L52/'Financial Statements'!L35</f>
        <v>0.19955949306507667</v>
      </c>
      <c r="J57" s="140">
        <f ca="1">'Financial Statements'!M52/'Financial Statements'!M35</f>
        <v>0.20166992478618234</v>
      </c>
      <c r="K57" s="20">
        <f ca="1">'Financial Statements'!N52/'Financial Statements'!N35</f>
        <v>0.21667331245759514</v>
      </c>
    </row>
    <row r="58" spans="2:11" x14ac:dyDescent="0.2">
      <c r="B58" s="163" t="s">
        <v>290</v>
      </c>
      <c r="C58" s="131">
        <f>C21</f>
        <v>0.65692210055505751</v>
      </c>
      <c r="D58" s="131">
        <f t="shared" ref="D58:K58" si="0">D21</f>
        <v>0.59067348178346046</v>
      </c>
      <c r="E58" s="131">
        <f t="shared" si="0"/>
        <v>0.46678632278933291</v>
      </c>
      <c r="F58" s="129">
        <f t="shared" si="0"/>
        <v>0.69300571570898917</v>
      </c>
      <c r="G58" s="131">
        <f t="shared" ca="1" si="0"/>
        <v>0.64600855786534017</v>
      </c>
      <c r="H58" s="131">
        <f t="shared" ca="1" si="0"/>
        <v>0.60713971157197477</v>
      </c>
      <c r="I58" s="131">
        <f t="shared" ca="1" si="0"/>
        <v>0.5680851073662414</v>
      </c>
      <c r="J58" s="131">
        <f t="shared" ca="1" si="0"/>
        <v>0.53512984607271352</v>
      </c>
      <c r="K58" s="129">
        <f t="shared" ca="1" si="0"/>
        <v>0.50087403619934356</v>
      </c>
    </row>
    <row r="59" spans="2:11" x14ac:dyDescent="0.2">
      <c r="B59" s="163" t="s">
        <v>272</v>
      </c>
      <c r="C59" s="131">
        <f>C39</f>
        <v>1.5771911114288721</v>
      </c>
      <c r="D59" s="131">
        <f t="shared" ref="D59:K59" si="1">D39</f>
        <v>1.5018437347804912</v>
      </c>
      <c r="E59" s="131">
        <f t="shared" si="1"/>
        <v>1.2300725415289522</v>
      </c>
      <c r="F59" s="129">
        <f t="shared" si="1"/>
        <v>1.2397560559810352</v>
      </c>
      <c r="G59" s="131">
        <f t="shared" ca="1" si="1"/>
        <v>1.219920881316342</v>
      </c>
      <c r="H59" s="131">
        <f t="shared" ca="1" si="1"/>
        <v>1.2039895321146905</v>
      </c>
      <c r="I59" s="131">
        <f t="shared" ca="1" si="1"/>
        <v>1.1883957106255176</v>
      </c>
      <c r="J59" s="131">
        <f t="shared" ca="1" si="1"/>
        <v>1.1755480881837967</v>
      </c>
      <c r="K59" s="129">
        <f t="shared" ca="1" si="1"/>
        <v>1.1624846231602781</v>
      </c>
    </row>
    <row r="60" spans="2:11" x14ac:dyDescent="0.2">
      <c r="B60" s="163" t="s">
        <v>291</v>
      </c>
      <c r="C60" s="140">
        <f>1-'Operating Assumptions'!F19</f>
        <v>0.65797215291254663</v>
      </c>
      <c r="D60" s="140">
        <f>1-'Operating Assumptions'!G19</f>
        <v>0.67000238739455675</v>
      </c>
      <c r="E60" s="140">
        <f>1-'Operating Assumptions'!H19</f>
        <v>0.50964461070844047</v>
      </c>
      <c r="F60" s="20">
        <f>1-'Operating Assumptions'!I19</f>
        <v>0.75</v>
      </c>
      <c r="G60" s="140">
        <f>1-'Operating Assumptions'!J19</f>
        <v>0.75</v>
      </c>
      <c r="H60" s="140">
        <f>1-'Operating Assumptions'!K19</f>
        <v>0.75</v>
      </c>
      <c r="I60" s="140">
        <f>1-'Operating Assumptions'!L19</f>
        <v>0.75</v>
      </c>
      <c r="J60" s="140">
        <f>1-'Operating Assumptions'!M19</f>
        <v>0.75</v>
      </c>
      <c r="K60" s="20">
        <f>1-'Operating Assumptions'!N19</f>
        <v>0.75</v>
      </c>
    </row>
    <row r="61" spans="2:11" x14ac:dyDescent="0.2">
      <c r="B61" s="163" t="s">
        <v>292</v>
      </c>
      <c r="C61" s="157">
        <f>PRODUCT(C57:C60)</f>
        <v>0.16968241768499157</v>
      </c>
      <c r="D61" s="157">
        <f t="shared" ref="D61:K61" si="2">PRODUCT(D57:D60)</f>
        <v>6.5085383860169918E-2</v>
      </c>
      <c r="E61" s="157">
        <f t="shared" si="2"/>
        <v>1.6271921557356701E-2</v>
      </c>
      <c r="F61" s="159">
        <f t="shared" si="2"/>
        <v>0.14605279663933662</v>
      </c>
      <c r="G61" s="157">
        <f t="shared" ca="1" si="2"/>
        <v>0.11042998858095777</v>
      </c>
      <c r="H61" s="157">
        <f t="shared" ca="1" si="2"/>
        <v>0.1031542504036444</v>
      </c>
      <c r="I61" s="157">
        <f t="shared" ca="1" si="2"/>
        <v>0.10104344278344558</v>
      </c>
      <c r="J61" s="157">
        <f t="shared" ca="1" si="2"/>
        <v>9.5148505897533819E-2</v>
      </c>
      <c r="K61" s="159">
        <f t="shared" ca="1" si="2"/>
        <v>9.4619886524089925E-2</v>
      </c>
    </row>
    <row r="62" spans="2:11" x14ac:dyDescent="0.2">
      <c r="B62" s="164"/>
      <c r="C62" s="140"/>
      <c r="D62" s="140"/>
      <c r="E62" s="140"/>
      <c r="F62" s="20"/>
      <c r="G62" s="140"/>
      <c r="H62" s="140"/>
      <c r="I62" s="140"/>
      <c r="J62" s="140"/>
      <c r="K62" s="20"/>
    </row>
    <row r="63" spans="2:11" x14ac:dyDescent="0.2">
      <c r="B63" s="161" t="s">
        <v>293</v>
      </c>
      <c r="C63" s="140"/>
      <c r="D63" s="140"/>
      <c r="E63" s="140"/>
      <c r="F63" s="20"/>
      <c r="G63" s="140"/>
      <c r="H63" s="140"/>
      <c r="I63" s="140"/>
      <c r="J63" s="140"/>
      <c r="K63" s="20"/>
    </row>
    <row r="64" spans="2:11" x14ac:dyDescent="0.2">
      <c r="B64" s="163" t="s">
        <v>290</v>
      </c>
      <c r="C64" s="131">
        <f>C21</f>
        <v>0.65692210055505751</v>
      </c>
      <c r="D64" s="131">
        <f t="shared" ref="D64:K64" si="3">D21</f>
        <v>0.59067348178346046</v>
      </c>
      <c r="E64" s="131">
        <f t="shared" si="3"/>
        <v>0.46678632278933291</v>
      </c>
      <c r="F64" s="129">
        <f t="shared" si="3"/>
        <v>0.69300571570898917</v>
      </c>
      <c r="G64" s="131">
        <f t="shared" ca="1" si="3"/>
        <v>0.64600855786534017</v>
      </c>
      <c r="H64" s="131">
        <f t="shared" ca="1" si="3"/>
        <v>0.60713971157197477</v>
      </c>
      <c r="I64" s="131">
        <f t="shared" ca="1" si="3"/>
        <v>0.5680851073662414</v>
      </c>
      <c r="J64" s="131">
        <f t="shared" ca="1" si="3"/>
        <v>0.53512984607271352</v>
      </c>
      <c r="K64" s="129">
        <f t="shared" ca="1" si="3"/>
        <v>0.50087403619934356</v>
      </c>
    </row>
    <row r="65" spans="2:11" x14ac:dyDescent="0.2">
      <c r="B65" s="163" t="s">
        <v>294</v>
      </c>
      <c r="C65" s="140">
        <f>C18</f>
        <v>0.13427168312580506</v>
      </c>
      <c r="D65" s="140">
        <f t="shared" ref="D65:K65" si="4">D18</f>
        <v>9.475828413324329E-2</v>
      </c>
      <c r="E65" s="140">
        <f t="shared" si="4"/>
        <v>3.1323131728118986E-2</v>
      </c>
      <c r="F65" s="20">
        <f t="shared" si="4"/>
        <v>0.17005516567485759</v>
      </c>
      <c r="G65" s="140">
        <f t="shared" ca="1" si="4"/>
        <v>0.13530279196949088</v>
      </c>
      <c r="H65" s="140">
        <f t="shared" ca="1" si="4"/>
        <v>0.13497266834015911</v>
      </c>
      <c r="I65" s="140">
        <f t="shared" ca="1" si="4"/>
        <v>0.13531249806200432</v>
      </c>
      <c r="J65" s="140">
        <f t="shared" ca="1" si="4"/>
        <v>0.13478489013172781</v>
      </c>
      <c r="K65" s="20">
        <f t="shared" ca="1" si="4"/>
        <v>0.13428591429063819</v>
      </c>
    </row>
    <row r="66" spans="2:11" x14ac:dyDescent="0.2">
      <c r="B66" s="163" t="s">
        <v>295</v>
      </c>
      <c r="C66" s="157">
        <f>PRODUCT(C64:C65)</f>
        <v>8.8206036124066939E-2</v>
      </c>
      <c r="D66" s="157">
        <f t="shared" ref="D66:K66" si="5">PRODUCT(D64:D65)</f>
        <v>5.5971205616809253E-2</v>
      </c>
      <c r="E66" s="157">
        <f t="shared" si="5"/>
        <v>1.4621209477614545E-2</v>
      </c>
      <c r="F66" s="159">
        <f t="shared" si="5"/>
        <v>0.11784920179851542</v>
      </c>
      <c r="G66" s="157">
        <f t="shared" ca="1" si="5"/>
        <v>8.7406761515364931E-2</v>
      </c>
      <c r="H66" s="157">
        <f t="shared" ca="1" si="5"/>
        <v>8.1947266926144013E-2</v>
      </c>
      <c r="I66" s="157">
        <f t="shared" ca="1" si="5"/>
        <v>7.6869014989548054E-2</v>
      </c>
      <c r="J66" s="157">
        <f t="shared" ca="1" si="5"/>
        <v>7.2127417509119107E-2</v>
      </c>
      <c r="K66" s="159">
        <f t="shared" ca="1" si="5"/>
        <v>6.7260327895471053E-2</v>
      </c>
    </row>
    <row r="67" spans="2:11" x14ac:dyDescent="0.2">
      <c r="B67" s="18"/>
      <c r="C67" s="16"/>
      <c r="D67" s="16"/>
      <c r="E67" s="16"/>
      <c r="F67" s="19"/>
      <c r="G67" s="16"/>
      <c r="H67" s="16"/>
      <c r="I67" s="16"/>
      <c r="J67" s="16"/>
      <c r="K67" s="19"/>
    </row>
  </sheetData>
  <pageMargins left="0.7" right="0.7" top="0.75" bottom="0.75" header="0.3" footer="0.3"/>
  <ignoredErrors>
    <ignoredError sqref="C46:K47 C50:K50" evalError="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90" zoomScaleNormal="90" workbookViewId="0">
      <selection activeCell="C7" sqref="C7"/>
    </sheetView>
  </sheetViews>
  <sheetFormatPr defaultRowHeight="12.75" x14ac:dyDescent="0.2"/>
  <cols>
    <col min="1" max="1" width="2.85546875" customWidth="1"/>
    <col min="2" max="2" width="28.7109375" customWidth="1"/>
    <col min="3" max="3" width="12.7109375" bestFit="1" customWidth="1"/>
    <col min="4" max="4" width="14.42578125" bestFit="1" customWidth="1"/>
    <col min="5" max="5" width="15.42578125" bestFit="1" customWidth="1"/>
  </cols>
  <sheetData>
    <row r="1" spans="2:7" x14ac:dyDescent="0.2">
      <c r="B1" s="1" t="str">
        <f>"WACC Analysis - "&amp;TEXT(Company_Name,"")</f>
        <v>WACC Analysis - Cymer Inc.</v>
      </c>
    </row>
    <row r="3" spans="2:7" x14ac:dyDescent="0.2">
      <c r="B3" s="35" t="s">
        <v>6</v>
      </c>
      <c r="C3" s="37"/>
    </row>
    <row r="4" spans="2:7" x14ac:dyDescent="0.2">
      <c r="B4" s="38" t="s">
        <v>52</v>
      </c>
      <c r="C4" s="57">
        <v>1.7999999999999999E-2</v>
      </c>
    </row>
    <row r="5" spans="2:7" x14ac:dyDescent="0.2">
      <c r="B5" s="10" t="s">
        <v>53</v>
      </c>
      <c r="C5" s="23">
        <v>0.08</v>
      </c>
    </row>
    <row r="6" spans="2:7" x14ac:dyDescent="0.2">
      <c r="B6" s="10" t="s">
        <v>56</v>
      </c>
      <c r="C6" s="153">
        <v>1.32</v>
      </c>
    </row>
    <row r="7" spans="2:7" x14ac:dyDescent="0.2">
      <c r="B7" s="10" t="s">
        <v>21</v>
      </c>
      <c r="C7" s="20">
        <f>Tax_Rate</f>
        <v>0.25</v>
      </c>
    </row>
    <row r="8" spans="2:7" x14ac:dyDescent="0.2">
      <c r="B8" s="10" t="s">
        <v>54</v>
      </c>
      <c r="C8" s="99">
        <f>'Financial Statements'!E13</f>
        <v>0</v>
      </c>
    </row>
    <row r="9" spans="2:7" x14ac:dyDescent="0.2">
      <c r="B9" s="39" t="s">
        <v>55</v>
      </c>
      <c r="C9" s="101">
        <f>'Financial Statements'!E11</f>
        <v>1374300</v>
      </c>
    </row>
    <row r="12" spans="2:7" x14ac:dyDescent="0.2">
      <c r="B12" s="29" t="s">
        <v>46</v>
      </c>
      <c r="C12" s="30"/>
      <c r="D12" s="30"/>
      <c r="E12" s="30"/>
      <c r="F12" s="30"/>
      <c r="G12" s="31"/>
    </row>
    <row r="13" spans="2:7" x14ac:dyDescent="0.2">
      <c r="B13" s="40"/>
      <c r="C13" s="41" t="s">
        <v>49</v>
      </c>
      <c r="D13" s="41"/>
      <c r="E13" s="41" t="s">
        <v>1</v>
      </c>
      <c r="F13" s="41"/>
      <c r="G13" s="42" t="s">
        <v>51</v>
      </c>
    </row>
    <row r="14" spans="2:7" x14ac:dyDescent="0.2">
      <c r="B14" s="32" t="s">
        <v>47</v>
      </c>
      <c r="C14" s="43" t="s">
        <v>7</v>
      </c>
      <c r="D14" s="43" t="s">
        <v>18</v>
      </c>
      <c r="E14" s="43" t="s">
        <v>50</v>
      </c>
      <c r="F14" s="43" t="s">
        <v>45</v>
      </c>
      <c r="G14" s="44" t="s">
        <v>7</v>
      </c>
    </row>
    <row r="15" spans="2:7" x14ac:dyDescent="0.2">
      <c r="B15" s="106" t="s">
        <v>357</v>
      </c>
      <c r="C15" s="46">
        <v>1</v>
      </c>
      <c r="D15" s="98">
        <f>Comps!G7*1000</f>
        <v>0</v>
      </c>
      <c r="E15" s="98">
        <f>Comps!E7*1000</f>
        <v>1000000000</v>
      </c>
      <c r="F15" s="154">
        <v>0.4</v>
      </c>
      <c r="G15" s="48">
        <f t="shared" ref="G15:G20" si="0">C15/(1+(1-F15)*(D15/E15))</f>
        <v>1</v>
      </c>
    </row>
    <row r="16" spans="2:7" x14ac:dyDescent="0.2">
      <c r="B16" s="70" t="s">
        <v>358</v>
      </c>
      <c r="C16" s="47">
        <v>1</v>
      </c>
      <c r="D16" s="98">
        <f>Comps!G8*1000</f>
        <v>0</v>
      </c>
      <c r="E16" s="98">
        <f>Comps!E8*1000</f>
        <v>1000000000</v>
      </c>
      <c r="F16" s="141">
        <v>0.4</v>
      </c>
      <c r="G16" s="49">
        <f t="shared" si="0"/>
        <v>1</v>
      </c>
    </row>
    <row r="17" spans="2:7" x14ac:dyDescent="0.2">
      <c r="B17" s="70" t="s">
        <v>359</v>
      </c>
      <c r="C17" s="47">
        <v>1</v>
      </c>
      <c r="D17" s="98">
        <f>Comps!G9*1000</f>
        <v>0</v>
      </c>
      <c r="E17" s="98">
        <f>Comps!E9*1000</f>
        <v>1000000000</v>
      </c>
      <c r="F17" s="141">
        <v>0.4</v>
      </c>
      <c r="G17" s="49">
        <f t="shared" si="0"/>
        <v>1</v>
      </c>
    </row>
    <row r="18" spans="2:7" x14ac:dyDescent="0.2">
      <c r="B18" s="70" t="s">
        <v>360</v>
      </c>
      <c r="C18" s="47">
        <v>1</v>
      </c>
      <c r="D18" s="98">
        <f>Comps!G10*1000</f>
        <v>0</v>
      </c>
      <c r="E18" s="98">
        <f>Comps!E10*1000</f>
        <v>1000000000</v>
      </c>
      <c r="F18" s="141">
        <v>0.4</v>
      </c>
      <c r="G18" s="49">
        <f t="shared" si="0"/>
        <v>1</v>
      </c>
    </row>
    <row r="19" spans="2:7" x14ac:dyDescent="0.2">
      <c r="B19" s="70" t="s">
        <v>361</v>
      </c>
      <c r="C19" s="47">
        <v>1</v>
      </c>
      <c r="D19" s="98">
        <f>Comps!G11*1000</f>
        <v>0</v>
      </c>
      <c r="E19" s="98">
        <f>Comps!E11*1000</f>
        <v>1000000000</v>
      </c>
      <c r="F19" s="141">
        <v>0.4</v>
      </c>
      <c r="G19" s="49">
        <f t="shared" si="0"/>
        <v>1</v>
      </c>
    </row>
    <row r="20" spans="2:7" x14ac:dyDescent="0.2">
      <c r="B20" s="70" t="s">
        <v>362</v>
      </c>
      <c r="C20" s="47">
        <v>1</v>
      </c>
      <c r="D20" s="98">
        <f>Comps!G12*1000</f>
        <v>0</v>
      </c>
      <c r="E20" s="98">
        <f>Comps!E12*1000</f>
        <v>1000000000</v>
      </c>
      <c r="F20" s="141">
        <v>0.4</v>
      </c>
      <c r="G20" s="49">
        <f t="shared" si="0"/>
        <v>1</v>
      </c>
    </row>
    <row r="21" spans="2:7" x14ac:dyDescent="0.2">
      <c r="B21" s="18"/>
      <c r="C21" s="45"/>
      <c r="D21" s="16"/>
      <c r="E21" s="16"/>
      <c r="F21" s="45"/>
      <c r="G21" s="19"/>
    </row>
    <row r="22" spans="2:7" x14ac:dyDescent="0.2">
      <c r="B22" s="50" t="s">
        <v>48</v>
      </c>
      <c r="C22" s="51">
        <f>MEDIAN(C15:C20)</f>
        <v>1</v>
      </c>
      <c r="D22" s="51"/>
      <c r="E22" s="51"/>
      <c r="F22" s="51"/>
      <c r="G22" s="52">
        <f>MEDIAN(G15:G20)</f>
        <v>1</v>
      </c>
    </row>
    <row r="24" spans="2:7" x14ac:dyDescent="0.2">
      <c r="B24" s="53" t="str">
        <f>Company_Name</f>
        <v>Cymer Inc.</v>
      </c>
      <c r="C24" s="54">
        <f>C6</f>
        <v>1.32</v>
      </c>
      <c r="D24" s="222">
        <f>C8</f>
        <v>0</v>
      </c>
      <c r="E24" s="222">
        <f>C9</f>
        <v>1374300</v>
      </c>
      <c r="F24" s="55">
        <f>C7</f>
        <v>0.25</v>
      </c>
      <c r="G24" s="56">
        <f>C24/(1+(1-F24)*(D24/E24))</f>
        <v>1.32</v>
      </c>
    </row>
    <row r="26" spans="2:7" x14ac:dyDescent="0.2">
      <c r="B26" s="29" t="s">
        <v>57</v>
      </c>
      <c r="C26" s="30"/>
      <c r="D26" s="30"/>
      <c r="E26" s="30"/>
      <c r="F26" s="30"/>
      <c r="G26" s="31"/>
    </row>
    <row r="27" spans="2:7" x14ac:dyDescent="0.2">
      <c r="B27" s="32"/>
      <c r="C27" s="33"/>
      <c r="D27" s="33"/>
      <c r="E27" s="33"/>
      <c r="F27" s="33"/>
      <c r="G27" s="34"/>
    </row>
    <row r="28" spans="2:7" x14ac:dyDescent="0.2">
      <c r="B28" s="38" t="s">
        <v>58</v>
      </c>
      <c r="C28" s="4"/>
      <c r="D28" s="4"/>
      <c r="E28" s="4"/>
      <c r="F28" s="4"/>
      <c r="G28" s="58">
        <f>$C$4+C22*($C$5-$C$4)</f>
        <v>0.08</v>
      </c>
    </row>
    <row r="29" spans="2:7" x14ac:dyDescent="0.2">
      <c r="B29" s="10" t="s">
        <v>59</v>
      </c>
      <c r="C29" s="3"/>
      <c r="D29" s="3"/>
      <c r="E29" s="3"/>
      <c r="F29" s="3"/>
      <c r="G29" s="59">
        <f>$C$4+C24*($C$5-$C$4)</f>
        <v>9.9840000000000012E-2</v>
      </c>
    </row>
    <row r="30" spans="2:7" x14ac:dyDescent="0.2">
      <c r="B30" s="2"/>
      <c r="C30" s="3"/>
      <c r="D30" s="3"/>
      <c r="E30" s="3"/>
      <c r="F30" s="3"/>
      <c r="G30" s="12"/>
    </row>
    <row r="31" spans="2:7" x14ac:dyDescent="0.2">
      <c r="B31" s="10" t="s">
        <v>60</v>
      </c>
      <c r="C31" s="3"/>
      <c r="D31" s="3"/>
      <c r="E31" s="3"/>
      <c r="F31" s="3"/>
      <c r="G31" s="59">
        <f>$C$4+G22*($C$5-$C$4)</f>
        <v>0.08</v>
      </c>
    </row>
    <row r="32" spans="2:7" x14ac:dyDescent="0.2">
      <c r="B32" s="39" t="s">
        <v>61</v>
      </c>
      <c r="C32" s="16"/>
      <c r="D32" s="16"/>
      <c r="E32" s="16"/>
      <c r="F32" s="16"/>
      <c r="G32" s="60">
        <f>$C$4+G24*($C$5-$C$4)</f>
        <v>9.9840000000000012E-2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63"/>
  <sheetViews>
    <sheetView zoomScale="90" zoomScaleNormal="90" workbookViewId="0">
      <selection activeCell="C29" sqref="C29"/>
    </sheetView>
  </sheetViews>
  <sheetFormatPr defaultColWidth="9.140625" defaultRowHeight="12.75" x14ac:dyDescent="0.2"/>
  <cols>
    <col min="1" max="1" width="3.140625" style="63" customWidth="1"/>
    <col min="2" max="3" width="9.140625" style="63"/>
    <col min="4" max="4" width="12" style="63" customWidth="1"/>
    <col min="5" max="5" width="11.42578125" style="63" customWidth="1"/>
    <col min="6" max="6" width="11.7109375" style="63" customWidth="1"/>
    <col min="7" max="9" width="12.140625" style="63" customWidth="1"/>
    <col min="10" max="10" width="11.140625" style="63" customWidth="1"/>
    <col min="11" max="15" width="12.140625" style="63" bestFit="1" customWidth="1"/>
    <col min="16" max="18" width="9.140625" style="63"/>
    <col min="19" max="19" width="12.5703125" style="63" customWidth="1"/>
    <col min="20" max="20" width="23.140625" style="63" bestFit="1" customWidth="1"/>
    <col min="21" max="21" width="10.7109375" style="63" customWidth="1"/>
    <col min="22" max="16384" width="9.140625" style="63"/>
  </cols>
  <sheetData>
    <row r="1" spans="2:21" x14ac:dyDescent="0.2">
      <c r="B1" s="1" t="str">
        <f>"Discounted Cash Flow Analysis - "&amp;TEXT(Company_Name,"")</f>
        <v>Discounted Cash Flow Analysis - Cymer Inc.</v>
      </c>
    </row>
    <row r="2" spans="2:21" x14ac:dyDescent="0.2">
      <c r="B2" s="1"/>
      <c r="E2"/>
    </row>
    <row r="3" spans="2:21" x14ac:dyDescent="0.2">
      <c r="B3" s="29" t="str">
        <f>TEXT(Company_Name,"")&amp; " - Cash Flow Projections"</f>
        <v>Cymer Inc. - Cash Flow Projections</v>
      </c>
      <c r="C3" s="30"/>
      <c r="D3" s="30"/>
      <c r="E3" s="30"/>
      <c r="F3" s="30"/>
      <c r="G3" s="30"/>
      <c r="H3" s="30"/>
      <c r="I3" s="30"/>
      <c r="J3" s="30"/>
      <c r="K3" s="30"/>
      <c r="L3" s="30"/>
      <c r="M3" s="30"/>
      <c r="N3" s="30"/>
      <c r="O3" s="31"/>
      <c r="Q3" s="29" t="s">
        <v>23</v>
      </c>
      <c r="R3" s="30"/>
      <c r="S3" s="30"/>
      <c r="T3" s="31"/>
    </row>
    <row r="4" spans="2:21" x14ac:dyDescent="0.2">
      <c r="B4" s="32"/>
      <c r="C4" s="33"/>
      <c r="D4" s="33"/>
      <c r="E4" s="33"/>
      <c r="F4" s="33" t="str">
        <f>'Financial Statements'!F21</f>
        <v>FY 2007</v>
      </c>
      <c r="G4" s="33" t="str">
        <f>'Financial Statements'!G21</f>
        <v>FY 2008</v>
      </c>
      <c r="H4" s="33" t="str">
        <f>'Financial Statements'!H21</f>
        <v>FY 2009</v>
      </c>
      <c r="I4" s="33" t="str">
        <f>'Financial Statements'!I21</f>
        <v>FY 2010</v>
      </c>
      <c r="J4" s="33"/>
      <c r="K4" s="33" t="str">
        <f>'Financial Statements'!J21</f>
        <v>FY 2011</v>
      </c>
      <c r="L4" s="33" t="str">
        <f>'Financial Statements'!K21</f>
        <v>FY 2012</v>
      </c>
      <c r="M4" s="33" t="str">
        <f>'Financial Statements'!L21</f>
        <v>FY 2013</v>
      </c>
      <c r="N4" s="33" t="str">
        <f>'Financial Statements'!M21</f>
        <v>FY 2014</v>
      </c>
      <c r="O4" s="34" t="str">
        <f>'Financial Statements'!N21</f>
        <v>FY 2015</v>
      </c>
      <c r="Q4" s="32"/>
      <c r="R4" s="33"/>
      <c r="S4" s="33"/>
      <c r="T4" s="34"/>
    </row>
    <row r="5" spans="2:21" x14ac:dyDescent="0.2">
      <c r="B5" s="106"/>
      <c r="C5" s="108"/>
      <c r="D5" s="108"/>
      <c r="E5"/>
      <c r="F5" s="108"/>
      <c r="G5" s="108"/>
      <c r="H5" s="108"/>
      <c r="I5" s="108"/>
      <c r="J5" s="108"/>
      <c r="K5" s="108"/>
      <c r="L5" s="108"/>
      <c r="M5" s="108"/>
      <c r="N5" s="108"/>
      <c r="O5" s="109"/>
      <c r="Q5" s="75" t="s">
        <v>62</v>
      </c>
      <c r="R5" s="61"/>
      <c r="S5" s="61"/>
      <c r="T5" s="62">
        <v>0</v>
      </c>
    </row>
    <row r="6" spans="2:21" x14ac:dyDescent="0.2">
      <c r="B6" s="70" t="s">
        <v>5</v>
      </c>
      <c r="C6" s="81"/>
      <c r="D6" s="81"/>
      <c r="E6"/>
      <c r="F6" s="122"/>
      <c r="G6" s="122">
        <f>'Financial Statements'!G48*(1-'Operating Assumptions'!G19)</f>
        <v>40255.083439439761</v>
      </c>
      <c r="H6" s="122">
        <f>'Financial Statements'!H48*(1-'Operating Assumptions'!H19)</f>
        <v>9186.853752630348</v>
      </c>
      <c r="I6" s="122">
        <f>'Financial Statements'!I48*(1-'Operating Assumptions'!I19)</f>
        <v>90837</v>
      </c>
      <c r="J6" s="122"/>
      <c r="K6" s="122">
        <f>'Financial Statements'!J48*(1-'Operating Assumptions'!J19)</f>
        <v>78028.732499999984</v>
      </c>
      <c r="L6" s="122">
        <f>'Financial Statements'!K48*(1-'Operating Assumptions'!K19)</f>
        <v>83490.743775000039</v>
      </c>
      <c r="M6" s="122">
        <f>'Financial Statements'!L48*(1-'Operating Assumptions'!L19)</f>
        <v>90051.806101499998</v>
      </c>
      <c r="N6" s="122">
        <f>'Financial Statements'!M48*(1-'Operating Assumptions'!M19)</f>
        <v>95454.914467589959</v>
      </c>
      <c r="O6" s="123">
        <f>'Financial Statements'!N48*(1-'Operating Assumptions'!N19)</f>
        <v>101987.50498630953</v>
      </c>
      <c r="Q6" s="70" t="s">
        <v>63</v>
      </c>
      <c r="R6" s="81"/>
      <c r="S6" s="81"/>
      <c r="T6" s="110">
        <f>IF(T5,WACC!G28,WACC!G29)</f>
        <v>9.9840000000000012E-2</v>
      </c>
    </row>
    <row r="7" spans="2:21" x14ac:dyDescent="0.2">
      <c r="B7" s="70" t="s">
        <v>11</v>
      </c>
      <c r="C7" s="81"/>
      <c r="D7" s="81"/>
      <c r="E7"/>
      <c r="F7" s="122"/>
      <c r="G7" s="122">
        <f>SUM('Financial Statements'!G138:G141)</f>
        <v>23575</v>
      </c>
      <c r="H7" s="122">
        <f>SUM('Financial Statements'!H138:H141)</f>
        <v>31441</v>
      </c>
      <c r="I7" s="122">
        <f>SUM('Financial Statements'!I138:I141)</f>
        <v>25699</v>
      </c>
      <c r="J7" s="122"/>
      <c r="K7" s="122">
        <f>SUM('Financial Statements'!J138:J141)</f>
        <v>25557.280000000024</v>
      </c>
      <c r="L7" s="122">
        <f>SUM('Financial Statements'!K138:K141)</f>
        <v>27346.289600000011</v>
      </c>
      <c r="M7" s="122">
        <f>SUM('Financial Statements'!L138:L141)</f>
        <v>26918.018675999985</v>
      </c>
      <c r="N7" s="122">
        <f>SUM('Financial Statements'!M138:M141)</f>
        <v>28533.099796560055</v>
      </c>
      <c r="O7" s="123">
        <f>SUM('Financial Statements'!N138:N141)</f>
        <v>27613.04020452801</v>
      </c>
      <c r="Q7" s="70" t="s">
        <v>64</v>
      </c>
      <c r="R7" s="81"/>
      <c r="S7" s="81"/>
      <c r="T7" s="110">
        <f>IF(T5,WACC!G31,WACC!G32)</f>
        <v>9.9840000000000012E-2</v>
      </c>
    </row>
    <row r="8" spans="2:21" x14ac:dyDescent="0.2">
      <c r="B8" s="70" t="s">
        <v>12</v>
      </c>
      <c r="C8" s="81"/>
      <c r="D8" s="81"/>
      <c r="E8"/>
      <c r="F8" s="122"/>
      <c r="G8" s="122">
        <f>SUM('Financial Statements'!G143:G152)</f>
        <v>84266</v>
      </c>
      <c r="H8" s="122">
        <f>SUM('Financial Statements'!H143:H152)</f>
        <v>-159047</v>
      </c>
      <c r="I8" s="122">
        <f>SUM('Financial Statements'!I143:I152)</f>
        <v>-84109</v>
      </c>
      <c r="J8" s="122"/>
      <c r="K8" s="122">
        <f ca="1">SUM('Financial Statements'!J143:J152)</f>
        <v>-18853.169999999995</v>
      </c>
      <c r="L8" s="122">
        <f ca="1">SUM('Financial Statements'!K143:K152)</f>
        <v>-20172.891900000013</v>
      </c>
      <c r="M8" s="122">
        <f ca="1">SUM('Financial Statements'!L143:L152)</f>
        <v>-18501.423714000019</v>
      </c>
      <c r="N8" s="122">
        <f ca="1">SUM('Financial Statements'!M143:M152)</f>
        <v>-19611.509136840054</v>
      </c>
      <c r="O8" s="123">
        <f ca="1">SUM('Financial Statements'!N143:N152)</f>
        <v>-17323.499737541977</v>
      </c>
      <c r="Q8" s="70" t="s">
        <v>21</v>
      </c>
      <c r="R8" s="81"/>
      <c r="S8" s="81"/>
      <c r="T8" s="111">
        <f>'Operating Assumptions'!I19</f>
        <v>0.25</v>
      </c>
    </row>
    <row r="9" spans="2:21" x14ac:dyDescent="0.2">
      <c r="B9" s="70" t="s">
        <v>13</v>
      </c>
      <c r="C9" s="81"/>
      <c r="D9" s="81"/>
      <c r="E9"/>
      <c r="F9" s="122"/>
      <c r="G9" s="122">
        <f>'Financial Statements'!G162+'Financial Statements'!G163+'Financial Statements'!G166</f>
        <v>-27589</v>
      </c>
      <c r="H9" s="122">
        <f>'Financial Statements'!H162+'Financial Statements'!H163+'Financial Statements'!H166</f>
        <v>1929</v>
      </c>
      <c r="I9" s="122">
        <f>'Financial Statements'!I162+'Financial Statements'!I163+'Financial Statements'!I166</f>
        <v>-6793</v>
      </c>
      <c r="J9" s="122"/>
      <c r="K9" s="122">
        <f>'Financial Statements'!J162+'Financial Statements'!J163+'Financial Statements'!J166</f>
        <v>15355.489999999976</v>
      </c>
      <c r="L9" s="122">
        <f>'Financial Statements'!K162+'Financial Statements'!K163+'Financial Statements'!K166</f>
        <v>-21757.925700000011</v>
      </c>
      <c r="M9" s="122">
        <f>'Financial Statements'!L162+'Financial Statements'!L163+'Financial Statements'!L166</f>
        <v>-19955.126141999961</v>
      </c>
      <c r="N9" s="122">
        <f>'Financial Statements'!M162+'Financial Statements'!M163+'Financial Statements'!M166</f>
        <v>-21152.433710520079</v>
      </c>
      <c r="O9" s="123">
        <f>'Financial Statements'!N162+'Financial Statements'!N163+'Financial Statements'!N166</f>
        <v>-18684.649777626018</v>
      </c>
      <c r="Q9" s="70" t="s">
        <v>30</v>
      </c>
      <c r="R9" s="81"/>
      <c r="S9" s="81"/>
      <c r="T9" s="21">
        <v>0.01</v>
      </c>
    </row>
    <row r="10" spans="2:21" x14ac:dyDescent="0.2">
      <c r="B10" s="70"/>
      <c r="C10" s="81"/>
      <c r="D10" s="81"/>
      <c r="E10"/>
      <c r="F10" s="122"/>
      <c r="G10" s="122"/>
      <c r="H10" s="122"/>
      <c r="I10" s="122"/>
      <c r="J10" s="122"/>
      <c r="K10" s="122"/>
      <c r="L10" s="122"/>
      <c r="M10" s="122"/>
      <c r="N10" s="122"/>
      <c r="O10" s="123"/>
      <c r="Q10" s="70" t="s">
        <v>29</v>
      </c>
      <c r="R10" s="81"/>
      <c r="S10" s="81"/>
      <c r="T10" s="21">
        <v>0</v>
      </c>
    </row>
    <row r="11" spans="2:21" x14ac:dyDescent="0.2">
      <c r="B11" s="70" t="s">
        <v>14</v>
      </c>
      <c r="C11" s="81"/>
      <c r="D11" s="81"/>
      <c r="E11"/>
      <c r="F11" s="122"/>
      <c r="G11" s="122">
        <f>SUM(G6:G9)</f>
        <v>120507.08343943977</v>
      </c>
      <c r="H11" s="122">
        <f>SUM(H6:H9)</f>
        <v>-116490.14624736964</v>
      </c>
      <c r="I11" s="122">
        <f>SUM(I6:I9)</f>
        <v>25634</v>
      </c>
      <c r="J11" s="122"/>
      <c r="K11" s="122">
        <f ca="1">SUM(K6:K9)</f>
        <v>100088.33249999999</v>
      </c>
      <c r="L11" s="122">
        <f ca="1">SUM(L6:L9)</f>
        <v>68906.215775000033</v>
      </c>
      <c r="M11" s="122">
        <f ca="1">SUM(M6:M9)</f>
        <v>78513.274921499993</v>
      </c>
      <c r="N11" s="122">
        <f ca="1">SUM(N6:N9)</f>
        <v>83224.071416789884</v>
      </c>
      <c r="O11" s="123">
        <f ca="1">SUM(O6:O9)</f>
        <v>93592.395675669541</v>
      </c>
      <c r="Q11" s="70"/>
      <c r="R11" s="81"/>
      <c r="S11" s="81"/>
      <c r="T11" s="112"/>
    </row>
    <row r="12" spans="2:21" x14ac:dyDescent="0.2">
      <c r="B12" s="70" t="s">
        <v>15</v>
      </c>
      <c r="C12" s="81"/>
      <c r="D12" s="81"/>
      <c r="E12"/>
      <c r="F12" s="122"/>
      <c r="G12" s="122"/>
      <c r="H12" s="122"/>
      <c r="I12" s="122"/>
      <c r="J12" s="122"/>
      <c r="K12" s="122">
        <f ca="1">K11/(1+$T$7)^K20</f>
        <v>95437.421814543311</v>
      </c>
      <c r="L12" s="122">
        <f ca="1">L11/(1+$T$7)^L20</f>
        <v>59739.850864341686</v>
      </c>
      <c r="M12" s="122">
        <f ca="1">M11/(1+$T$7)^M20</f>
        <v>61889.833845501184</v>
      </c>
      <c r="N12" s="122">
        <f ca="1">N11/(1+$T$7)^N20</f>
        <v>59647.970501373995</v>
      </c>
      <c r="O12" s="123">
        <f ca="1">O11/(1+$T$7)^O20</f>
        <v>60989.878327297854</v>
      </c>
      <c r="Q12" s="70" t="s">
        <v>26</v>
      </c>
      <c r="R12" s="81"/>
      <c r="S12" s="81"/>
      <c r="T12" s="22">
        <v>0</v>
      </c>
    </row>
    <row r="13" spans="2:21" x14ac:dyDescent="0.2">
      <c r="B13" s="70"/>
      <c r="C13" s="81"/>
      <c r="D13" s="81"/>
      <c r="E13"/>
      <c r="F13" s="122"/>
      <c r="G13" s="122"/>
      <c r="H13" s="122"/>
      <c r="I13" s="122"/>
      <c r="J13" s="122"/>
      <c r="K13" s="122"/>
      <c r="L13" s="122"/>
      <c r="M13" s="122"/>
      <c r="N13" s="122"/>
      <c r="O13" s="123"/>
      <c r="Q13" s="70" t="s">
        <v>27</v>
      </c>
      <c r="R13" s="81"/>
      <c r="S13" s="81"/>
      <c r="T13" s="124">
        <v>22</v>
      </c>
    </row>
    <row r="14" spans="2:21" x14ac:dyDescent="0.2">
      <c r="B14" s="70" t="s">
        <v>18</v>
      </c>
      <c r="C14" s="81"/>
      <c r="D14" s="81"/>
      <c r="E14"/>
      <c r="F14" s="122">
        <f>'Financial Statements'!F105+'Financial Statements'!F110+'Financial Statements'!F115</f>
        <v>140722</v>
      </c>
      <c r="G14" s="122">
        <f>'Financial Statements'!G105+'Financial Statements'!G110+'Financial Statements'!G115</f>
        <v>0</v>
      </c>
      <c r="H14" s="122">
        <f>'Financial Statements'!H105+'Financial Statements'!H110+'Financial Statements'!H115</f>
        <v>0</v>
      </c>
      <c r="I14" s="122">
        <f>'Financial Statements'!I105+'Financial Statements'!I110+'Financial Statements'!I115</f>
        <v>0</v>
      </c>
      <c r="J14" s="122"/>
      <c r="K14" s="122">
        <f>'Financial Statements'!J105+'Financial Statements'!J110+'Financial Statements'!J115</f>
        <v>0</v>
      </c>
      <c r="L14" s="122">
        <f>'Financial Statements'!K105+'Financial Statements'!K110+'Financial Statements'!K115</f>
        <v>0</v>
      </c>
      <c r="M14" s="122">
        <f>'Financial Statements'!L105+'Financial Statements'!L110+'Financial Statements'!L115</f>
        <v>0</v>
      </c>
      <c r="N14" s="122">
        <f>'Financial Statements'!M105+'Financial Statements'!M110+'Financial Statements'!M115</f>
        <v>0</v>
      </c>
      <c r="O14" s="123">
        <f>'Financial Statements'!N105+'Financial Statements'!N110+'Financial Statements'!N115</f>
        <v>0</v>
      </c>
      <c r="Q14" s="70" t="s">
        <v>28</v>
      </c>
      <c r="R14" s="81"/>
      <c r="S14" s="81"/>
      <c r="T14" s="23">
        <v>0.02</v>
      </c>
      <c r="U14" s="242"/>
    </row>
    <row r="15" spans="2:21" x14ac:dyDescent="0.2">
      <c r="B15" s="70" t="s">
        <v>19</v>
      </c>
      <c r="C15" s="81"/>
      <c r="D15" s="11"/>
      <c r="E15"/>
      <c r="F15" s="122">
        <f>F14*'Operating Assumptions'!F17</f>
        <v>-6709</v>
      </c>
      <c r="G15" s="122">
        <f>G14*'Operating Assumptions'!G17</f>
        <v>0</v>
      </c>
      <c r="H15" s="122">
        <f>H14*'Operating Assumptions'!H17</f>
        <v>0</v>
      </c>
      <c r="I15" s="122">
        <f>I14*'Operating Assumptions'!I17</f>
        <v>0</v>
      </c>
      <c r="J15" s="122"/>
      <c r="K15" s="122">
        <f>K14*'Operating Assumptions'!J17</f>
        <v>0</v>
      </c>
      <c r="L15" s="122">
        <f>L14*'Operating Assumptions'!K17</f>
        <v>0</v>
      </c>
      <c r="M15" s="122">
        <f>M14*'Operating Assumptions'!L17</f>
        <v>0</v>
      </c>
      <c r="N15" s="122">
        <f>N14*'Operating Assumptions'!M17</f>
        <v>0</v>
      </c>
      <c r="O15" s="123">
        <f>O14*'Operating Assumptions'!N17</f>
        <v>0</v>
      </c>
      <c r="Q15" s="70" t="s">
        <v>302</v>
      </c>
      <c r="R15" s="81"/>
      <c r="S15" s="81"/>
      <c r="T15" s="123">
        <f ca="1">IF(T12,T13*'Financial Statements'!N43,O11*(1+T14)/(T7-T14))</f>
        <v>1195694.4337322512</v>
      </c>
    </row>
    <row r="16" spans="2:21" x14ac:dyDescent="0.2">
      <c r="B16" s="70" t="s">
        <v>20</v>
      </c>
      <c r="C16" s="81"/>
      <c r="D16" s="81"/>
      <c r="E16"/>
      <c r="F16" s="122">
        <f>F15*'Operating Assumptions'!F19</f>
        <v>-2294.6648261097253</v>
      </c>
      <c r="G16" s="122">
        <f>G15*'Operating Assumptions'!G19</f>
        <v>0</v>
      </c>
      <c r="H16" s="122">
        <f>H15*'Operating Assumptions'!H19</f>
        <v>0</v>
      </c>
      <c r="I16" s="122">
        <f>I15*'Operating Assumptions'!I19</f>
        <v>0</v>
      </c>
      <c r="J16" s="122"/>
      <c r="K16" s="122">
        <f>K15*'Operating Assumptions'!J19</f>
        <v>0</v>
      </c>
      <c r="L16" s="122">
        <f>L15*'Operating Assumptions'!K19</f>
        <v>0</v>
      </c>
      <c r="M16" s="122">
        <f>M15*'Operating Assumptions'!L19</f>
        <v>0</v>
      </c>
      <c r="N16" s="122">
        <f>N15*'Operating Assumptions'!M19</f>
        <v>0</v>
      </c>
      <c r="O16" s="123">
        <f>O15*'Operating Assumptions'!N19</f>
        <v>0</v>
      </c>
      <c r="Q16" s="70" t="s">
        <v>299</v>
      </c>
      <c r="R16" s="81"/>
      <c r="S16" s="81"/>
      <c r="T16" s="123">
        <f>IF(T9=0,0,O16*(1+T9)/(T9-T10))</f>
        <v>0</v>
      </c>
    </row>
    <row r="17" spans="2:20" x14ac:dyDescent="0.2">
      <c r="B17" s="70" t="s">
        <v>22</v>
      </c>
      <c r="C17" s="81"/>
      <c r="D17" s="81"/>
      <c r="E17"/>
      <c r="F17" s="122"/>
      <c r="G17" s="122"/>
      <c r="H17" s="122"/>
      <c r="I17" s="122"/>
      <c r="J17" s="122"/>
      <c r="K17" s="122">
        <f>K16/(1+$T$6)^K19</f>
        <v>0</v>
      </c>
      <c r="L17" s="122">
        <f>L16/(1+$T$6)^L19</f>
        <v>0</v>
      </c>
      <c r="M17" s="122">
        <f>M16/(1+$T$6)^M19</f>
        <v>0</v>
      </c>
      <c r="N17" s="122">
        <f>N16/(1+$T$6)^N19</f>
        <v>0</v>
      </c>
      <c r="O17" s="123">
        <f>O16/(1+$T$6)^O19</f>
        <v>0</v>
      </c>
      <c r="Q17" s="70"/>
      <c r="R17" s="81"/>
      <c r="S17" s="81"/>
      <c r="T17" s="112"/>
    </row>
    <row r="18" spans="2:20" x14ac:dyDescent="0.2">
      <c r="B18" s="70"/>
      <c r="C18" s="81"/>
      <c r="D18" s="81"/>
      <c r="E18"/>
      <c r="F18" s="81"/>
      <c r="G18" s="81"/>
      <c r="H18" s="81"/>
      <c r="I18" s="81"/>
      <c r="J18" s="81"/>
      <c r="K18" s="81"/>
      <c r="L18" s="81"/>
      <c r="M18" s="81"/>
      <c r="N18" s="81"/>
      <c r="O18" s="112"/>
      <c r="Q18" s="70" t="s">
        <v>301</v>
      </c>
      <c r="R18" s="81"/>
      <c r="S18" s="81"/>
      <c r="T18" s="123">
        <f ca="1">IF(T12,T15/(1+T6)^O20,T15/(1+T6)^O19)</f>
        <v>742972.3561312455</v>
      </c>
    </row>
    <row r="19" spans="2:20" x14ac:dyDescent="0.2">
      <c r="B19" s="13" t="s">
        <v>16</v>
      </c>
      <c r="C19" s="81"/>
      <c r="D19" s="81"/>
      <c r="E19"/>
      <c r="F19" s="81"/>
      <c r="G19" s="81"/>
      <c r="H19" s="81"/>
      <c r="I19" s="81"/>
      <c r="J19" s="81"/>
      <c r="K19" s="14">
        <v>1</v>
      </c>
      <c r="L19" s="113">
        <f t="shared" ref="L19:O20" si="0">K19+1</f>
        <v>2</v>
      </c>
      <c r="M19" s="113">
        <f t="shared" si="0"/>
        <v>3</v>
      </c>
      <c r="N19" s="113">
        <f t="shared" si="0"/>
        <v>4</v>
      </c>
      <c r="O19" s="114">
        <f t="shared" si="0"/>
        <v>5</v>
      </c>
      <c r="Q19" s="70" t="s">
        <v>300</v>
      </c>
      <c r="R19" s="81"/>
      <c r="S19" s="81"/>
      <c r="T19" s="123">
        <f>IF(T12,T16/(1+T9)^O20,T16/(1+T9)^O19)</f>
        <v>0</v>
      </c>
    </row>
    <row r="20" spans="2:20" x14ac:dyDescent="0.2">
      <c r="B20" s="15" t="s">
        <v>17</v>
      </c>
      <c r="C20" s="115"/>
      <c r="D20" s="115"/>
      <c r="E20" s="115"/>
      <c r="F20" s="115"/>
      <c r="G20" s="115"/>
      <c r="H20" s="115"/>
      <c r="I20" s="115"/>
      <c r="J20" s="115"/>
      <c r="K20" s="17">
        <v>0.5</v>
      </c>
      <c r="L20" s="116">
        <f t="shared" si="0"/>
        <v>1.5</v>
      </c>
      <c r="M20" s="116">
        <f t="shared" si="0"/>
        <v>2.5</v>
      </c>
      <c r="N20" s="116">
        <f t="shared" si="0"/>
        <v>3.5</v>
      </c>
      <c r="O20" s="117">
        <f t="shared" si="0"/>
        <v>4.5</v>
      </c>
      <c r="Q20" s="70" t="s">
        <v>31</v>
      </c>
      <c r="R20" s="81"/>
      <c r="S20" s="81"/>
      <c r="T20" s="95">
        <f ca="1">SUM(K12:O12)</f>
        <v>337704.95535305806</v>
      </c>
    </row>
    <row r="21" spans="2:20" x14ac:dyDescent="0.2">
      <c r="E21"/>
      <c r="Q21" s="25" t="s">
        <v>32</v>
      </c>
      <c r="R21" s="5"/>
      <c r="S21" s="5"/>
      <c r="T21" s="26">
        <f ca="1">SUM(T18:T20)</f>
        <v>1080677.3114843036</v>
      </c>
    </row>
    <row r="22" spans="2:20" x14ac:dyDescent="0.2">
      <c r="E22"/>
      <c r="Q22" s="70"/>
      <c r="R22" s="81"/>
      <c r="S22" s="81"/>
      <c r="T22" s="112"/>
    </row>
    <row r="23" spans="2:20" x14ac:dyDescent="0.2">
      <c r="B23" s="35" t="s">
        <v>42</v>
      </c>
      <c r="C23" s="36"/>
      <c r="D23" s="36"/>
      <c r="E23" s="36"/>
      <c r="F23" s="36"/>
      <c r="G23" s="36"/>
      <c r="H23" s="36"/>
      <c r="I23" s="36"/>
      <c r="J23" s="37"/>
      <c r="Q23" s="70" t="s">
        <v>33</v>
      </c>
      <c r="R23" s="81"/>
      <c r="S23" s="81"/>
      <c r="T23" s="111">
        <f ca="1">T18/T21</f>
        <v>0.6875062039664529</v>
      </c>
    </row>
    <row r="24" spans="2:20" x14ac:dyDescent="0.2">
      <c r="B24" s="25" t="s">
        <v>356</v>
      </c>
      <c r="C24" s="108"/>
      <c r="D24" s="260" t="s">
        <v>43</v>
      </c>
      <c r="E24" s="260"/>
      <c r="F24" s="260"/>
      <c r="G24" s="260"/>
      <c r="H24" s="260"/>
      <c r="I24" s="260"/>
      <c r="J24" s="261"/>
      <c r="Q24" s="70"/>
      <c r="R24" s="81"/>
      <c r="S24" s="81"/>
      <c r="T24" s="112"/>
    </row>
    <row r="25" spans="2:20" x14ac:dyDescent="0.2">
      <c r="B25" s="250">
        <v>5.0000000000000001E-3</v>
      </c>
      <c r="C25" s="8">
        <f ca="1">T34</f>
        <v>41.944541960848184</v>
      </c>
      <c r="D25" s="118">
        <f>E25-0.01</f>
        <v>6.9840000000000027E-2</v>
      </c>
      <c r="E25" s="118">
        <f>F25-0.01</f>
        <v>7.9840000000000022E-2</v>
      </c>
      <c r="F25" s="118">
        <f>G25-0.01</f>
        <v>8.9840000000000017E-2</v>
      </c>
      <c r="G25" s="214">
        <f>IF($T$5,WACC!$G$31,WACC!$G$32)</f>
        <v>9.9840000000000012E-2</v>
      </c>
      <c r="H25" s="118">
        <f>G25+0.01</f>
        <v>0.10984000000000001</v>
      </c>
      <c r="I25" s="118">
        <f>H25+0.01</f>
        <v>0.11984</v>
      </c>
      <c r="J25" s="119">
        <f>I25+0.01</f>
        <v>0.12984000000000001</v>
      </c>
      <c r="Q25" s="70" t="s">
        <v>32</v>
      </c>
      <c r="R25" s="81"/>
      <c r="S25" s="81"/>
      <c r="T25" s="95">
        <f ca="1">T21</f>
        <v>1080677.3114843036</v>
      </c>
    </row>
    <row r="26" spans="2:20" x14ac:dyDescent="0.2">
      <c r="B26" s="258" t="s">
        <v>25</v>
      </c>
      <c r="C26" s="120">
        <f>C27-$B$25</f>
        <v>9.9999999999999985E-3</v>
      </c>
      <c r="D26" s="243">
        <f t="dataTable" ref="D26:J31" dt2D="1" dtr="1" r1="T7" r2="T14" ca="1"/>
        <v>50.491878787463889</v>
      </c>
      <c r="E26" s="244">
        <v>45.635286829554424</v>
      </c>
      <c r="F26" s="244">
        <v>41.941369330820905</v>
      </c>
      <c r="G26" s="248">
        <v>39.02467396476694</v>
      </c>
      <c r="H26" s="244">
        <v>36.654007400875685</v>
      </c>
      <c r="I26" s="244">
        <v>34.682227018016199</v>
      </c>
      <c r="J26" s="245">
        <v>33.011182744906975</v>
      </c>
      <c r="Q26" s="70" t="s">
        <v>34</v>
      </c>
      <c r="R26" s="81"/>
      <c r="S26" s="81"/>
      <c r="T26" s="95">
        <f>-'Financial Statements'!E12</f>
        <v>200309</v>
      </c>
    </row>
    <row r="27" spans="2:20" x14ac:dyDescent="0.2">
      <c r="B27" s="258"/>
      <c r="C27" s="120">
        <f>C28-$B$25</f>
        <v>1.4999999999999999E-2</v>
      </c>
      <c r="D27" s="246">
        <v>53.595893592126671</v>
      </c>
      <c r="E27" s="125">
        <v>47.90570658625581</v>
      </c>
      <c r="F27" s="125">
        <v>43.677979820008829</v>
      </c>
      <c r="G27" s="215">
        <v>40.398567533880133</v>
      </c>
      <c r="H27" s="125">
        <v>37.76999209687515</v>
      </c>
      <c r="I27" s="125">
        <v>35.608123476643676</v>
      </c>
      <c r="J27" s="126">
        <v>33.792839247751338</v>
      </c>
      <c r="K27" s="242"/>
      <c r="Q27" s="70" t="s">
        <v>35</v>
      </c>
      <c r="R27" s="81"/>
      <c r="S27" s="81"/>
      <c r="T27" s="95">
        <f>-'Financial Statements'!E13</f>
        <v>0</v>
      </c>
    </row>
    <row r="28" spans="2:20" x14ac:dyDescent="0.2">
      <c r="B28" s="258"/>
      <c r="C28" s="256">
        <v>0.02</v>
      </c>
      <c r="D28" s="249">
        <v>57.322704304627109</v>
      </c>
      <c r="E28" s="215">
        <v>50.555541409250871</v>
      </c>
      <c r="F28" s="215">
        <v>45.663245877522634</v>
      </c>
      <c r="G28" s="215">
        <v>41.944541960848184</v>
      </c>
      <c r="H28" s="215">
        <v>39.010195926445355</v>
      </c>
      <c r="I28" s="215">
        <v>36.626757961976622</v>
      </c>
      <c r="J28" s="217">
        <v>34.645658942770176</v>
      </c>
      <c r="Q28" s="70" t="s">
        <v>36</v>
      </c>
      <c r="R28" s="81"/>
      <c r="S28" s="81"/>
      <c r="T28" s="95">
        <f>-'Financial Statements'!E14</f>
        <v>0</v>
      </c>
    </row>
    <row r="29" spans="2:20" x14ac:dyDescent="0.2">
      <c r="B29" s="258"/>
      <c r="C29" s="120">
        <f>C28+$B$25</f>
        <v>2.5000000000000001E-2</v>
      </c>
      <c r="D29" s="246">
        <v>61.880650323215939</v>
      </c>
      <c r="E29" s="125">
        <v>53.688570036584927</v>
      </c>
      <c r="F29" s="125">
        <v>47.95469115427052</v>
      </c>
      <c r="G29" s="215">
        <v>43.697086995374754</v>
      </c>
      <c r="H29" s="125">
        <v>40.396581254078988</v>
      </c>
      <c r="I29" s="125">
        <v>37.752798023578336</v>
      </c>
      <c r="J29" s="126">
        <v>35.579823515223076</v>
      </c>
      <c r="Q29" s="70" t="s">
        <v>37</v>
      </c>
      <c r="R29" s="81"/>
      <c r="S29" s="81"/>
      <c r="T29" s="95">
        <f>-'Financial Statements'!E15</f>
        <v>0</v>
      </c>
    </row>
    <row r="30" spans="2:20" x14ac:dyDescent="0.2">
      <c r="B30" s="258"/>
      <c r="C30" s="120">
        <f>C29+$B$25</f>
        <v>3.0000000000000002E-2</v>
      </c>
      <c r="D30" s="246">
        <v>67.582659097474675</v>
      </c>
      <c r="E30" s="125">
        <v>57.450215964748452</v>
      </c>
      <c r="F30" s="125">
        <v>50.629065120314507</v>
      </c>
      <c r="G30" s="215">
        <v>45.700569176883953</v>
      </c>
      <c r="H30" s="125">
        <v>41.956612038580573</v>
      </c>
      <c r="I30" s="125">
        <v>39.004176471377924</v>
      </c>
      <c r="J30" s="126">
        <v>36.60755425078225</v>
      </c>
      <c r="Q30" s="70" t="s">
        <v>38</v>
      </c>
      <c r="R30" s="81"/>
      <c r="S30" s="81"/>
      <c r="T30" s="95">
        <f>-'Financial Statements'!E16</f>
        <v>0</v>
      </c>
    </row>
    <row r="31" spans="2:20" x14ac:dyDescent="0.2">
      <c r="B31" s="259"/>
      <c r="C31" s="119">
        <f>C30+$B$25</f>
        <v>3.5000000000000003E-2</v>
      </c>
      <c r="D31" s="247">
        <v>74.921294959637748</v>
      </c>
      <c r="E31" s="127">
        <v>62.050765980370393</v>
      </c>
      <c r="F31" s="127">
        <v>53.791107570319824</v>
      </c>
      <c r="G31" s="216">
        <v>48.013039973678339</v>
      </c>
      <c r="H31" s="127">
        <v>43.725091618445802</v>
      </c>
      <c r="I31" s="127">
        <v>40.403053557532019</v>
      </c>
      <c r="J31" s="128">
        <v>37.743649677986205</v>
      </c>
      <c r="Q31" s="25" t="s">
        <v>39</v>
      </c>
      <c r="R31" s="108"/>
      <c r="S31" s="108"/>
      <c r="T31" s="26">
        <f ca="1">SUM(T25:T30)</f>
        <v>1280986.3114843036</v>
      </c>
    </row>
    <row r="32" spans="2:20" x14ac:dyDescent="0.2">
      <c r="Q32" s="70"/>
      <c r="R32" s="81"/>
      <c r="S32" s="81"/>
      <c r="T32" s="112"/>
    </row>
    <row r="33" spans="2:20" x14ac:dyDescent="0.2">
      <c r="B33" s="35" t="s">
        <v>44</v>
      </c>
      <c r="C33" s="36"/>
      <c r="D33" s="36"/>
      <c r="E33" s="36"/>
      <c r="F33" s="36"/>
      <c r="G33" s="36"/>
      <c r="H33" s="36"/>
      <c r="I33" s="36"/>
      <c r="J33" s="37"/>
      <c r="Q33" s="70" t="s">
        <v>197</v>
      </c>
      <c r="R33" s="81"/>
      <c r="S33" s="81"/>
      <c r="T33" s="121">
        <f>'Financial Statements'!E10</f>
        <v>30540</v>
      </c>
    </row>
    <row r="34" spans="2:20" x14ac:dyDescent="0.2">
      <c r="B34" s="25" t="s">
        <v>356</v>
      </c>
      <c r="C34" s="108"/>
      <c r="D34" s="6" t="s">
        <v>43</v>
      </c>
      <c r="E34" s="6"/>
      <c r="F34" s="6"/>
      <c r="G34" s="6"/>
      <c r="H34" s="6"/>
      <c r="I34" s="6"/>
      <c r="J34" s="7"/>
      <c r="Q34" s="27" t="s">
        <v>40</v>
      </c>
      <c r="R34" s="115"/>
      <c r="S34" s="115"/>
      <c r="T34" s="28">
        <f ca="1">T31/T33</f>
        <v>41.944541960848184</v>
      </c>
    </row>
    <row r="35" spans="2:20" x14ac:dyDescent="0.2">
      <c r="B35" s="251">
        <v>1</v>
      </c>
      <c r="C35" s="8">
        <f ca="1">T34</f>
        <v>41.944541960848184</v>
      </c>
      <c r="D35" s="118">
        <f>E35-0.01</f>
        <v>6.9840000000000027E-2</v>
      </c>
      <c r="E35" s="118">
        <f>F35-0.01</f>
        <v>7.9840000000000022E-2</v>
      </c>
      <c r="F35" s="118">
        <f>G35-0.01</f>
        <v>8.9840000000000017E-2</v>
      </c>
      <c r="G35" s="214">
        <f>IF($T$5,WACC!$G$31,WACC!$G$32)</f>
        <v>9.9840000000000012E-2</v>
      </c>
      <c r="H35" s="118">
        <f t="shared" ref="H35:J35" si="1">G35+0.01</f>
        <v>0.10984000000000001</v>
      </c>
      <c r="I35" s="118">
        <f t="shared" si="1"/>
        <v>0.11984</v>
      </c>
      <c r="J35" s="119">
        <f t="shared" si="1"/>
        <v>0.12984000000000001</v>
      </c>
    </row>
    <row r="36" spans="2:20" x14ac:dyDescent="0.2">
      <c r="B36" s="258" t="s">
        <v>24</v>
      </c>
      <c r="C36" s="129">
        <f>C37-$B$35</f>
        <v>20</v>
      </c>
      <c r="D36" s="125">
        <f t="dataTable" ref="D36:J41" dt2D="1" dtr="1" r1="T7" r2="T13" ca="1"/>
        <v>57.322704304627109</v>
      </c>
      <c r="E36" s="125">
        <v>50.555541409250871</v>
      </c>
      <c r="F36" s="125">
        <v>45.663245877522634</v>
      </c>
      <c r="G36" s="215">
        <v>41.944541960848184</v>
      </c>
      <c r="H36" s="125">
        <v>39.010195926445355</v>
      </c>
      <c r="I36" s="125">
        <v>36.626757961976622</v>
      </c>
      <c r="J36" s="126">
        <v>34.645658942770176</v>
      </c>
    </row>
    <row r="37" spans="2:20" x14ac:dyDescent="0.2">
      <c r="B37" s="258"/>
      <c r="C37" s="129">
        <f>C38-$B$35</f>
        <v>21</v>
      </c>
      <c r="D37" s="125">
        <v>57.322704304627109</v>
      </c>
      <c r="E37" s="125">
        <v>50.555541409250871</v>
      </c>
      <c r="F37" s="125">
        <v>45.663245877522634</v>
      </c>
      <c r="G37" s="215">
        <v>41.944541960848184</v>
      </c>
      <c r="H37" s="125">
        <v>39.010195926445355</v>
      </c>
      <c r="I37" s="125">
        <v>36.626757961976622</v>
      </c>
      <c r="J37" s="126">
        <v>34.645658942770176</v>
      </c>
    </row>
    <row r="38" spans="2:20" x14ac:dyDescent="0.2">
      <c r="B38" s="258"/>
      <c r="C38" s="257">
        <v>22</v>
      </c>
      <c r="D38" s="215">
        <v>57.322704304627109</v>
      </c>
      <c r="E38" s="215">
        <v>50.555541409250871</v>
      </c>
      <c r="F38" s="215">
        <v>45.663245877522634</v>
      </c>
      <c r="G38" s="215">
        <v>41.944541960848184</v>
      </c>
      <c r="H38" s="215">
        <v>39.010195926445355</v>
      </c>
      <c r="I38" s="215">
        <v>36.626757961976622</v>
      </c>
      <c r="J38" s="217">
        <v>34.645658942770176</v>
      </c>
      <c r="T38" s="240"/>
    </row>
    <row r="39" spans="2:20" x14ac:dyDescent="0.2">
      <c r="B39" s="258"/>
      <c r="C39" s="129">
        <f>C38+$B$35</f>
        <v>23</v>
      </c>
      <c r="D39" s="125">
        <v>57.322704304627109</v>
      </c>
      <c r="E39" s="125">
        <v>50.555541409250871</v>
      </c>
      <c r="F39" s="125">
        <v>45.663245877522634</v>
      </c>
      <c r="G39" s="215">
        <v>41.944541960848184</v>
      </c>
      <c r="H39" s="125">
        <v>39.010195926445355</v>
      </c>
      <c r="I39" s="125">
        <v>36.626757961976622</v>
      </c>
      <c r="J39" s="126">
        <v>34.645658942770176</v>
      </c>
      <c r="T39" s="241"/>
    </row>
    <row r="40" spans="2:20" x14ac:dyDescent="0.2">
      <c r="B40" s="258"/>
      <c r="C40" s="129">
        <f>C39+$B$35</f>
        <v>24</v>
      </c>
      <c r="D40" s="125">
        <v>57.322704304627109</v>
      </c>
      <c r="E40" s="125">
        <v>50.555541409250871</v>
      </c>
      <c r="F40" s="125">
        <v>45.663245877522634</v>
      </c>
      <c r="G40" s="215">
        <v>41.944541960848184</v>
      </c>
      <c r="H40" s="125">
        <v>39.010195926445355</v>
      </c>
      <c r="I40" s="125">
        <v>36.626757961976622</v>
      </c>
      <c r="J40" s="126">
        <v>34.645658942770176</v>
      </c>
    </row>
    <row r="41" spans="2:20" x14ac:dyDescent="0.2">
      <c r="B41" s="259"/>
      <c r="C41" s="130">
        <f>C40+$B$35</f>
        <v>25</v>
      </c>
      <c r="D41" s="127">
        <v>57.322704304627109</v>
      </c>
      <c r="E41" s="127">
        <v>50.555541409250871</v>
      </c>
      <c r="F41" s="127">
        <v>45.663245877522634</v>
      </c>
      <c r="G41" s="216">
        <v>41.944541960848184</v>
      </c>
      <c r="H41" s="127">
        <v>39.010195926445355</v>
      </c>
      <c r="I41" s="127">
        <v>36.626757961976622</v>
      </c>
      <c r="J41" s="128">
        <v>34.645658942770176</v>
      </c>
    </row>
    <row r="161" spans="9:9" x14ac:dyDescent="0.2">
      <c r="I161" s="63">
        <v>786000</v>
      </c>
    </row>
    <row r="163" spans="9:9" x14ac:dyDescent="0.2">
      <c r="I163" s="63">
        <v>893000</v>
      </c>
    </row>
  </sheetData>
  <mergeCells count="3">
    <mergeCell ref="B26:B31"/>
    <mergeCell ref="B36:B41"/>
    <mergeCell ref="D24:J24"/>
  </mergeCells>
  <dataValidations count="1">
    <dataValidation type="whole" allowBlank="1" showInputMessage="1" showErrorMessage="1" sqref="T12 T5">
      <formula1>0</formula1>
      <formula2>1</formula2>
    </dataValidation>
  </dataValidations>
  <pageMargins left="0.7" right="0.7" top="0.75" bottom="0.75" header="0.3" footer="0.3"/>
  <pageSetup paperSize="9"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3"/>
  <sheetViews>
    <sheetView zoomScale="90" zoomScaleNormal="90" workbookViewId="0">
      <selection activeCell="C27" sqref="C27"/>
    </sheetView>
  </sheetViews>
  <sheetFormatPr defaultRowHeight="12.75" outlineLevelCol="1" x14ac:dyDescent="0.2"/>
  <cols>
    <col min="1" max="1" width="3.140625" customWidth="1"/>
    <col min="2" max="2" width="28.7109375" bestFit="1" customWidth="1"/>
    <col min="4" max="4" width="11" customWidth="1" outlineLevel="1"/>
    <col min="5" max="5" width="12.140625" bestFit="1" customWidth="1"/>
    <col min="6" max="6" width="12.7109375" bestFit="1" customWidth="1" outlineLevel="1"/>
    <col min="7" max="7" width="10.7109375" bestFit="1" customWidth="1" outlineLevel="1"/>
    <col min="8" max="8" width="8.85546875" bestFit="1" customWidth="1" outlineLevel="1"/>
    <col min="9" max="9" width="9.28515625" bestFit="1" customWidth="1" outlineLevel="1"/>
    <col min="10" max="10" width="8.85546875" customWidth="1" outlineLevel="1"/>
    <col min="11" max="11" width="11.5703125" bestFit="1" customWidth="1"/>
    <col min="12" max="13" width="10.7109375" bestFit="1" customWidth="1"/>
    <col min="14" max="14" width="9.85546875" bestFit="1" customWidth="1"/>
    <col min="15" max="15" width="10.7109375" bestFit="1" customWidth="1"/>
    <col min="16" max="16" width="9.85546875" bestFit="1" customWidth="1" outlineLevel="1"/>
    <col min="17" max="17" width="10.7109375" bestFit="1" customWidth="1" outlineLevel="1"/>
  </cols>
  <sheetData>
    <row r="1" spans="2:22" x14ac:dyDescent="0.2">
      <c r="B1" s="1" t="s">
        <v>298</v>
      </c>
      <c r="C1" s="239" t="str">
        <f>"When companies have different fiscal year ends, they should be adjusted to match the company being analyzed (i.e. " &amp; 'Financial Statements'!J6 &amp; ")."</f>
        <v>When companies have different fiscal year ends, they should be adjusted to match the company being analyzed (i.e. Dec. 31).</v>
      </c>
    </row>
    <row r="2" spans="2:22" x14ac:dyDescent="0.2">
      <c r="B2" s="63" t="s">
        <v>309</v>
      </c>
    </row>
    <row r="4" spans="2:22" x14ac:dyDescent="0.2">
      <c r="B4" s="166"/>
      <c r="C4" s="166"/>
      <c r="D4" s="166"/>
      <c r="E4" s="169" t="s">
        <v>306</v>
      </c>
      <c r="F4" s="167"/>
      <c r="G4" s="167"/>
      <c r="H4" s="167"/>
      <c r="I4" s="167"/>
      <c r="J4" s="167"/>
      <c r="K4" s="167"/>
      <c r="L4" s="166"/>
      <c r="M4" s="166"/>
      <c r="N4" s="166"/>
      <c r="O4" s="166"/>
      <c r="P4" s="166"/>
      <c r="Q4" s="166"/>
      <c r="R4" s="166"/>
      <c r="S4" s="166"/>
      <c r="T4" s="166" t="s">
        <v>303</v>
      </c>
      <c r="U4" s="166"/>
      <c r="V4" s="166"/>
    </row>
    <row r="5" spans="2:22" x14ac:dyDescent="0.2">
      <c r="B5" s="165"/>
      <c r="C5" s="166" t="s">
        <v>230</v>
      </c>
      <c r="D5" s="166" t="s">
        <v>232</v>
      </c>
      <c r="E5" s="166" t="s">
        <v>1</v>
      </c>
      <c r="F5" s="166"/>
      <c r="G5" s="166"/>
      <c r="H5" s="166" t="s">
        <v>234</v>
      </c>
      <c r="I5" s="166" t="s">
        <v>236</v>
      </c>
      <c r="J5" s="166" t="s">
        <v>190</v>
      </c>
      <c r="K5" s="166" t="s">
        <v>238</v>
      </c>
      <c r="L5" s="167" t="s">
        <v>74</v>
      </c>
      <c r="M5" s="167"/>
      <c r="N5" s="167" t="s">
        <v>4</v>
      </c>
      <c r="O5" s="167"/>
      <c r="P5" s="167" t="s">
        <v>307</v>
      </c>
      <c r="Q5" s="167"/>
      <c r="R5" s="167" t="s">
        <v>239</v>
      </c>
      <c r="S5" s="167"/>
      <c r="T5" s="166" t="s">
        <v>74</v>
      </c>
      <c r="U5" s="167" t="s">
        <v>305</v>
      </c>
      <c r="V5" s="167"/>
    </row>
    <row r="6" spans="2:22" x14ac:dyDescent="0.2">
      <c r="B6" s="168" t="s">
        <v>229</v>
      </c>
      <c r="C6" s="166" t="s">
        <v>231</v>
      </c>
      <c r="D6" s="166" t="s">
        <v>233</v>
      </c>
      <c r="E6" s="166" t="s">
        <v>50</v>
      </c>
      <c r="F6" s="166" t="s">
        <v>3</v>
      </c>
      <c r="G6" s="166" t="s">
        <v>18</v>
      </c>
      <c r="H6" s="166" t="s">
        <v>235</v>
      </c>
      <c r="I6" s="166" t="s">
        <v>233</v>
      </c>
      <c r="J6" s="166" t="s">
        <v>237</v>
      </c>
      <c r="K6" s="166" t="s">
        <v>50</v>
      </c>
      <c r="L6" s="166">
        <f>Historical_Year</f>
        <v>2010</v>
      </c>
      <c r="M6" s="166">
        <f>Historical_Year+1</f>
        <v>2011</v>
      </c>
      <c r="N6" s="166">
        <f>L6</f>
        <v>2010</v>
      </c>
      <c r="O6" s="166">
        <f>M6</f>
        <v>2011</v>
      </c>
      <c r="P6" s="166">
        <f>N6</f>
        <v>2010</v>
      </c>
      <c r="Q6" s="166">
        <f>O6</f>
        <v>2011</v>
      </c>
      <c r="R6" s="166">
        <f>N6</f>
        <v>2010</v>
      </c>
      <c r="S6" s="166">
        <f>O6</f>
        <v>2011</v>
      </c>
      <c r="T6" s="166" t="s">
        <v>304</v>
      </c>
      <c r="U6" s="166">
        <f>R6</f>
        <v>2010</v>
      </c>
      <c r="V6" s="166">
        <f>S6</f>
        <v>2011</v>
      </c>
    </row>
    <row r="7" spans="2:22" x14ac:dyDescent="0.2">
      <c r="B7" s="81" t="s">
        <v>341</v>
      </c>
      <c r="C7" s="107">
        <v>100</v>
      </c>
      <c r="D7" s="237">
        <v>10000</v>
      </c>
      <c r="E7" s="98">
        <f t="shared" ref="E7:E12" si="0">C7*D7</f>
        <v>1000000</v>
      </c>
      <c r="F7" s="90">
        <v>0</v>
      </c>
      <c r="G7" s="90">
        <v>0</v>
      </c>
      <c r="H7" s="90">
        <v>0</v>
      </c>
      <c r="I7" s="90">
        <v>0</v>
      </c>
      <c r="J7" s="90">
        <v>0</v>
      </c>
      <c r="K7" s="98">
        <f t="shared" ref="K7:K12" si="1">E7-F7+G7+H7+I7+J7</f>
        <v>1000000</v>
      </c>
      <c r="L7" s="90">
        <v>0</v>
      </c>
      <c r="M7" s="90">
        <v>0</v>
      </c>
      <c r="N7" s="90">
        <v>0</v>
      </c>
      <c r="O7" s="90">
        <v>0</v>
      </c>
      <c r="P7" s="90">
        <v>0</v>
      </c>
      <c r="Q7" s="90">
        <v>0</v>
      </c>
      <c r="R7" s="90">
        <v>0</v>
      </c>
      <c r="S7" s="90">
        <v>0</v>
      </c>
      <c r="T7" s="170" t="e">
        <f t="shared" ref="T7:T12" si="2">M7/L7-1</f>
        <v>#DIV/0!</v>
      </c>
      <c r="U7" s="170" t="e">
        <f t="shared" ref="U7:V12" si="3">N7/L7</f>
        <v>#DIV/0!</v>
      </c>
      <c r="V7" s="170" t="e">
        <f t="shared" si="3"/>
        <v>#DIV/0!</v>
      </c>
    </row>
    <row r="8" spans="2:22" x14ac:dyDescent="0.2">
      <c r="B8" s="81" t="s">
        <v>342</v>
      </c>
      <c r="C8" s="107">
        <v>100</v>
      </c>
      <c r="D8" s="237">
        <v>10000</v>
      </c>
      <c r="E8" s="98">
        <f t="shared" si="0"/>
        <v>1000000</v>
      </c>
      <c r="F8" s="90">
        <v>0</v>
      </c>
      <c r="G8" s="90">
        <v>0</v>
      </c>
      <c r="H8" s="90">
        <v>0</v>
      </c>
      <c r="I8" s="90">
        <v>0</v>
      </c>
      <c r="J8" s="90">
        <v>0</v>
      </c>
      <c r="K8" s="98">
        <f t="shared" si="1"/>
        <v>1000000</v>
      </c>
      <c r="L8" s="90">
        <v>0</v>
      </c>
      <c r="M8" s="90">
        <v>0</v>
      </c>
      <c r="N8" s="90">
        <v>0</v>
      </c>
      <c r="O8" s="90">
        <v>0</v>
      </c>
      <c r="P8" s="90">
        <v>0</v>
      </c>
      <c r="Q8" s="90">
        <v>0</v>
      </c>
      <c r="R8" s="90">
        <v>0</v>
      </c>
      <c r="S8" s="90">
        <v>0</v>
      </c>
      <c r="T8" s="170" t="e">
        <f t="shared" si="2"/>
        <v>#DIV/0!</v>
      </c>
      <c r="U8" s="170" t="e">
        <f t="shared" si="3"/>
        <v>#DIV/0!</v>
      </c>
      <c r="V8" s="170" t="e">
        <f t="shared" si="3"/>
        <v>#DIV/0!</v>
      </c>
    </row>
    <row r="9" spans="2:22" x14ac:dyDescent="0.2">
      <c r="B9" s="81" t="s">
        <v>343</v>
      </c>
      <c r="C9" s="107">
        <v>100</v>
      </c>
      <c r="D9" s="237">
        <v>10000</v>
      </c>
      <c r="E9" s="98">
        <f t="shared" si="0"/>
        <v>1000000</v>
      </c>
      <c r="F9" s="90">
        <v>0</v>
      </c>
      <c r="G9" s="90">
        <v>0</v>
      </c>
      <c r="H9" s="90">
        <v>0</v>
      </c>
      <c r="I9" s="90">
        <v>0</v>
      </c>
      <c r="J9" s="90">
        <v>0</v>
      </c>
      <c r="K9" s="98">
        <f t="shared" si="1"/>
        <v>1000000</v>
      </c>
      <c r="L9" s="90">
        <v>0</v>
      </c>
      <c r="M9" s="90">
        <v>0</v>
      </c>
      <c r="N9" s="90">
        <v>0</v>
      </c>
      <c r="O9" s="90">
        <v>0</v>
      </c>
      <c r="P9" s="90">
        <v>0</v>
      </c>
      <c r="Q9" s="90">
        <v>0</v>
      </c>
      <c r="R9" s="90">
        <v>0</v>
      </c>
      <c r="S9" s="90">
        <v>0</v>
      </c>
      <c r="T9" s="170" t="e">
        <f t="shared" si="2"/>
        <v>#DIV/0!</v>
      </c>
      <c r="U9" s="170" t="e">
        <f t="shared" si="3"/>
        <v>#DIV/0!</v>
      </c>
      <c r="V9" s="170" t="e">
        <f t="shared" si="3"/>
        <v>#DIV/0!</v>
      </c>
    </row>
    <row r="10" spans="2:22" x14ac:dyDescent="0.2">
      <c r="B10" s="238" t="s">
        <v>345</v>
      </c>
      <c r="C10" s="107">
        <v>100</v>
      </c>
      <c r="D10" s="237">
        <v>10000</v>
      </c>
      <c r="E10" s="98">
        <f t="shared" si="0"/>
        <v>1000000</v>
      </c>
      <c r="F10" s="90">
        <v>0</v>
      </c>
      <c r="G10" s="90">
        <v>0</v>
      </c>
      <c r="H10" s="90">
        <v>0</v>
      </c>
      <c r="I10" s="90">
        <v>0</v>
      </c>
      <c r="J10" s="90">
        <v>0</v>
      </c>
      <c r="K10" s="98">
        <f t="shared" si="1"/>
        <v>1000000</v>
      </c>
      <c r="L10" s="90">
        <v>0</v>
      </c>
      <c r="M10" s="90">
        <v>0</v>
      </c>
      <c r="N10" s="90">
        <v>0</v>
      </c>
      <c r="O10" s="90">
        <v>0</v>
      </c>
      <c r="P10" s="90">
        <v>0</v>
      </c>
      <c r="Q10" s="90">
        <v>0</v>
      </c>
      <c r="R10" s="90">
        <v>0</v>
      </c>
      <c r="S10" s="90">
        <v>0</v>
      </c>
      <c r="T10" s="170" t="e">
        <f t="shared" si="2"/>
        <v>#DIV/0!</v>
      </c>
      <c r="U10" s="170" t="e">
        <f t="shared" si="3"/>
        <v>#DIV/0!</v>
      </c>
      <c r="V10" s="170" t="e">
        <f t="shared" si="3"/>
        <v>#DIV/0!</v>
      </c>
    </row>
    <row r="11" spans="2:22" x14ac:dyDescent="0.2">
      <c r="B11" s="238" t="s">
        <v>346</v>
      </c>
      <c r="C11" s="107">
        <v>100</v>
      </c>
      <c r="D11" s="237">
        <v>10000</v>
      </c>
      <c r="E11" s="98">
        <f t="shared" si="0"/>
        <v>1000000</v>
      </c>
      <c r="F11" s="90">
        <v>0</v>
      </c>
      <c r="G11" s="90">
        <v>0</v>
      </c>
      <c r="H11" s="90">
        <v>0</v>
      </c>
      <c r="I11" s="90">
        <v>0</v>
      </c>
      <c r="J11" s="90">
        <v>0</v>
      </c>
      <c r="K11" s="98">
        <f t="shared" si="1"/>
        <v>1000000</v>
      </c>
      <c r="L11" s="90">
        <v>0</v>
      </c>
      <c r="M11" s="90">
        <v>0</v>
      </c>
      <c r="N11" s="90">
        <v>0</v>
      </c>
      <c r="O11" s="90">
        <v>0</v>
      </c>
      <c r="P11" s="90">
        <v>0</v>
      </c>
      <c r="Q11" s="90">
        <v>0</v>
      </c>
      <c r="R11" s="90">
        <v>0</v>
      </c>
      <c r="S11" s="90">
        <v>0</v>
      </c>
      <c r="T11" s="170" t="e">
        <f t="shared" si="2"/>
        <v>#DIV/0!</v>
      </c>
      <c r="U11" s="170" t="e">
        <f t="shared" si="3"/>
        <v>#DIV/0!</v>
      </c>
      <c r="V11" s="170" t="e">
        <f t="shared" si="3"/>
        <v>#DIV/0!</v>
      </c>
    </row>
    <row r="12" spans="2:22" x14ac:dyDescent="0.2">
      <c r="B12" s="81" t="s">
        <v>344</v>
      </c>
      <c r="C12" s="107">
        <v>100</v>
      </c>
      <c r="D12" s="237">
        <v>10000</v>
      </c>
      <c r="E12" s="98">
        <f t="shared" si="0"/>
        <v>1000000</v>
      </c>
      <c r="F12" s="90">
        <v>0</v>
      </c>
      <c r="G12" s="90">
        <v>0</v>
      </c>
      <c r="H12" s="90">
        <v>0</v>
      </c>
      <c r="I12" s="90">
        <v>0</v>
      </c>
      <c r="J12" s="90">
        <v>0</v>
      </c>
      <c r="K12" s="98">
        <f t="shared" si="1"/>
        <v>1000000</v>
      </c>
      <c r="L12" s="90">
        <v>0</v>
      </c>
      <c r="M12" s="90">
        <v>0</v>
      </c>
      <c r="N12" s="90">
        <v>0</v>
      </c>
      <c r="O12" s="90">
        <v>0</v>
      </c>
      <c r="P12" s="90">
        <v>0</v>
      </c>
      <c r="Q12" s="90">
        <v>0</v>
      </c>
      <c r="R12" s="90">
        <v>0</v>
      </c>
      <c r="S12" s="90">
        <v>0</v>
      </c>
      <c r="T12" s="170" t="e">
        <f t="shared" si="2"/>
        <v>#DIV/0!</v>
      </c>
      <c r="U12" s="170" t="e">
        <f t="shared" si="3"/>
        <v>#DIV/0!</v>
      </c>
      <c r="V12" s="170" t="e">
        <f t="shared" si="3"/>
        <v>#DIV/0!</v>
      </c>
    </row>
    <row r="14" spans="2:22" x14ac:dyDescent="0.2">
      <c r="B14" s="175" t="s">
        <v>310</v>
      </c>
      <c r="C14" s="176">
        <f>MAX(C7:C12)</f>
        <v>100</v>
      </c>
      <c r="D14" s="177"/>
      <c r="E14" s="178">
        <f t="shared" ref="E14:U14" si="4">MAX(E7:E12)</f>
        <v>1000000</v>
      </c>
      <c r="F14" s="178">
        <f t="shared" si="4"/>
        <v>0</v>
      </c>
      <c r="G14" s="178">
        <f t="shared" si="4"/>
        <v>0</v>
      </c>
      <c r="H14" s="178">
        <f t="shared" si="4"/>
        <v>0</v>
      </c>
      <c r="I14" s="178">
        <f t="shared" si="4"/>
        <v>0</v>
      </c>
      <c r="J14" s="178">
        <f t="shared" si="4"/>
        <v>0</v>
      </c>
      <c r="K14" s="178">
        <f t="shared" si="4"/>
        <v>1000000</v>
      </c>
      <c r="L14" s="178">
        <f t="shared" si="4"/>
        <v>0</v>
      </c>
      <c r="M14" s="178">
        <f t="shared" si="4"/>
        <v>0</v>
      </c>
      <c r="N14" s="178">
        <f t="shared" si="4"/>
        <v>0</v>
      </c>
      <c r="O14" s="178">
        <f t="shared" si="4"/>
        <v>0</v>
      </c>
      <c r="P14" s="178">
        <f t="shared" si="4"/>
        <v>0</v>
      </c>
      <c r="Q14" s="178">
        <f t="shared" si="4"/>
        <v>0</v>
      </c>
      <c r="R14" s="179">
        <f t="shared" si="4"/>
        <v>0</v>
      </c>
      <c r="S14" s="179">
        <f t="shared" si="4"/>
        <v>0</v>
      </c>
      <c r="T14" s="180" t="e">
        <f t="shared" si="4"/>
        <v>#DIV/0!</v>
      </c>
      <c r="U14" s="180" t="e">
        <f t="shared" si="4"/>
        <v>#DIV/0!</v>
      </c>
      <c r="V14" s="181" t="e">
        <f>MAX(V7:V12)</f>
        <v>#DIV/0!</v>
      </c>
    </row>
    <row r="15" spans="2:22" x14ac:dyDescent="0.2">
      <c r="B15" s="2" t="s">
        <v>311</v>
      </c>
      <c r="C15" s="172">
        <f>QUARTILE(C7:C12,3)</f>
        <v>100</v>
      </c>
      <c r="D15" s="182"/>
      <c r="E15" s="98">
        <f t="shared" ref="E15:U15" si="5">QUARTILE(E7:E12,3)</f>
        <v>1000000</v>
      </c>
      <c r="F15" s="98">
        <f t="shared" si="5"/>
        <v>0</v>
      </c>
      <c r="G15" s="98">
        <f t="shared" si="5"/>
        <v>0</v>
      </c>
      <c r="H15" s="98">
        <f t="shared" si="5"/>
        <v>0</v>
      </c>
      <c r="I15" s="98">
        <f t="shared" si="5"/>
        <v>0</v>
      </c>
      <c r="J15" s="98">
        <f t="shared" si="5"/>
        <v>0</v>
      </c>
      <c r="K15" s="98">
        <f t="shared" si="5"/>
        <v>1000000</v>
      </c>
      <c r="L15" s="98">
        <f t="shared" si="5"/>
        <v>0</v>
      </c>
      <c r="M15" s="98">
        <f t="shared" si="5"/>
        <v>0</v>
      </c>
      <c r="N15" s="98">
        <f t="shared" si="5"/>
        <v>0</v>
      </c>
      <c r="O15" s="98">
        <f t="shared" si="5"/>
        <v>0</v>
      </c>
      <c r="P15" s="98">
        <f t="shared" si="5"/>
        <v>0</v>
      </c>
      <c r="Q15" s="98">
        <f t="shared" si="5"/>
        <v>0</v>
      </c>
      <c r="R15" s="173">
        <f t="shared" si="5"/>
        <v>0</v>
      </c>
      <c r="S15" s="173">
        <f t="shared" si="5"/>
        <v>0</v>
      </c>
      <c r="T15" s="183" t="e">
        <f t="shared" si="5"/>
        <v>#DIV/0!</v>
      </c>
      <c r="U15" s="183" t="e">
        <f t="shared" si="5"/>
        <v>#DIV/0!</v>
      </c>
      <c r="V15" s="184" t="e">
        <f>QUARTILE(V7:V12,3)</f>
        <v>#DIV/0!</v>
      </c>
    </row>
    <row r="16" spans="2:22" x14ac:dyDescent="0.2">
      <c r="B16" s="190" t="s">
        <v>48</v>
      </c>
      <c r="C16" s="191">
        <f>MEDIAN(C7:C12)</f>
        <v>100</v>
      </c>
      <c r="D16" s="192"/>
      <c r="E16" s="174">
        <f t="shared" ref="E16:U16" si="6">MEDIAN(E7:E12)</f>
        <v>1000000</v>
      </c>
      <c r="F16" s="193">
        <f t="shared" si="6"/>
        <v>0</v>
      </c>
      <c r="G16" s="193">
        <f t="shared" si="6"/>
        <v>0</v>
      </c>
      <c r="H16" s="193">
        <f t="shared" si="6"/>
        <v>0</v>
      </c>
      <c r="I16" s="193">
        <f t="shared" si="6"/>
        <v>0</v>
      </c>
      <c r="J16" s="193">
        <f t="shared" si="6"/>
        <v>0</v>
      </c>
      <c r="K16" s="193">
        <f t="shared" si="6"/>
        <v>1000000</v>
      </c>
      <c r="L16" s="193">
        <f t="shared" si="6"/>
        <v>0</v>
      </c>
      <c r="M16" s="193">
        <f t="shared" si="6"/>
        <v>0</v>
      </c>
      <c r="N16" s="193">
        <f t="shared" si="6"/>
        <v>0</v>
      </c>
      <c r="O16" s="193">
        <f t="shared" si="6"/>
        <v>0</v>
      </c>
      <c r="P16" s="193">
        <f t="shared" si="6"/>
        <v>0</v>
      </c>
      <c r="Q16" s="193">
        <f t="shared" si="6"/>
        <v>0</v>
      </c>
      <c r="R16" s="194">
        <f t="shared" si="6"/>
        <v>0</v>
      </c>
      <c r="S16" s="194">
        <f t="shared" si="6"/>
        <v>0</v>
      </c>
      <c r="T16" s="195" t="e">
        <f t="shared" si="6"/>
        <v>#DIV/0!</v>
      </c>
      <c r="U16" s="195" t="e">
        <f t="shared" si="6"/>
        <v>#DIV/0!</v>
      </c>
      <c r="V16" s="196" t="e">
        <f>MEDIAN(V7:V12)</f>
        <v>#DIV/0!</v>
      </c>
    </row>
    <row r="17" spans="2:22" x14ac:dyDescent="0.2">
      <c r="B17" s="2" t="s">
        <v>312</v>
      </c>
      <c r="C17" s="172">
        <f>QUARTILE(C7:C12,1)</f>
        <v>100</v>
      </c>
      <c r="D17" s="182"/>
      <c r="E17" s="98">
        <f t="shared" ref="E17:U17" si="7">QUARTILE(E7:E12,1)</f>
        <v>1000000</v>
      </c>
      <c r="F17" s="98">
        <f t="shared" si="7"/>
        <v>0</v>
      </c>
      <c r="G17" s="98">
        <f t="shared" si="7"/>
        <v>0</v>
      </c>
      <c r="H17" s="98">
        <f t="shared" si="7"/>
        <v>0</v>
      </c>
      <c r="I17" s="98">
        <f t="shared" si="7"/>
        <v>0</v>
      </c>
      <c r="J17" s="98">
        <f t="shared" si="7"/>
        <v>0</v>
      </c>
      <c r="K17" s="98">
        <f t="shared" si="7"/>
        <v>1000000</v>
      </c>
      <c r="L17" s="98">
        <f t="shared" si="7"/>
        <v>0</v>
      </c>
      <c r="M17" s="98">
        <f t="shared" si="7"/>
        <v>0</v>
      </c>
      <c r="N17" s="98">
        <f t="shared" si="7"/>
        <v>0</v>
      </c>
      <c r="O17" s="98">
        <f t="shared" si="7"/>
        <v>0</v>
      </c>
      <c r="P17" s="98">
        <f t="shared" si="7"/>
        <v>0</v>
      </c>
      <c r="Q17" s="98">
        <f t="shared" si="7"/>
        <v>0</v>
      </c>
      <c r="R17" s="173">
        <f t="shared" si="7"/>
        <v>0</v>
      </c>
      <c r="S17" s="173">
        <f t="shared" si="7"/>
        <v>0</v>
      </c>
      <c r="T17" s="183" t="e">
        <f t="shared" si="7"/>
        <v>#DIV/0!</v>
      </c>
      <c r="U17" s="183" t="e">
        <f t="shared" si="7"/>
        <v>#DIV/0!</v>
      </c>
      <c r="V17" s="184" t="e">
        <f>QUARTILE(V7:V12,1)</f>
        <v>#DIV/0!</v>
      </c>
    </row>
    <row r="18" spans="2:22" x14ac:dyDescent="0.2">
      <c r="B18" s="18" t="s">
        <v>313</v>
      </c>
      <c r="C18" s="185">
        <f>MIN(C7:C12)</f>
        <v>100</v>
      </c>
      <c r="D18" s="186"/>
      <c r="E18" s="100">
        <f t="shared" ref="E18:U18" si="8">MIN(E7:E12)</f>
        <v>1000000</v>
      </c>
      <c r="F18" s="100">
        <f t="shared" si="8"/>
        <v>0</v>
      </c>
      <c r="G18" s="100">
        <f t="shared" si="8"/>
        <v>0</v>
      </c>
      <c r="H18" s="100">
        <f t="shared" si="8"/>
        <v>0</v>
      </c>
      <c r="I18" s="100">
        <f t="shared" si="8"/>
        <v>0</v>
      </c>
      <c r="J18" s="100">
        <f t="shared" si="8"/>
        <v>0</v>
      </c>
      <c r="K18" s="100">
        <f t="shared" si="8"/>
        <v>1000000</v>
      </c>
      <c r="L18" s="100">
        <f t="shared" si="8"/>
        <v>0</v>
      </c>
      <c r="M18" s="100">
        <f t="shared" si="8"/>
        <v>0</v>
      </c>
      <c r="N18" s="100">
        <f t="shared" si="8"/>
        <v>0</v>
      </c>
      <c r="O18" s="100">
        <f t="shared" si="8"/>
        <v>0</v>
      </c>
      <c r="P18" s="100">
        <f t="shared" si="8"/>
        <v>0</v>
      </c>
      <c r="Q18" s="100">
        <f t="shared" si="8"/>
        <v>0</v>
      </c>
      <c r="R18" s="187">
        <f t="shared" si="8"/>
        <v>0</v>
      </c>
      <c r="S18" s="187">
        <f t="shared" si="8"/>
        <v>0</v>
      </c>
      <c r="T18" s="188" t="e">
        <f t="shared" si="8"/>
        <v>#DIV/0!</v>
      </c>
      <c r="U18" s="188" t="e">
        <f t="shared" si="8"/>
        <v>#DIV/0!</v>
      </c>
      <c r="V18" s="189" t="e">
        <f>MIN(V7:V12)</f>
        <v>#DIV/0!</v>
      </c>
    </row>
    <row r="20" spans="2:22" x14ac:dyDescent="0.2">
      <c r="B20" s="53" t="str">
        <f>Company_Name</f>
        <v>Cymer Inc.</v>
      </c>
      <c r="C20" s="197">
        <f>C16</f>
        <v>100</v>
      </c>
      <c r="D20" s="198"/>
      <c r="E20" s="236">
        <f t="shared" ref="E20:V20" si="9">E16</f>
        <v>1000000</v>
      </c>
      <c r="F20" s="199">
        <f t="shared" si="9"/>
        <v>0</v>
      </c>
      <c r="G20" s="199">
        <f t="shared" si="9"/>
        <v>0</v>
      </c>
      <c r="H20" s="199">
        <f t="shared" si="9"/>
        <v>0</v>
      </c>
      <c r="I20" s="199">
        <f t="shared" si="9"/>
        <v>0</v>
      </c>
      <c r="J20" s="199">
        <f t="shared" si="9"/>
        <v>0</v>
      </c>
      <c r="K20" s="199">
        <f t="shared" si="9"/>
        <v>1000000</v>
      </c>
      <c r="L20" s="199">
        <f t="shared" si="9"/>
        <v>0</v>
      </c>
      <c r="M20" s="199">
        <f t="shared" si="9"/>
        <v>0</v>
      </c>
      <c r="N20" s="199">
        <f t="shared" si="9"/>
        <v>0</v>
      </c>
      <c r="O20" s="199">
        <f t="shared" si="9"/>
        <v>0</v>
      </c>
      <c r="P20" s="199">
        <f t="shared" si="9"/>
        <v>0</v>
      </c>
      <c r="Q20" s="199">
        <f t="shared" si="9"/>
        <v>0</v>
      </c>
      <c r="R20" s="200">
        <f t="shared" si="9"/>
        <v>0</v>
      </c>
      <c r="S20" s="200">
        <f t="shared" si="9"/>
        <v>0</v>
      </c>
      <c r="T20" s="201" t="e">
        <f t="shared" si="9"/>
        <v>#DIV/0!</v>
      </c>
      <c r="U20" s="201" t="e">
        <f t="shared" si="9"/>
        <v>#DIV/0!</v>
      </c>
      <c r="V20" s="202" t="e">
        <f t="shared" si="9"/>
        <v>#DIV/0!</v>
      </c>
    </row>
    <row r="22" spans="2:22" x14ac:dyDescent="0.2">
      <c r="B22" s="203" t="s">
        <v>314</v>
      </c>
      <c r="C22" s="166"/>
      <c r="D22" s="166"/>
      <c r="E22" s="169" t="s">
        <v>306</v>
      </c>
      <c r="F22" s="167"/>
      <c r="G22" s="167"/>
      <c r="H22" s="167"/>
      <c r="I22" s="167"/>
      <c r="J22" s="167"/>
      <c r="K22" s="167"/>
      <c r="L22" s="167" t="s">
        <v>315</v>
      </c>
      <c r="M22" s="167"/>
      <c r="N22" s="167" t="s">
        <v>315</v>
      </c>
      <c r="O22" s="167"/>
      <c r="P22" s="166"/>
      <c r="Q22" s="166"/>
      <c r="R22" s="166"/>
      <c r="S22" s="166"/>
      <c r="T22" s="204"/>
      <c r="U22" s="204"/>
      <c r="V22" s="204"/>
    </row>
    <row r="23" spans="2:22" x14ac:dyDescent="0.2">
      <c r="B23" s="165"/>
      <c r="C23" s="166" t="s">
        <v>230</v>
      </c>
      <c r="D23" s="166"/>
      <c r="E23" s="166" t="s">
        <v>1</v>
      </c>
      <c r="F23" s="166"/>
      <c r="G23" s="166"/>
      <c r="H23" s="166"/>
      <c r="I23" s="166"/>
      <c r="J23" s="166"/>
      <c r="K23" s="166" t="s">
        <v>238</v>
      </c>
      <c r="L23" s="167" t="s">
        <v>74</v>
      </c>
      <c r="M23" s="167"/>
      <c r="N23" s="167" t="s">
        <v>4</v>
      </c>
      <c r="O23" s="167"/>
      <c r="P23" s="166"/>
      <c r="Q23" s="166"/>
      <c r="R23" s="167" t="s">
        <v>316</v>
      </c>
      <c r="S23" s="167"/>
      <c r="T23" s="204"/>
      <c r="U23" s="204"/>
      <c r="V23" s="204"/>
    </row>
    <row r="24" spans="2:22" x14ac:dyDescent="0.2">
      <c r="B24" s="168" t="s">
        <v>229</v>
      </c>
      <c r="C24" s="166" t="s">
        <v>231</v>
      </c>
      <c r="D24" s="166"/>
      <c r="E24" s="166" t="s">
        <v>50</v>
      </c>
      <c r="F24" s="166"/>
      <c r="G24" s="166"/>
      <c r="H24" s="166"/>
      <c r="I24" s="166"/>
      <c r="J24" s="166"/>
      <c r="K24" s="166" t="s">
        <v>50</v>
      </c>
      <c r="L24" s="166">
        <f>L6</f>
        <v>2010</v>
      </c>
      <c r="M24" s="166">
        <f>M6</f>
        <v>2011</v>
      </c>
      <c r="N24" s="166">
        <f>N6</f>
        <v>2010</v>
      </c>
      <c r="O24" s="166">
        <f>O6</f>
        <v>2011</v>
      </c>
      <c r="P24" s="166"/>
      <c r="Q24" s="166"/>
      <c r="R24" s="166">
        <f>P6</f>
        <v>2010</v>
      </c>
      <c r="S24" s="166">
        <f>Q6</f>
        <v>2011</v>
      </c>
      <c r="T24" s="204"/>
      <c r="U24" s="204"/>
      <c r="V24" s="204"/>
    </row>
    <row r="25" spans="2:22" x14ac:dyDescent="0.2">
      <c r="B25" t="str">
        <f t="shared" ref="B25:C27" si="10">B7</f>
        <v>Blockbuster (BLOAQ)</v>
      </c>
      <c r="C25" s="171">
        <f t="shared" si="10"/>
        <v>100</v>
      </c>
      <c r="E25" s="205">
        <f t="shared" ref="E25:E30" si="11">E7</f>
        <v>1000000</v>
      </c>
      <c r="K25" s="205">
        <f t="shared" ref="K25:K30" si="12">K7</f>
        <v>1000000</v>
      </c>
      <c r="L25" s="224" t="e">
        <f t="shared" ref="L25:O26" si="13">IF($K25/L7&gt;0,$K25/L7,"NM")</f>
        <v>#DIV/0!</v>
      </c>
      <c r="M25" s="224" t="e">
        <f t="shared" si="13"/>
        <v>#DIV/0!</v>
      </c>
      <c r="N25" s="224" t="e">
        <f t="shared" si="13"/>
        <v>#DIV/0!</v>
      </c>
      <c r="O25" s="224" t="e">
        <f t="shared" si="13"/>
        <v>#DIV/0!</v>
      </c>
      <c r="P25" s="224"/>
      <c r="Q25" s="224"/>
      <c r="R25" s="224" t="e">
        <f t="shared" ref="R25:S30" si="14">IF($C25/R7&gt;0,$C25/R7,"NM")</f>
        <v>#DIV/0!</v>
      </c>
      <c r="S25" s="224" t="e">
        <f t="shared" si="14"/>
        <v>#DIV/0!</v>
      </c>
    </row>
    <row r="26" spans="2:22" x14ac:dyDescent="0.2">
      <c r="B26" t="str">
        <f t="shared" si="10"/>
        <v>Amazon (AMZN)</v>
      </c>
      <c r="C26" s="171">
        <f t="shared" si="10"/>
        <v>100</v>
      </c>
      <c r="E26" s="205">
        <f t="shared" si="11"/>
        <v>1000000</v>
      </c>
      <c r="K26" s="205">
        <f t="shared" si="12"/>
        <v>1000000</v>
      </c>
      <c r="L26" s="224" t="e">
        <f t="shared" si="13"/>
        <v>#DIV/0!</v>
      </c>
      <c r="M26" s="224" t="e">
        <f t="shared" si="13"/>
        <v>#DIV/0!</v>
      </c>
      <c r="N26" s="224" t="e">
        <f t="shared" si="13"/>
        <v>#DIV/0!</v>
      </c>
      <c r="O26" s="224" t="e">
        <f t="shared" si="13"/>
        <v>#DIV/0!</v>
      </c>
      <c r="P26" s="224"/>
      <c r="Q26" s="224"/>
      <c r="R26" s="224" t="e">
        <f t="shared" si="14"/>
        <v>#DIV/0!</v>
      </c>
      <c r="S26" s="224" t="e">
        <f t="shared" si="14"/>
        <v>#DIV/0!</v>
      </c>
    </row>
    <row r="27" spans="2:22" x14ac:dyDescent="0.2">
      <c r="B27" t="str">
        <f t="shared" si="10"/>
        <v>Comcast (CMCSA)</v>
      </c>
      <c r="C27" s="171">
        <f t="shared" si="10"/>
        <v>100</v>
      </c>
      <c r="E27" s="205">
        <f t="shared" si="11"/>
        <v>1000000</v>
      </c>
      <c r="K27" s="205">
        <f t="shared" si="12"/>
        <v>1000000</v>
      </c>
      <c r="L27" s="224" t="e">
        <f t="shared" ref="L27:O29" si="15">IF($K27/L9&gt;0,$K27/L9,"NM")</f>
        <v>#DIV/0!</v>
      </c>
      <c r="M27" s="224" t="e">
        <f t="shared" si="15"/>
        <v>#DIV/0!</v>
      </c>
      <c r="N27" s="224" t="e">
        <f t="shared" si="15"/>
        <v>#DIV/0!</v>
      </c>
      <c r="O27" s="224" t="e">
        <f t="shared" si="15"/>
        <v>#DIV/0!</v>
      </c>
      <c r="P27" s="224"/>
      <c r="Q27" s="224"/>
      <c r="R27" s="224" t="e">
        <f t="shared" si="14"/>
        <v>#DIV/0!</v>
      </c>
      <c r="S27" s="224" t="e">
        <f t="shared" si="14"/>
        <v>#DIV/0!</v>
      </c>
    </row>
    <row r="28" spans="2:22" x14ac:dyDescent="0.2">
      <c r="B28" s="238" t="s">
        <v>345</v>
      </c>
      <c r="C28" s="171">
        <f>C10</f>
        <v>100</v>
      </c>
      <c r="E28" s="205">
        <f t="shared" si="11"/>
        <v>1000000</v>
      </c>
      <c r="K28" s="205">
        <f t="shared" si="12"/>
        <v>1000000</v>
      </c>
      <c r="L28" s="224" t="e">
        <f t="shared" si="15"/>
        <v>#DIV/0!</v>
      </c>
      <c r="M28" s="224" t="e">
        <f t="shared" si="15"/>
        <v>#DIV/0!</v>
      </c>
      <c r="N28" s="224" t="e">
        <f t="shared" si="15"/>
        <v>#DIV/0!</v>
      </c>
      <c r="O28" s="224" t="e">
        <f t="shared" si="15"/>
        <v>#DIV/0!</v>
      </c>
      <c r="P28" s="224"/>
      <c r="Q28" s="224"/>
      <c r="R28" s="224" t="e">
        <f t="shared" si="14"/>
        <v>#DIV/0!</v>
      </c>
      <c r="S28" s="224" t="e">
        <f t="shared" si="14"/>
        <v>#DIV/0!</v>
      </c>
    </row>
    <row r="29" spans="2:22" x14ac:dyDescent="0.2">
      <c r="B29" s="238" t="s">
        <v>346</v>
      </c>
      <c r="C29" s="171">
        <f>C11</f>
        <v>100</v>
      </c>
      <c r="E29" s="205">
        <f t="shared" si="11"/>
        <v>1000000</v>
      </c>
      <c r="K29" s="205">
        <f t="shared" si="12"/>
        <v>1000000</v>
      </c>
      <c r="L29" s="224" t="e">
        <f t="shared" si="15"/>
        <v>#DIV/0!</v>
      </c>
      <c r="M29" s="224" t="e">
        <f t="shared" si="15"/>
        <v>#DIV/0!</v>
      </c>
      <c r="N29" s="224" t="e">
        <f t="shared" si="15"/>
        <v>#DIV/0!</v>
      </c>
      <c r="O29" s="224" t="e">
        <f t="shared" si="15"/>
        <v>#DIV/0!</v>
      </c>
      <c r="P29" s="224"/>
      <c r="Q29" s="224"/>
      <c r="R29" s="224" t="e">
        <f t="shared" si="14"/>
        <v>#DIV/0!</v>
      </c>
      <c r="S29" s="224" t="e">
        <f t="shared" si="14"/>
        <v>#DIV/0!</v>
      </c>
    </row>
    <row r="30" spans="2:22" x14ac:dyDescent="0.2">
      <c r="B30" t="str">
        <f>B12</f>
        <v>Coinstar (CSTR)</v>
      </c>
      <c r="C30" s="171">
        <f>C12</f>
        <v>100</v>
      </c>
      <c r="E30" s="205">
        <f t="shared" si="11"/>
        <v>1000000</v>
      </c>
      <c r="K30" s="205">
        <f t="shared" si="12"/>
        <v>1000000</v>
      </c>
      <c r="L30" s="224" t="e">
        <f>IF($K30/L12&gt;0,$K30/L12,"NM")</f>
        <v>#DIV/0!</v>
      </c>
      <c r="M30" s="224" t="e">
        <f>IF($K30/M12&gt;0,$K30/M12,"NM")</f>
        <v>#DIV/0!</v>
      </c>
      <c r="N30" s="224" t="e">
        <f>IF($K30/N12&gt;0,$K30/N12,"NM")</f>
        <v>#DIV/0!</v>
      </c>
      <c r="O30" s="224" t="e">
        <f>IF($K30/O12&gt;0,$K30/O12,"NM")</f>
        <v>#DIV/0!</v>
      </c>
      <c r="P30" s="224"/>
      <c r="Q30" s="224"/>
      <c r="R30" s="224" t="e">
        <f t="shared" si="14"/>
        <v>#DIV/0!</v>
      </c>
      <c r="S30" s="224" t="e">
        <f t="shared" si="14"/>
        <v>#DIV/0!</v>
      </c>
    </row>
    <row r="31" spans="2:22" x14ac:dyDescent="0.2">
      <c r="K31" s="205"/>
      <c r="L31" s="224"/>
      <c r="M31" s="224"/>
      <c r="N31" s="224"/>
      <c r="O31" s="224"/>
      <c r="P31" s="224"/>
      <c r="Q31" s="224"/>
      <c r="R31" s="224"/>
      <c r="S31" s="224"/>
    </row>
    <row r="32" spans="2:22" x14ac:dyDescent="0.2">
      <c r="B32" s="175" t="s">
        <v>310</v>
      </c>
      <c r="C32" s="206">
        <f>MAX(C25:C30)</f>
        <v>100</v>
      </c>
      <c r="D32" s="4"/>
      <c r="E32" s="207">
        <f t="shared" ref="E32:S32" si="16">MAX(E25:E30)</f>
        <v>1000000</v>
      </c>
      <c r="F32" s="4"/>
      <c r="G32" s="4"/>
      <c r="H32" s="4"/>
      <c r="I32" s="4"/>
      <c r="J32" s="4"/>
      <c r="K32" s="207">
        <f t="shared" si="16"/>
        <v>1000000</v>
      </c>
      <c r="L32" s="225" t="e">
        <f t="shared" si="16"/>
        <v>#DIV/0!</v>
      </c>
      <c r="M32" s="225" t="e">
        <f t="shared" si="16"/>
        <v>#DIV/0!</v>
      </c>
      <c r="N32" s="225" t="e">
        <f t="shared" si="16"/>
        <v>#DIV/0!</v>
      </c>
      <c r="O32" s="225" t="e">
        <f t="shared" si="16"/>
        <v>#DIV/0!</v>
      </c>
      <c r="P32" s="225"/>
      <c r="Q32" s="225"/>
      <c r="R32" s="225" t="e">
        <f t="shared" si="16"/>
        <v>#DIV/0!</v>
      </c>
      <c r="S32" s="229" t="e">
        <f t="shared" si="16"/>
        <v>#DIV/0!</v>
      </c>
    </row>
    <row r="33" spans="2:19" x14ac:dyDescent="0.2">
      <c r="B33" s="2" t="s">
        <v>311</v>
      </c>
      <c r="C33" s="136">
        <f>QUARTILE(C25:C30,3)</f>
        <v>100</v>
      </c>
      <c r="D33" s="3"/>
      <c r="E33" s="82">
        <f t="shared" ref="E33:S33" si="17">QUARTILE(E25:E30,3)</f>
        <v>1000000</v>
      </c>
      <c r="F33" s="3"/>
      <c r="G33" s="3"/>
      <c r="H33" s="3"/>
      <c r="I33" s="3"/>
      <c r="J33" s="3"/>
      <c r="K33" s="82">
        <f t="shared" si="17"/>
        <v>1000000</v>
      </c>
      <c r="L33" s="224" t="e">
        <f t="shared" si="17"/>
        <v>#DIV/0!</v>
      </c>
      <c r="M33" s="224" t="e">
        <f t="shared" si="17"/>
        <v>#DIV/0!</v>
      </c>
      <c r="N33" s="224" t="e">
        <f t="shared" si="17"/>
        <v>#DIV/0!</v>
      </c>
      <c r="O33" s="224" t="e">
        <f t="shared" si="17"/>
        <v>#DIV/0!</v>
      </c>
      <c r="P33" s="224"/>
      <c r="Q33" s="224"/>
      <c r="R33" s="224" t="e">
        <f t="shared" si="17"/>
        <v>#DIV/0!</v>
      </c>
      <c r="S33" s="230" t="e">
        <f t="shared" si="17"/>
        <v>#DIV/0!</v>
      </c>
    </row>
    <row r="34" spans="2:19" x14ac:dyDescent="0.2">
      <c r="B34" s="190" t="s">
        <v>48</v>
      </c>
      <c r="C34" s="208">
        <f>MEDIAN(C25:C30)</f>
        <v>100</v>
      </c>
      <c r="D34" s="209"/>
      <c r="E34" s="210">
        <f t="shared" ref="E34:S34" si="18">MEDIAN(E25:E30)</f>
        <v>1000000</v>
      </c>
      <c r="F34" s="209"/>
      <c r="G34" s="209"/>
      <c r="H34" s="209"/>
      <c r="I34" s="209"/>
      <c r="J34" s="209"/>
      <c r="K34" s="210">
        <f t="shared" si="18"/>
        <v>1000000</v>
      </c>
      <c r="L34" s="226" t="e">
        <f t="shared" si="18"/>
        <v>#DIV/0!</v>
      </c>
      <c r="M34" s="226" t="e">
        <f t="shared" si="18"/>
        <v>#DIV/0!</v>
      </c>
      <c r="N34" s="226" t="e">
        <f t="shared" si="18"/>
        <v>#DIV/0!</v>
      </c>
      <c r="O34" s="226" t="e">
        <f t="shared" si="18"/>
        <v>#DIV/0!</v>
      </c>
      <c r="P34" s="226"/>
      <c r="Q34" s="226"/>
      <c r="R34" s="226" t="e">
        <f t="shared" si="18"/>
        <v>#DIV/0!</v>
      </c>
      <c r="S34" s="231" t="e">
        <f t="shared" si="18"/>
        <v>#DIV/0!</v>
      </c>
    </row>
    <row r="35" spans="2:19" x14ac:dyDescent="0.2">
      <c r="B35" s="2" t="s">
        <v>312</v>
      </c>
      <c r="C35" s="136">
        <f>QUARTILE(C25:C30,1)</f>
        <v>100</v>
      </c>
      <c r="D35" s="3"/>
      <c r="E35" s="82">
        <f t="shared" ref="E35:S35" si="19">QUARTILE(E25:E30,1)</f>
        <v>1000000</v>
      </c>
      <c r="F35" s="3"/>
      <c r="G35" s="3"/>
      <c r="H35" s="3"/>
      <c r="I35" s="3"/>
      <c r="J35" s="3"/>
      <c r="K35" s="82">
        <f t="shared" si="19"/>
        <v>1000000</v>
      </c>
      <c r="L35" s="224" t="e">
        <f t="shared" si="19"/>
        <v>#DIV/0!</v>
      </c>
      <c r="M35" s="224" t="e">
        <f t="shared" si="19"/>
        <v>#DIV/0!</v>
      </c>
      <c r="N35" s="224" t="e">
        <f t="shared" si="19"/>
        <v>#DIV/0!</v>
      </c>
      <c r="O35" s="224" t="e">
        <f t="shared" si="19"/>
        <v>#DIV/0!</v>
      </c>
      <c r="P35" s="224"/>
      <c r="Q35" s="224"/>
      <c r="R35" s="224" t="e">
        <f t="shared" si="19"/>
        <v>#DIV/0!</v>
      </c>
      <c r="S35" s="230" t="e">
        <f t="shared" si="19"/>
        <v>#DIV/0!</v>
      </c>
    </row>
    <row r="36" spans="2:19" x14ac:dyDescent="0.2">
      <c r="B36" s="18" t="s">
        <v>313</v>
      </c>
      <c r="C36" s="211">
        <f>MIN(C25:C30)</f>
        <v>100</v>
      </c>
      <c r="D36" s="16"/>
      <c r="E36" s="85">
        <f t="shared" ref="E36:S36" si="20">MIN(E25:E30)</f>
        <v>1000000</v>
      </c>
      <c r="F36" s="16"/>
      <c r="G36" s="16"/>
      <c r="H36" s="16"/>
      <c r="I36" s="16"/>
      <c r="J36" s="16"/>
      <c r="K36" s="85">
        <f t="shared" si="20"/>
        <v>1000000</v>
      </c>
      <c r="L36" s="227" t="e">
        <f t="shared" si="20"/>
        <v>#DIV/0!</v>
      </c>
      <c r="M36" s="227" t="e">
        <f t="shared" si="20"/>
        <v>#DIV/0!</v>
      </c>
      <c r="N36" s="227" t="e">
        <f t="shared" si="20"/>
        <v>#DIV/0!</v>
      </c>
      <c r="O36" s="227" t="e">
        <f t="shared" si="20"/>
        <v>#DIV/0!</v>
      </c>
      <c r="P36" s="227"/>
      <c r="Q36" s="227"/>
      <c r="R36" s="227" t="e">
        <f t="shared" si="20"/>
        <v>#DIV/0!</v>
      </c>
      <c r="S36" s="232" t="e">
        <f t="shared" si="20"/>
        <v>#DIV/0!</v>
      </c>
    </row>
    <row r="37" spans="2:19" x14ac:dyDescent="0.2">
      <c r="L37" s="228"/>
      <c r="M37" s="228"/>
      <c r="N37" s="228"/>
      <c r="O37" s="228"/>
      <c r="P37" s="228"/>
      <c r="Q37" s="228"/>
      <c r="R37" s="228"/>
      <c r="S37" s="228"/>
    </row>
    <row r="38" spans="2:19" x14ac:dyDescent="0.2">
      <c r="B38" s="53" t="str">
        <f>Company_Name</f>
        <v>Cymer Inc.</v>
      </c>
      <c r="C38" s="212">
        <f>C34</f>
        <v>100</v>
      </c>
      <c r="D38" s="54"/>
      <c r="E38" s="222">
        <f>E34</f>
        <v>1000000</v>
      </c>
      <c r="F38" s="54"/>
      <c r="G38" s="54"/>
      <c r="H38" s="54"/>
      <c r="I38" s="54"/>
      <c r="J38" s="54"/>
      <c r="K38" s="213">
        <f>K34</f>
        <v>1000000</v>
      </c>
      <c r="L38" s="223" t="e">
        <f>IF($K38/L20&gt;0,$K38/L20,"NM")</f>
        <v>#DIV/0!</v>
      </c>
      <c r="M38" s="223" t="e">
        <f>IF($K38/M20&gt;0,$K38/M20,"NM")</f>
        <v>#DIV/0!</v>
      </c>
      <c r="N38" s="223" t="e">
        <f>IF($K38/N20&gt;0,$K38/N20,"NM")</f>
        <v>#DIV/0!</v>
      </c>
      <c r="O38" s="223" t="e">
        <f>IF($K38/O20&gt;0,$K38/O20,"NM")</f>
        <v>#DIV/0!</v>
      </c>
      <c r="P38" s="223"/>
      <c r="Q38" s="223"/>
      <c r="R38" s="223" t="e">
        <f>IF($C38/R20&gt;0,$C38/R20,"NM")</f>
        <v>#DIV/0!</v>
      </c>
      <c r="S38" s="233" t="e">
        <f>IF($C38/S20&gt;0,$C38/S20,"NM")</f>
        <v>#DIV/0!</v>
      </c>
    </row>
    <row r="43" spans="2:19" x14ac:dyDescent="0.2">
      <c r="F43" s="221"/>
      <c r="G43" s="221"/>
      <c r="H43" s="221"/>
      <c r="I43" s="221"/>
      <c r="J43" s="221"/>
      <c r="K43" s="221"/>
      <c r="L43" s="221"/>
      <c r="M43" s="221"/>
      <c r="N43" s="221"/>
      <c r="O43" s="221"/>
      <c r="P43" s="221"/>
      <c r="Q43" s="221"/>
    </row>
  </sheetData>
  <pageMargins left="0.7" right="0.7" top="0.75" bottom="0.75" header="0.3" footer="0.3"/>
  <pageSetup paperSize="9" orientation="portrait" horizontalDpi="1200" verticalDpi="1200" r:id="rId1"/>
  <ignoredErrors>
    <ignoredError sqref="L14:L18"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1"/>
  <sheetViews>
    <sheetView topLeftCell="A25" zoomScale="90" zoomScaleNormal="90" workbookViewId="0">
      <selection activeCell="H25" sqref="H25"/>
    </sheetView>
  </sheetViews>
  <sheetFormatPr defaultRowHeight="12.75" x14ac:dyDescent="0.2"/>
  <cols>
    <col min="1" max="1" width="2.7109375" customWidth="1"/>
    <col min="7" max="7" width="9.42578125" bestFit="1" customWidth="1"/>
    <col min="8" max="8" width="10.28515625" bestFit="1" customWidth="1"/>
    <col min="9" max="9" width="8.85546875" bestFit="1" customWidth="1"/>
    <col min="10" max="10" width="10.28515625" bestFit="1" customWidth="1"/>
    <col min="11" max="11" width="10" bestFit="1" customWidth="1"/>
    <col min="12" max="12" width="12.7109375" customWidth="1"/>
    <col min="13" max="13" width="9.42578125" bestFit="1" customWidth="1"/>
    <col min="14" max="14" width="10.28515625" bestFit="1" customWidth="1"/>
    <col min="15" max="15" width="8.85546875" customWidth="1"/>
    <col min="16" max="16" width="10.28515625" bestFit="1" customWidth="1"/>
    <col min="17" max="17" width="11.140625" bestFit="1" customWidth="1"/>
    <col min="22" max="22" width="11.5703125" bestFit="1" customWidth="1"/>
  </cols>
  <sheetData>
    <row r="1" spans="2:22" x14ac:dyDescent="0.2">
      <c r="B1" s="1" t="str">
        <f>"Valuation Summary - "&amp;TEXT(Company_Name,"")</f>
        <v>Valuation Summary - Cymer Inc.</v>
      </c>
    </row>
    <row r="2" spans="2:22" x14ac:dyDescent="0.2">
      <c r="B2" s="1"/>
    </row>
    <row r="5" spans="2:22" x14ac:dyDescent="0.2">
      <c r="B5" s="168" t="s">
        <v>328</v>
      </c>
      <c r="C5" s="168"/>
      <c r="D5" s="168"/>
      <c r="E5" s="168"/>
      <c r="F5" s="168"/>
      <c r="G5" s="167" t="s">
        <v>323</v>
      </c>
      <c r="H5" s="167"/>
      <c r="I5" s="167"/>
      <c r="J5" s="167"/>
      <c r="K5" s="167"/>
      <c r="L5" s="168"/>
      <c r="M5" s="167" t="s">
        <v>324</v>
      </c>
      <c r="N5" s="167"/>
      <c r="O5" s="167"/>
      <c r="P5" s="167"/>
      <c r="Q5" s="167"/>
      <c r="S5" s="1" t="s">
        <v>326</v>
      </c>
      <c r="V5" s="82">
        <f>SUM(DCF!T26:T30)</f>
        <v>200309</v>
      </c>
    </row>
    <row r="6" spans="2:22" x14ac:dyDescent="0.2">
      <c r="B6" s="168"/>
      <c r="C6" s="168"/>
      <c r="D6" s="168"/>
      <c r="E6" s="168"/>
      <c r="F6" s="168"/>
      <c r="G6" s="166"/>
      <c r="H6" s="166" t="s">
        <v>320</v>
      </c>
      <c r="I6" s="166"/>
      <c r="J6" s="166" t="s">
        <v>322</v>
      </c>
      <c r="K6" s="166"/>
      <c r="L6" s="166"/>
      <c r="M6" s="166"/>
      <c r="N6" s="166" t="s">
        <v>320</v>
      </c>
      <c r="O6" s="166"/>
      <c r="P6" s="166" t="s">
        <v>322</v>
      </c>
      <c r="Q6" s="166"/>
    </row>
    <row r="7" spans="2:22" x14ac:dyDescent="0.2">
      <c r="B7" s="168"/>
      <c r="C7" s="168"/>
      <c r="D7" s="168"/>
      <c r="E7" s="168"/>
      <c r="F7" s="168"/>
      <c r="G7" s="166" t="s">
        <v>313</v>
      </c>
      <c r="H7" s="166" t="s">
        <v>321</v>
      </c>
      <c r="I7" s="166" t="s">
        <v>48</v>
      </c>
      <c r="J7" s="166" t="s">
        <v>321</v>
      </c>
      <c r="K7" s="166" t="s">
        <v>310</v>
      </c>
      <c r="L7" s="166" t="s">
        <v>325</v>
      </c>
      <c r="M7" s="166" t="s">
        <v>313</v>
      </c>
      <c r="N7" s="166" t="s">
        <v>321</v>
      </c>
      <c r="O7" s="166" t="s">
        <v>48</v>
      </c>
      <c r="P7" s="166" t="s">
        <v>321</v>
      </c>
      <c r="Q7" s="166" t="s">
        <v>310</v>
      </c>
    </row>
    <row r="8" spans="2:22" x14ac:dyDescent="0.2">
      <c r="B8" s="168" t="s">
        <v>327</v>
      </c>
      <c r="C8" s="168"/>
      <c r="D8" s="168"/>
      <c r="E8" s="168"/>
      <c r="F8" s="168"/>
      <c r="G8" s="166" t="s">
        <v>319</v>
      </c>
      <c r="H8" s="166" t="s">
        <v>319</v>
      </c>
      <c r="I8" s="166" t="s">
        <v>319</v>
      </c>
      <c r="J8" s="166" t="s">
        <v>319</v>
      </c>
      <c r="K8" s="166" t="s">
        <v>319</v>
      </c>
      <c r="L8" s="166" t="s">
        <v>50</v>
      </c>
      <c r="M8" s="166" t="s">
        <v>319</v>
      </c>
      <c r="N8" s="166" t="s">
        <v>319</v>
      </c>
      <c r="O8" s="166" t="s">
        <v>319</v>
      </c>
      <c r="P8" s="166" t="s">
        <v>319</v>
      </c>
      <c r="Q8" s="166" t="s">
        <v>319</v>
      </c>
    </row>
    <row r="10" spans="2:22" x14ac:dyDescent="0.2">
      <c r="B10" s="1" t="s">
        <v>317</v>
      </c>
    </row>
    <row r="11" spans="2:22" x14ac:dyDescent="0.2">
      <c r="B11" t="str">
        <f>Historical_Year&amp;" EV / Revenue:"</f>
        <v>2010 EV / Revenue:</v>
      </c>
      <c r="G11" s="131" t="e">
        <f>Comps!L36</f>
        <v>#DIV/0!</v>
      </c>
      <c r="H11" s="131" t="e">
        <f>Comps!L35</f>
        <v>#DIV/0!</v>
      </c>
      <c r="I11" s="131" t="e">
        <f>Comps!L34</f>
        <v>#DIV/0!</v>
      </c>
      <c r="J11" s="131" t="e">
        <f>Comps!L33</f>
        <v>#DIV/0!</v>
      </c>
      <c r="K11" s="131" t="e">
        <f>Comps!L32</f>
        <v>#DIV/0!</v>
      </c>
      <c r="L11" s="82">
        <f>'Financial Statements'!I35</f>
        <v>534209</v>
      </c>
      <c r="M11" s="136" t="e">
        <f t="shared" ref="M11:Q14" si="0">(G11*$L11+$V$5)/Shares_Outstanding</f>
        <v>#DIV/0!</v>
      </c>
      <c r="N11" s="136" t="e">
        <f t="shared" si="0"/>
        <v>#DIV/0!</v>
      </c>
      <c r="O11" s="136" t="e">
        <f t="shared" si="0"/>
        <v>#DIV/0!</v>
      </c>
      <c r="P11" s="136" t="e">
        <f t="shared" si="0"/>
        <v>#DIV/0!</v>
      </c>
      <c r="Q11" s="136" t="e">
        <f t="shared" si="0"/>
        <v>#DIV/0!</v>
      </c>
    </row>
    <row r="12" spans="2:22" x14ac:dyDescent="0.2">
      <c r="B12" t="str">
        <f>Historical_Year+1&amp;" EV / Revenue:"</f>
        <v>2011 EV / Revenue:</v>
      </c>
      <c r="G12" s="131" t="e">
        <f>Comps!M36</f>
        <v>#DIV/0!</v>
      </c>
      <c r="H12" s="131" t="e">
        <f>Comps!M35</f>
        <v>#DIV/0!</v>
      </c>
      <c r="I12" s="131" t="e">
        <f>Comps!M34</f>
        <v>#DIV/0!</v>
      </c>
      <c r="J12" s="131" t="e">
        <f>Comps!M33</f>
        <v>#DIV/0!</v>
      </c>
      <c r="K12" s="131" t="e">
        <f>Comps!M32</f>
        <v>#DIV/0!</v>
      </c>
      <c r="L12" s="82">
        <f>'Financial Statements'!J35</f>
        <v>571603.63</v>
      </c>
      <c r="M12" s="136" t="e">
        <f t="shared" si="0"/>
        <v>#DIV/0!</v>
      </c>
      <c r="N12" s="136" t="e">
        <f t="shared" si="0"/>
        <v>#DIV/0!</v>
      </c>
      <c r="O12" s="136" t="e">
        <f t="shared" si="0"/>
        <v>#DIV/0!</v>
      </c>
      <c r="P12" s="136" t="e">
        <f t="shared" si="0"/>
        <v>#DIV/0!</v>
      </c>
      <c r="Q12" s="136" t="e">
        <f t="shared" si="0"/>
        <v>#DIV/0!</v>
      </c>
    </row>
    <row r="13" spans="2:22" x14ac:dyDescent="0.2">
      <c r="B13" t="str">
        <f>Historical_Year&amp;" EV / EBITDA:"</f>
        <v>2010 EV / EBITDA:</v>
      </c>
      <c r="G13" s="131" t="e">
        <f>Comps!N36</f>
        <v>#DIV/0!</v>
      </c>
      <c r="H13" s="131" t="e">
        <f>Comps!N35</f>
        <v>#DIV/0!</v>
      </c>
      <c r="I13" s="131" t="e">
        <f>Comps!N34</f>
        <v>#DIV/0!</v>
      </c>
      <c r="J13" s="131" t="e">
        <f>Comps!N33</f>
        <v>#DIV/0!</v>
      </c>
      <c r="K13" s="131" t="e">
        <f>Comps!N32</f>
        <v>#DIV/0!</v>
      </c>
      <c r="L13" s="82">
        <f>'Financial Statements'!I43</f>
        <v>121116</v>
      </c>
      <c r="M13" s="136" t="e">
        <f t="shared" si="0"/>
        <v>#DIV/0!</v>
      </c>
      <c r="N13" s="136" t="e">
        <f t="shared" si="0"/>
        <v>#DIV/0!</v>
      </c>
      <c r="O13" s="136" t="e">
        <f t="shared" si="0"/>
        <v>#DIV/0!</v>
      </c>
      <c r="P13" s="136" t="e">
        <f t="shared" si="0"/>
        <v>#DIV/0!</v>
      </c>
      <c r="Q13" s="136" t="e">
        <f t="shared" si="0"/>
        <v>#DIV/0!</v>
      </c>
    </row>
    <row r="14" spans="2:22" x14ac:dyDescent="0.2">
      <c r="B14" t="str">
        <f>Historical_Year+1&amp;" EV / EBITDA:"</f>
        <v>2011 EV / EBITDA:</v>
      </c>
      <c r="G14" s="131" t="e">
        <f>Comps!O36</f>
        <v>#DIV/0!</v>
      </c>
      <c r="H14" s="131" t="e">
        <f>Comps!O35</f>
        <v>#DIV/0!</v>
      </c>
      <c r="I14" s="131" t="e">
        <f>Comps!O34</f>
        <v>#DIV/0!</v>
      </c>
      <c r="J14" s="131" t="e">
        <f>Comps!O33</f>
        <v>#DIV/0!</v>
      </c>
      <c r="K14" s="131" t="e">
        <f>Comps!O32</f>
        <v>#DIV/0!</v>
      </c>
      <c r="L14" s="82">
        <f>'Financial Statements'!J43</f>
        <v>129594.12</v>
      </c>
      <c r="M14" s="136" t="e">
        <f t="shared" si="0"/>
        <v>#DIV/0!</v>
      </c>
      <c r="N14" s="136" t="e">
        <f t="shared" si="0"/>
        <v>#DIV/0!</v>
      </c>
      <c r="O14" s="136" t="e">
        <f t="shared" si="0"/>
        <v>#DIV/0!</v>
      </c>
      <c r="P14" s="136" t="e">
        <f t="shared" si="0"/>
        <v>#DIV/0!</v>
      </c>
      <c r="Q14" s="136" t="e">
        <f t="shared" si="0"/>
        <v>#DIV/0!</v>
      </c>
    </row>
    <row r="15" spans="2:22" x14ac:dyDescent="0.2">
      <c r="B15" t="str">
        <f>Historical_Year&amp;" P / E:"</f>
        <v>2010 P / E:</v>
      </c>
      <c r="G15" s="131" t="e">
        <f>Comps!R36</f>
        <v>#DIV/0!</v>
      </c>
      <c r="H15" s="131" t="e">
        <f>Comps!R35</f>
        <v>#DIV/0!</v>
      </c>
      <c r="I15" s="131" t="e">
        <f>Comps!R34</f>
        <v>#DIV/0!</v>
      </c>
      <c r="J15" s="131" t="e">
        <f>Comps!R33</f>
        <v>#DIV/0!</v>
      </c>
      <c r="K15" s="131" t="e">
        <f>Comps!R32</f>
        <v>#DIV/0!</v>
      </c>
      <c r="L15" s="136">
        <f>'Financial Statements'!I62</f>
        <v>3.02</v>
      </c>
      <c r="M15" s="136" t="e">
        <f t="shared" ref="M15:Q16" si="1">G15*$L15</f>
        <v>#DIV/0!</v>
      </c>
      <c r="N15" s="136" t="e">
        <f t="shared" si="1"/>
        <v>#DIV/0!</v>
      </c>
      <c r="O15" s="136" t="e">
        <f t="shared" si="1"/>
        <v>#DIV/0!</v>
      </c>
      <c r="P15" s="136" t="e">
        <f t="shared" si="1"/>
        <v>#DIV/0!</v>
      </c>
      <c r="Q15" s="136" t="e">
        <f t="shared" si="1"/>
        <v>#DIV/0!</v>
      </c>
    </row>
    <row r="16" spans="2:22" x14ac:dyDescent="0.2">
      <c r="B16" t="str">
        <f>Historical_Year+1&amp;" P / E:"</f>
        <v>2011 P / E:</v>
      </c>
      <c r="G16" s="131" t="e">
        <f>Comps!S36</f>
        <v>#DIV/0!</v>
      </c>
      <c r="H16" s="131" t="e">
        <f>Comps!S35</f>
        <v>#DIV/0!</v>
      </c>
      <c r="I16" s="131" t="e">
        <f>Comps!S34</f>
        <v>#DIV/0!</v>
      </c>
      <c r="J16" s="131" t="e">
        <f>Comps!S33</f>
        <v>#DIV/0!</v>
      </c>
      <c r="K16" s="131" t="e">
        <f>Comps!S32</f>
        <v>#DIV/0!</v>
      </c>
      <c r="L16" s="136">
        <f ca="1">'Financial Statements'!J62</f>
        <v>2.659278275608266</v>
      </c>
      <c r="M16" s="136" t="e">
        <f t="shared" ca="1" si="1"/>
        <v>#DIV/0!</v>
      </c>
      <c r="N16" s="136" t="e">
        <f t="shared" ca="1" si="1"/>
        <v>#DIV/0!</v>
      </c>
      <c r="O16" s="136" t="e">
        <f t="shared" ca="1" si="1"/>
        <v>#DIV/0!</v>
      </c>
      <c r="P16" s="136" t="e">
        <f t="shared" ca="1" si="1"/>
        <v>#DIV/0!</v>
      </c>
      <c r="Q16" s="136" t="e">
        <f t="shared" ca="1" si="1"/>
        <v>#DIV/0!</v>
      </c>
    </row>
    <row r="18" spans="2:17" x14ac:dyDescent="0.2">
      <c r="B18" s="1" t="s">
        <v>318</v>
      </c>
    </row>
    <row r="19" spans="2:17" x14ac:dyDescent="0.2">
      <c r="B19" s="63" t="str">
        <f>TEXT(DCF!E25,"0.00%")&amp;" - "&amp;TEXT(DCF!I25,"0.00%")&amp;" Discount Rate &amp; "&amp; IF(DCF!T12,TEXT(DCF!C36,"0.0 x")&amp;" - "&amp;TEXT(DCF!C40,"0.0 x")&amp;" Multiples",TEXT(DCF!C26,"0.00%")&amp;" - "&amp;TEXT(DCF!C30,"0.00%")&amp;" Growth Rate")</f>
        <v>7.98% - 11.98% Discount Rate &amp; 1.00% - 3.00% Growth Rate</v>
      </c>
      <c r="M19" s="136">
        <f>IF(DCF!T12,DCF!I36,DCF!I26)</f>
        <v>34.682227018016199</v>
      </c>
      <c r="N19" s="136">
        <f>IF(DCF!T12,DCF!H37,DCF!H27)</f>
        <v>37.76999209687515</v>
      </c>
      <c r="O19" s="136">
        <f>IF(DCF!T12,DCF!G38,DCF!G28)</f>
        <v>41.944541960848184</v>
      </c>
      <c r="P19" s="136">
        <f>IF(DCF!T12,DCF!F39,DCF!F29)</f>
        <v>47.95469115427052</v>
      </c>
      <c r="Q19" s="136">
        <f>IF(DCF!T12,DCF!E40,DCF!E30)</f>
        <v>57.450215964748452</v>
      </c>
    </row>
    <row r="23" spans="2:17" x14ac:dyDescent="0.2">
      <c r="H23" s="218" t="s">
        <v>329</v>
      </c>
      <c r="I23" s="218" t="s">
        <v>320</v>
      </c>
      <c r="J23" s="218" t="s">
        <v>48</v>
      </c>
      <c r="K23" s="218" t="s">
        <v>322</v>
      </c>
      <c r="L23" s="218" t="s">
        <v>330</v>
      </c>
      <c r="M23" s="218" t="s">
        <v>331</v>
      </c>
      <c r="N23" s="218" t="s">
        <v>332</v>
      </c>
      <c r="O23" s="218" t="s">
        <v>333</v>
      </c>
      <c r="P23" s="218" t="s">
        <v>334</v>
      </c>
      <c r="Q23" s="218" t="s">
        <v>335</v>
      </c>
    </row>
    <row r="24" spans="2:17" x14ac:dyDescent="0.2">
      <c r="B24" t="str">
        <f>B19</f>
        <v>7.98% - 11.98% Discount Rate &amp; 1.00% - 3.00% Growth Rate</v>
      </c>
      <c r="H24" s="136">
        <f>M19</f>
        <v>34.682227018016199</v>
      </c>
      <c r="I24" s="136">
        <f>N19</f>
        <v>37.76999209687515</v>
      </c>
      <c r="J24" s="136">
        <f>O19</f>
        <v>41.944541960848184</v>
      </c>
      <c r="K24" s="136">
        <f>P19</f>
        <v>47.95469115427052</v>
      </c>
      <c r="L24" s="136">
        <f>Q19</f>
        <v>57.450215964748452</v>
      </c>
      <c r="M24" s="136">
        <f>H24</f>
        <v>34.682227018016199</v>
      </c>
      <c r="N24" s="136">
        <f>I24-H24</f>
        <v>3.0877650788589506</v>
      </c>
      <c r="O24" s="136">
        <f t="shared" ref="O24:Q31" si="2">J24-I24</f>
        <v>4.1745498639730343</v>
      </c>
      <c r="P24" s="136">
        <f t="shared" si="2"/>
        <v>6.0101491934223361</v>
      </c>
      <c r="Q24" s="136">
        <f t="shared" si="2"/>
        <v>9.4955248104779315</v>
      </c>
    </row>
    <row r="25" spans="2:17" x14ac:dyDescent="0.2">
      <c r="H25" s="136"/>
      <c r="I25" s="136"/>
      <c r="J25" s="136"/>
      <c r="K25" s="136"/>
      <c r="L25" s="136"/>
      <c r="M25" s="136"/>
      <c r="N25" s="136"/>
      <c r="O25" s="136"/>
      <c r="P25" s="136"/>
      <c r="Q25" s="136"/>
    </row>
    <row r="26" spans="2:17" x14ac:dyDescent="0.2">
      <c r="B26" t="str">
        <f>B11</f>
        <v>2010 EV / Revenue:</v>
      </c>
      <c r="H26" s="136" t="e">
        <f t="shared" ref="H26:L31" si="3">M11</f>
        <v>#DIV/0!</v>
      </c>
      <c r="I26" s="136" t="e">
        <f t="shared" si="3"/>
        <v>#DIV/0!</v>
      </c>
      <c r="J26" s="136" t="e">
        <f t="shared" si="3"/>
        <v>#DIV/0!</v>
      </c>
      <c r="K26" s="136" t="e">
        <f t="shared" si="3"/>
        <v>#DIV/0!</v>
      </c>
      <c r="L26" s="136" t="e">
        <f t="shared" si="3"/>
        <v>#DIV/0!</v>
      </c>
      <c r="M26" s="136" t="e">
        <f t="shared" ref="M26:M31" si="4">H26</f>
        <v>#DIV/0!</v>
      </c>
      <c r="N26" s="136" t="e">
        <f t="shared" ref="N26:N31" si="5">I26-H26</f>
        <v>#DIV/0!</v>
      </c>
      <c r="O26" s="136" t="e">
        <f t="shared" si="2"/>
        <v>#DIV/0!</v>
      </c>
      <c r="P26" s="136" t="e">
        <f t="shared" si="2"/>
        <v>#DIV/0!</v>
      </c>
      <c r="Q26" s="136" t="e">
        <f t="shared" si="2"/>
        <v>#DIV/0!</v>
      </c>
    </row>
    <row r="27" spans="2:17" x14ac:dyDescent="0.2">
      <c r="B27" t="str">
        <f t="shared" ref="B27:B31" si="6">B12</f>
        <v>2011 EV / Revenue:</v>
      </c>
      <c r="H27" s="136" t="e">
        <f t="shared" si="3"/>
        <v>#DIV/0!</v>
      </c>
      <c r="I27" s="136" t="e">
        <f t="shared" si="3"/>
        <v>#DIV/0!</v>
      </c>
      <c r="J27" s="136" t="e">
        <f t="shared" si="3"/>
        <v>#DIV/0!</v>
      </c>
      <c r="K27" s="136" t="e">
        <f t="shared" si="3"/>
        <v>#DIV/0!</v>
      </c>
      <c r="L27" s="136" t="e">
        <f t="shared" si="3"/>
        <v>#DIV/0!</v>
      </c>
      <c r="M27" s="136" t="e">
        <f t="shared" si="4"/>
        <v>#DIV/0!</v>
      </c>
      <c r="N27" s="136" t="e">
        <f t="shared" si="5"/>
        <v>#DIV/0!</v>
      </c>
      <c r="O27" s="136" t="e">
        <f t="shared" si="2"/>
        <v>#DIV/0!</v>
      </c>
      <c r="P27" s="136" t="e">
        <f t="shared" si="2"/>
        <v>#DIV/0!</v>
      </c>
      <c r="Q27" s="136" t="e">
        <f t="shared" si="2"/>
        <v>#DIV/0!</v>
      </c>
    </row>
    <row r="28" spans="2:17" x14ac:dyDescent="0.2">
      <c r="B28" t="str">
        <f t="shared" si="6"/>
        <v>2010 EV / EBITDA:</v>
      </c>
      <c r="H28" s="136" t="e">
        <f t="shared" si="3"/>
        <v>#DIV/0!</v>
      </c>
      <c r="I28" s="136" t="e">
        <f t="shared" si="3"/>
        <v>#DIV/0!</v>
      </c>
      <c r="J28" s="136" t="e">
        <f t="shared" si="3"/>
        <v>#DIV/0!</v>
      </c>
      <c r="K28" s="136" t="e">
        <f t="shared" si="3"/>
        <v>#DIV/0!</v>
      </c>
      <c r="L28" s="136" t="e">
        <f t="shared" si="3"/>
        <v>#DIV/0!</v>
      </c>
      <c r="M28" s="136" t="e">
        <f t="shared" si="4"/>
        <v>#DIV/0!</v>
      </c>
      <c r="N28" s="136" t="e">
        <f t="shared" si="5"/>
        <v>#DIV/0!</v>
      </c>
      <c r="O28" s="136" t="e">
        <f t="shared" si="2"/>
        <v>#DIV/0!</v>
      </c>
      <c r="P28" s="136" t="e">
        <f t="shared" si="2"/>
        <v>#DIV/0!</v>
      </c>
      <c r="Q28" s="136" t="e">
        <f t="shared" si="2"/>
        <v>#DIV/0!</v>
      </c>
    </row>
    <row r="29" spans="2:17" x14ac:dyDescent="0.2">
      <c r="B29" t="str">
        <f t="shared" si="6"/>
        <v>2011 EV / EBITDA:</v>
      </c>
      <c r="H29" s="136" t="e">
        <f t="shared" si="3"/>
        <v>#DIV/0!</v>
      </c>
      <c r="I29" s="136" t="e">
        <f t="shared" si="3"/>
        <v>#DIV/0!</v>
      </c>
      <c r="J29" s="136" t="e">
        <f t="shared" si="3"/>
        <v>#DIV/0!</v>
      </c>
      <c r="K29" s="136" t="e">
        <f t="shared" si="3"/>
        <v>#DIV/0!</v>
      </c>
      <c r="L29" s="136" t="e">
        <f t="shared" si="3"/>
        <v>#DIV/0!</v>
      </c>
      <c r="M29" s="136" t="e">
        <f t="shared" si="4"/>
        <v>#DIV/0!</v>
      </c>
      <c r="N29" s="136" t="e">
        <f t="shared" si="5"/>
        <v>#DIV/0!</v>
      </c>
      <c r="O29" s="136" t="e">
        <f t="shared" si="2"/>
        <v>#DIV/0!</v>
      </c>
      <c r="P29" s="136" t="e">
        <f t="shared" si="2"/>
        <v>#DIV/0!</v>
      </c>
      <c r="Q29" s="136" t="e">
        <f t="shared" si="2"/>
        <v>#DIV/0!</v>
      </c>
    </row>
    <row r="30" spans="2:17" x14ac:dyDescent="0.2">
      <c r="B30" t="str">
        <f t="shared" si="6"/>
        <v>2010 P / E:</v>
      </c>
      <c r="H30" s="136" t="e">
        <f t="shared" si="3"/>
        <v>#DIV/0!</v>
      </c>
      <c r="I30" s="136" t="e">
        <f t="shared" si="3"/>
        <v>#DIV/0!</v>
      </c>
      <c r="J30" s="136" t="e">
        <f t="shared" si="3"/>
        <v>#DIV/0!</v>
      </c>
      <c r="K30" s="136" t="e">
        <f t="shared" si="3"/>
        <v>#DIV/0!</v>
      </c>
      <c r="L30" s="136" t="e">
        <f t="shared" si="3"/>
        <v>#DIV/0!</v>
      </c>
      <c r="M30" s="136" t="e">
        <f t="shared" si="4"/>
        <v>#DIV/0!</v>
      </c>
      <c r="N30" s="136" t="e">
        <f t="shared" si="5"/>
        <v>#DIV/0!</v>
      </c>
      <c r="O30" s="136" t="e">
        <f t="shared" si="2"/>
        <v>#DIV/0!</v>
      </c>
      <c r="P30" s="136" t="e">
        <f t="shared" si="2"/>
        <v>#DIV/0!</v>
      </c>
      <c r="Q30" s="136" t="e">
        <f t="shared" si="2"/>
        <v>#DIV/0!</v>
      </c>
    </row>
    <row r="31" spans="2:17" x14ac:dyDescent="0.2">
      <c r="B31" t="str">
        <f t="shared" si="6"/>
        <v>2011 P / E:</v>
      </c>
      <c r="H31" s="136" t="e">
        <f t="shared" ca="1" si="3"/>
        <v>#DIV/0!</v>
      </c>
      <c r="I31" s="136" t="e">
        <f t="shared" ca="1" si="3"/>
        <v>#DIV/0!</v>
      </c>
      <c r="J31" s="136" t="e">
        <f t="shared" ca="1" si="3"/>
        <v>#DIV/0!</v>
      </c>
      <c r="K31" s="136" t="e">
        <f t="shared" ca="1" si="3"/>
        <v>#DIV/0!</v>
      </c>
      <c r="L31" s="136" t="e">
        <f t="shared" ca="1" si="3"/>
        <v>#DIV/0!</v>
      </c>
      <c r="M31" s="136" t="e">
        <f t="shared" ca="1" si="4"/>
        <v>#DIV/0!</v>
      </c>
      <c r="N31" s="136" t="e">
        <f t="shared" ca="1" si="5"/>
        <v>#DIV/0!</v>
      </c>
      <c r="O31" s="136" t="e">
        <f t="shared" ca="1" si="2"/>
        <v>#DIV/0!</v>
      </c>
      <c r="P31" s="136" t="e">
        <f t="shared" ca="1" si="2"/>
        <v>#DIV/0!</v>
      </c>
      <c r="Q31" s="136" t="e">
        <f t="shared" ca="1" si="2"/>
        <v>#DIV/0!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Financial Statements</vt:lpstr>
      <vt:lpstr>Operating Assumptions</vt:lpstr>
      <vt:lpstr>Ratios</vt:lpstr>
      <vt:lpstr>WACC</vt:lpstr>
      <vt:lpstr>DCF</vt:lpstr>
      <vt:lpstr>Comps</vt:lpstr>
      <vt:lpstr>Valuation Summary</vt:lpstr>
      <vt:lpstr>Company_Name</vt:lpstr>
      <vt:lpstr>Days_In_Year</vt:lpstr>
      <vt:lpstr>Equity_Value</vt:lpstr>
      <vt:lpstr>Historical_Year</vt:lpstr>
      <vt:lpstr>Share_Price</vt:lpstr>
      <vt:lpstr>Shares_Outstanding</vt:lpstr>
      <vt:lpstr>Tax_Rate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Sitartchouk</dc:creator>
  <cp:lastModifiedBy>Ashton</cp:lastModifiedBy>
  <cp:lastPrinted>2012-09-03T19:10:32Z</cp:lastPrinted>
  <dcterms:created xsi:type="dcterms:W3CDTF">2000-08-26T01:48:12Z</dcterms:created>
  <dcterms:modified xsi:type="dcterms:W3CDTF">2012-09-03T19:14:50Z</dcterms:modified>
</cp:coreProperties>
</file>