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 defaultThemeVersion="124226"/>
  <bookViews>
    <workbookView xWindow="3165" yWindow="0" windowWidth="25440" windowHeight="15990" tabRatio="834" firstSheet="2" activeTab="3"/>
  </bookViews>
  <sheets>
    <sheet name="Goals" sheetId="1" r:id="rId1"/>
    <sheet name="Budget Detail-Rent" sheetId="5" r:id="rId2"/>
    <sheet name="Budget Detail-Own 2015" sheetId="9" r:id="rId3"/>
    <sheet name="Budget Detail-Own 2016" sheetId="13" r:id="rId4"/>
    <sheet name="transaction details" sheetId="10" r:id="rId5"/>
    <sheet name="Budge Summary" sheetId="6" r:id="rId6"/>
    <sheet name="Lessons" sheetId="7" r:id="rId7"/>
    <sheet name="Retirement Contribution" sheetId="8" r:id="rId8"/>
    <sheet name="Saving Cash flow Projections" sheetId="3" r:id="rId9"/>
    <sheet name="wedding" sheetId="11" r:id="rId10"/>
  </sheets>
  <definedNames>
    <definedName name="_xlnm._FilterDatabase" localSheetId="2" hidden="1">'Budget Detail-Own 2015'!$A$2:$C$2</definedName>
    <definedName name="_xlnm._FilterDatabase" localSheetId="3" hidden="1">'Budget Detail-Own 2016'!$A$2:$C$2</definedName>
    <definedName name="_xlnm._FilterDatabase" localSheetId="1" hidden="1">'Budget Detail-Rent'!$A$2:$K$2</definedName>
  </definedNames>
  <calcPr calcId="145621"/>
</workbook>
</file>

<file path=xl/calcChain.xml><?xml version="1.0" encoding="utf-8"?>
<calcChain xmlns="http://schemas.openxmlformats.org/spreadsheetml/2006/main">
  <c r="V59" i="13" l="1"/>
  <c r="T59" i="13"/>
  <c r="C21" i="6"/>
  <c r="B22" i="6" s="1"/>
  <c r="C22" i="6" s="1"/>
  <c r="B23" i="6" s="1"/>
  <c r="C23" i="6" s="1"/>
  <c r="B24" i="6" s="1"/>
  <c r="C24" i="6" s="1"/>
  <c r="B21" i="6"/>
  <c r="H2205" i="10"/>
  <c r="H2170" i="10"/>
  <c r="H2224" i="10"/>
  <c r="H2171" i="10"/>
  <c r="H2172" i="10"/>
  <c r="H2136" i="10"/>
  <c r="H2163" i="10"/>
  <c r="H2173" i="10"/>
  <c r="H2174" i="10"/>
  <c r="H2175" i="10"/>
  <c r="H2176" i="10"/>
  <c r="H2148" i="10"/>
  <c r="H2208" i="10"/>
  <c r="H2149" i="10"/>
  <c r="H2150" i="10"/>
  <c r="H2177" i="10"/>
  <c r="H2164" i="10"/>
  <c r="H2215" i="10"/>
  <c r="H2226" i="10"/>
  <c r="H2151" i="10"/>
  <c r="H2152" i="10"/>
  <c r="H2227" i="10"/>
  <c r="H2178" i="10"/>
  <c r="H2146" i="10"/>
  <c r="H2153" i="10"/>
  <c r="H2199" i="10"/>
  <c r="H2200" i="10"/>
  <c r="H2201" i="10"/>
  <c r="H2202" i="10"/>
  <c r="H2221" i="10"/>
  <c r="H2222" i="10"/>
  <c r="H2179" i="10"/>
  <c r="H2180" i="10"/>
  <c r="H2181" i="10"/>
  <c r="H2182" i="10"/>
  <c r="H2139" i="10"/>
  <c r="H2216" i="10"/>
  <c r="H2140" i="10"/>
  <c r="H2223" i="10"/>
  <c r="H2169" i="10"/>
  <c r="H2183" i="10"/>
  <c r="H2184" i="10"/>
  <c r="H2165" i="10"/>
  <c r="H2147" i="10"/>
  <c r="H2154" i="10"/>
  <c r="H2198" i="10"/>
  <c r="H2185" i="10"/>
  <c r="H2186" i="10"/>
  <c r="H2155" i="10"/>
  <c r="H2187" i="10"/>
  <c r="H2166" i="10"/>
  <c r="H2210" i="10"/>
  <c r="H2211" i="10"/>
  <c r="H2156" i="10"/>
  <c r="H2188" i="10"/>
  <c r="H2228" i="10"/>
  <c r="H2159" i="10"/>
  <c r="H2160" i="10"/>
  <c r="H2157" i="10"/>
  <c r="H2189" i="10"/>
  <c r="H2167" i="10"/>
  <c r="H2203" i="10"/>
  <c r="H2197" i="10"/>
  <c r="H2161" i="10"/>
  <c r="H2162" i="10"/>
  <c r="H2190" i="10"/>
  <c r="H2191" i="10"/>
  <c r="H2209" i="10"/>
  <c r="H2192" i="10"/>
  <c r="H2141" i="10"/>
  <c r="H2137" i="10"/>
  <c r="H2142" i="10"/>
  <c r="H2217" i="10"/>
  <c r="H2143" i="10"/>
  <c r="H2193" i="10"/>
  <c r="H2194" i="10"/>
  <c r="H2225" i="10"/>
  <c r="H2195" i="10"/>
  <c r="H2144" i="10"/>
  <c r="H2158" i="10"/>
  <c r="H2168" i="10"/>
  <c r="H2212" i="10"/>
  <c r="H2207" i="10"/>
  <c r="H2213" i="10"/>
  <c r="H2145" i="10"/>
  <c r="H2218" i="10"/>
  <c r="H2214" i="10"/>
  <c r="H2206" i="10"/>
  <c r="H2219" i="10"/>
  <c r="H2220" i="10"/>
  <c r="H2196" i="10"/>
  <c r="H2138" i="10"/>
  <c r="H2243" i="10"/>
  <c r="H2244" i="10"/>
  <c r="H2264" i="10"/>
  <c r="H2245" i="10"/>
  <c r="H2229" i="10"/>
  <c r="H2255" i="10"/>
  <c r="H2274" i="10"/>
  <c r="H2238" i="10"/>
  <c r="H2269" i="10"/>
  <c r="H2233" i="10"/>
  <c r="H2267" i="10"/>
  <c r="H2279" i="10"/>
  <c r="H2236" i="10"/>
  <c r="H2256" i="10"/>
  <c r="H2246" i="10"/>
  <c r="H2257" i="10"/>
  <c r="H2239" i="10"/>
  <c r="H2266" i="10"/>
  <c r="H2247" i="10"/>
  <c r="H2268" i="10"/>
  <c r="H2280" i="10"/>
  <c r="H2275" i="10"/>
  <c r="H2237" i="10"/>
  <c r="H2248" i="10"/>
  <c r="H2260" i="10"/>
  <c r="H2277" i="10"/>
  <c r="H2261" i="10"/>
  <c r="H2262" i="10"/>
  <c r="H2263" i="10"/>
  <c r="H2281" i="10"/>
  <c r="H2278" i="10"/>
  <c r="H2272" i="10"/>
  <c r="H2249" i="10"/>
  <c r="H2234" i="10"/>
  <c r="H2235" i="10"/>
  <c r="H2241" i="10"/>
  <c r="H2270" i="10"/>
  <c r="H2271" i="10"/>
  <c r="H2276" i="10"/>
  <c r="H2253" i="10"/>
  <c r="H2265" i="10"/>
  <c r="H2231" i="10"/>
  <c r="H2230" i="10"/>
  <c r="H2258" i="10"/>
  <c r="H2259" i="10"/>
  <c r="H2254" i="10"/>
  <c r="H2250" i="10"/>
  <c r="H2240" i="10"/>
  <c r="H2273" i="10"/>
  <c r="H2242" i="10"/>
  <c r="H2251" i="10"/>
  <c r="H2232" i="10"/>
  <c r="H2252" i="10"/>
  <c r="H2331" i="10"/>
  <c r="H2286" i="10"/>
  <c r="H2332" i="10"/>
  <c r="H2287" i="10"/>
  <c r="H2336" i="10"/>
  <c r="H2316" i="10"/>
  <c r="H2288" i="10"/>
  <c r="H2289" i="10"/>
  <c r="H2337" i="10"/>
  <c r="H2290" i="10"/>
  <c r="H2341" i="10"/>
  <c r="H2299" i="10"/>
  <c r="H2300" i="10"/>
  <c r="H2283" i="10"/>
  <c r="H2338" i="10"/>
  <c r="H2317" i="10"/>
  <c r="H2318" i="10"/>
  <c r="H2319" i="10"/>
  <c r="H2297" i="10"/>
  <c r="H2334" i="10"/>
  <c r="H2327" i="10"/>
  <c r="H2328" i="10"/>
  <c r="H2329" i="10"/>
  <c r="H2330" i="10"/>
  <c r="H2342" i="10"/>
  <c r="H2343" i="10"/>
  <c r="H2320" i="10"/>
  <c r="H2321" i="10"/>
  <c r="H2322" i="10"/>
  <c r="H2323" i="10"/>
  <c r="H2301" i="10"/>
  <c r="H2302" i="10"/>
  <c r="H2324" i="10"/>
  <c r="H2291" i="10"/>
  <c r="H2303" i="10"/>
  <c r="H2325" i="10"/>
  <c r="H2339" i="10"/>
  <c r="H2292" i="10"/>
  <c r="H2304" i="10"/>
  <c r="H2335" i="10"/>
  <c r="H2305" i="10"/>
  <c r="H2306" i="10"/>
  <c r="H2307" i="10"/>
  <c r="H2293" i="10"/>
  <c r="H2308" i="10"/>
  <c r="H2345" i="10"/>
  <c r="H2346" i="10"/>
  <c r="H2326" i="10"/>
  <c r="H2298" i="10"/>
  <c r="H2309" i="10"/>
  <c r="H2315" i="10"/>
  <c r="H2340" i="10"/>
  <c r="H2310" i="10"/>
  <c r="H2296" i="10"/>
  <c r="H2294" i="10"/>
  <c r="H2295" i="10"/>
  <c r="H2282" i="10"/>
  <c r="H2311" i="10"/>
  <c r="H2284" i="10"/>
  <c r="H2344" i="10"/>
  <c r="H2312" i="10"/>
  <c r="H2333" i="10"/>
  <c r="H2313" i="10"/>
  <c r="H2314" i="10"/>
  <c r="H2285" i="10"/>
  <c r="D2205" i="10"/>
  <c r="I2205" i="10" s="1"/>
  <c r="D2170" i="10"/>
  <c r="I2170" i="10" s="1"/>
  <c r="D2224" i="10"/>
  <c r="I2224" i="10" s="1"/>
  <c r="D2171" i="10"/>
  <c r="I2171" i="10" s="1"/>
  <c r="D2172" i="10"/>
  <c r="I2172" i="10" s="1"/>
  <c r="D2136" i="10"/>
  <c r="I2136" i="10" s="1"/>
  <c r="D2163" i="10"/>
  <c r="I2163" i="10" s="1"/>
  <c r="D2173" i="10"/>
  <c r="I2173" i="10" s="1"/>
  <c r="D2174" i="10"/>
  <c r="I2174" i="10" s="1"/>
  <c r="D2175" i="10"/>
  <c r="I2175" i="10" s="1"/>
  <c r="D2176" i="10"/>
  <c r="I2176" i="10" s="1"/>
  <c r="D2148" i="10"/>
  <c r="I2148" i="10" s="1"/>
  <c r="D2208" i="10"/>
  <c r="I2208" i="10" s="1"/>
  <c r="D2149" i="10"/>
  <c r="I2149" i="10" s="1"/>
  <c r="D2150" i="10"/>
  <c r="I2150" i="10" s="1"/>
  <c r="D2177" i="10"/>
  <c r="I2177" i="10" s="1"/>
  <c r="D2164" i="10"/>
  <c r="I2164" i="10" s="1"/>
  <c r="D2215" i="10"/>
  <c r="I2215" i="10" s="1"/>
  <c r="D2226" i="10"/>
  <c r="I2226" i="10" s="1"/>
  <c r="D2151" i="10"/>
  <c r="I2151" i="10" s="1"/>
  <c r="D2152" i="10"/>
  <c r="I2152" i="10" s="1"/>
  <c r="D2227" i="10"/>
  <c r="I2227" i="10" s="1"/>
  <c r="D2178" i="10"/>
  <c r="I2178" i="10" s="1"/>
  <c r="D2146" i="10"/>
  <c r="I2146" i="10" s="1"/>
  <c r="D2153" i="10"/>
  <c r="I2153" i="10" s="1"/>
  <c r="D2199" i="10"/>
  <c r="I2199" i="10" s="1"/>
  <c r="D2200" i="10"/>
  <c r="I2200" i="10" s="1"/>
  <c r="D2201" i="10"/>
  <c r="I2201" i="10" s="1"/>
  <c r="D2202" i="10"/>
  <c r="I2202" i="10" s="1"/>
  <c r="D2221" i="10"/>
  <c r="I2221" i="10" s="1"/>
  <c r="D2222" i="10"/>
  <c r="I2222" i="10" s="1"/>
  <c r="D2179" i="10"/>
  <c r="I2179" i="10" s="1"/>
  <c r="D2180" i="10"/>
  <c r="I2180" i="10" s="1"/>
  <c r="D2181" i="10"/>
  <c r="I2181" i="10" s="1"/>
  <c r="D2182" i="10"/>
  <c r="I2182" i="10" s="1"/>
  <c r="D2139" i="10"/>
  <c r="I2139" i="10" s="1"/>
  <c r="D2216" i="10"/>
  <c r="I2216" i="10" s="1"/>
  <c r="D2140" i="10"/>
  <c r="I2140" i="10" s="1"/>
  <c r="D2223" i="10"/>
  <c r="I2223" i="10" s="1"/>
  <c r="D2169" i="10"/>
  <c r="I2169" i="10" s="1"/>
  <c r="D2183" i="10"/>
  <c r="I2183" i="10" s="1"/>
  <c r="D2184" i="10"/>
  <c r="I2184" i="10" s="1"/>
  <c r="D2165" i="10"/>
  <c r="I2165" i="10" s="1"/>
  <c r="D2147" i="10"/>
  <c r="I2147" i="10" s="1"/>
  <c r="D2154" i="10"/>
  <c r="I2154" i="10" s="1"/>
  <c r="D2198" i="10"/>
  <c r="I2198" i="10" s="1"/>
  <c r="D2185" i="10"/>
  <c r="I2185" i="10" s="1"/>
  <c r="D2186" i="10"/>
  <c r="I2186" i="10" s="1"/>
  <c r="D2155" i="10"/>
  <c r="I2155" i="10" s="1"/>
  <c r="D2187" i="10"/>
  <c r="I2187" i="10" s="1"/>
  <c r="D2166" i="10"/>
  <c r="I2166" i="10" s="1"/>
  <c r="D2210" i="10"/>
  <c r="I2210" i="10" s="1"/>
  <c r="D2211" i="10"/>
  <c r="I2211" i="10" s="1"/>
  <c r="D2156" i="10"/>
  <c r="I2156" i="10" s="1"/>
  <c r="D2188" i="10"/>
  <c r="I2188" i="10" s="1"/>
  <c r="D2228" i="10"/>
  <c r="I2228" i="10" s="1"/>
  <c r="D2159" i="10"/>
  <c r="I2159" i="10" s="1"/>
  <c r="D2160" i="10"/>
  <c r="I2160" i="10" s="1"/>
  <c r="D2157" i="10"/>
  <c r="I2157" i="10" s="1"/>
  <c r="D2189" i="10"/>
  <c r="I2189" i="10" s="1"/>
  <c r="D2167" i="10"/>
  <c r="I2167" i="10" s="1"/>
  <c r="D2203" i="10"/>
  <c r="I2203" i="10" s="1"/>
  <c r="D2197" i="10"/>
  <c r="I2197" i="10" s="1"/>
  <c r="D2161" i="10"/>
  <c r="I2161" i="10" s="1"/>
  <c r="D2162" i="10"/>
  <c r="I2162" i="10" s="1"/>
  <c r="D2190" i="10"/>
  <c r="I2190" i="10" s="1"/>
  <c r="D2191" i="10"/>
  <c r="I2191" i="10" s="1"/>
  <c r="D2209" i="10"/>
  <c r="I2209" i="10" s="1"/>
  <c r="D2192" i="10"/>
  <c r="I2192" i="10" s="1"/>
  <c r="D2141" i="10"/>
  <c r="I2141" i="10" s="1"/>
  <c r="D2137" i="10"/>
  <c r="I2137" i="10" s="1"/>
  <c r="D2142" i="10"/>
  <c r="I2142" i="10" s="1"/>
  <c r="D2217" i="10"/>
  <c r="I2217" i="10" s="1"/>
  <c r="D2143" i="10"/>
  <c r="I2143" i="10" s="1"/>
  <c r="D2193" i="10"/>
  <c r="I2193" i="10" s="1"/>
  <c r="D2194" i="10"/>
  <c r="I2194" i="10" s="1"/>
  <c r="D2225" i="10"/>
  <c r="I2225" i="10" s="1"/>
  <c r="D2195" i="10"/>
  <c r="I2195" i="10" s="1"/>
  <c r="D2144" i="10"/>
  <c r="I2144" i="10" s="1"/>
  <c r="D2158" i="10"/>
  <c r="I2158" i="10" s="1"/>
  <c r="D2168" i="10"/>
  <c r="I2168" i="10" s="1"/>
  <c r="D2212" i="10"/>
  <c r="I2212" i="10" s="1"/>
  <c r="D2207" i="10"/>
  <c r="I2207" i="10" s="1"/>
  <c r="D2213" i="10"/>
  <c r="I2213" i="10" s="1"/>
  <c r="D2145" i="10"/>
  <c r="I2145" i="10" s="1"/>
  <c r="D2218" i="10"/>
  <c r="I2218" i="10" s="1"/>
  <c r="D2214" i="10"/>
  <c r="I2214" i="10" s="1"/>
  <c r="D2206" i="10"/>
  <c r="I2206" i="10" s="1"/>
  <c r="D2219" i="10"/>
  <c r="I2219" i="10" s="1"/>
  <c r="D2220" i="10"/>
  <c r="I2220" i="10" s="1"/>
  <c r="D2196" i="10"/>
  <c r="I2196" i="10" s="1"/>
  <c r="D2138" i="10"/>
  <c r="I2138" i="10" s="1"/>
  <c r="D2243" i="10"/>
  <c r="I2243" i="10" s="1"/>
  <c r="D2244" i="10"/>
  <c r="I2244" i="10" s="1"/>
  <c r="D2264" i="10"/>
  <c r="I2264" i="10" s="1"/>
  <c r="D2245" i="10"/>
  <c r="I2245" i="10" s="1"/>
  <c r="D2229" i="10"/>
  <c r="I2229" i="10" s="1"/>
  <c r="D2255" i="10"/>
  <c r="I2255" i="10" s="1"/>
  <c r="D2274" i="10"/>
  <c r="I2274" i="10" s="1"/>
  <c r="D2238" i="10"/>
  <c r="I2238" i="10" s="1"/>
  <c r="D2269" i="10"/>
  <c r="I2269" i="10" s="1"/>
  <c r="D2233" i="10"/>
  <c r="I2233" i="10" s="1"/>
  <c r="D2267" i="10"/>
  <c r="I2267" i="10" s="1"/>
  <c r="D2279" i="10"/>
  <c r="I2279" i="10" s="1"/>
  <c r="D2236" i="10"/>
  <c r="I2236" i="10" s="1"/>
  <c r="D2256" i="10"/>
  <c r="I2256" i="10" s="1"/>
  <c r="D2246" i="10"/>
  <c r="I2246" i="10" s="1"/>
  <c r="D2257" i="10"/>
  <c r="I2257" i="10" s="1"/>
  <c r="D2239" i="10"/>
  <c r="I2239" i="10" s="1"/>
  <c r="D2266" i="10"/>
  <c r="I2266" i="10" s="1"/>
  <c r="D2247" i="10"/>
  <c r="I2247" i="10" s="1"/>
  <c r="D2268" i="10"/>
  <c r="I2268" i="10" s="1"/>
  <c r="D2280" i="10"/>
  <c r="I2280" i="10" s="1"/>
  <c r="D2275" i="10"/>
  <c r="I2275" i="10" s="1"/>
  <c r="D2237" i="10"/>
  <c r="I2237" i="10" s="1"/>
  <c r="D2248" i="10"/>
  <c r="I2248" i="10" s="1"/>
  <c r="D2260" i="10"/>
  <c r="I2260" i="10" s="1"/>
  <c r="D2277" i="10"/>
  <c r="I2277" i="10" s="1"/>
  <c r="D2261" i="10"/>
  <c r="I2261" i="10" s="1"/>
  <c r="D2262" i="10"/>
  <c r="I2262" i="10" s="1"/>
  <c r="D2263" i="10"/>
  <c r="I2263" i="10" s="1"/>
  <c r="D2281" i="10"/>
  <c r="I2281" i="10" s="1"/>
  <c r="D2278" i="10"/>
  <c r="I2278" i="10" s="1"/>
  <c r="D2272" i="10"/>
  <c r="I2272" i="10" s="1"/>
  <c r="D2249" i="10"/>
  <c r="I2249" i="10" s="1"/>
  <c r="D2234" i="10"/>
  <c r="I2234" i="10" s="1"/>
  <c r="D2235" i="10"/>
  <c r="I2235" i="10" s="1"/>
  <c r="D2241" i="10"/>
  <c r="I2241" i="10" s="1"/>
  <c r="D2270" i="10"/>
  <c r="I2270" i="10" s="1"/>
  <c r="D2271" i="10"/>
  <c r="I2271" i="10" s="1"/>
  <c r="D2276" i="10"/>
  <c r="I2276" i="10" s="1"/>
  <c r="D2253" i="10"/>
  <c r="I2253" i="10" s="1"/>
  <c r="D2265" i="10"/>
  <c r="I2265" i="10" s="1"/>
  <c r="D2231" i="10"/>
  <c r="I2231" i="10" s="1"/>
  <c r="D2230" i="10"/>
  <c r="I2230" i="10" s="1"/>
  <c r="D2258" i="10"/>
  <c r="I2258" i="10" s="1"/>
  <c r="D2259" i="10"/>
  <c r="I2259" i="10" s="1"/>
  <c r="D2254" i="10"/>
  <c r="I2254" i="10" s="1"/>
  <c r="D2250" i="10"/>
  <c r="I2250" i="10" s="1"/>
  <c r="D2240" i="10"/>
  <c r="I2240" i="10" s="1"/>
  <c r="D2273" i="10"/>
  <c r="I2273" i="10" s="1"/>
  <c r="D2242" i="10"/>
  <c r="I2242" i="10" s="1"/>
  <c r="D2251" i="10"/>
  <c r="I2251" i="10" s="1"/>
  <c r="D2232" i="10"/>
  <c r="I2232" i="10" s="1"/>
  <c r="D2252" i="10"/>
  <c r="I2252" i="10" s="1"/>
  <c r="D2331" i="10"/>
  <c r="I2331" i="10" s="1"/>
  <c r="D2286" i="10"/>
  <c r="I2286" i="10" s="1"/>
  <c r="D2332" i="10"/>
  <c r="I2332" i="10" s="1"/>
  <c r="D2287" i="10"/>
  <c r="I2287" i="10" s="1"/>
  <c r="D2336" i="10"/>
  <c r="I2336" i="10" s="1"/>
  <c r="D2316" i="10"/>
  <c r="I2316" i="10" s="1"/>
  <c r="D2288" i="10"/>
  <c r="I2288" i="10" s="1"/>
  <c r="D2289" i="10"/>
  <c r="I2289" i="10" s="1"/>
  <c r="D2337" i="10"/>
  <c r="I2337" i="10" s="1"/>
  <c r="D2290" i="10"/>
  <c r="I2290" i="10" s="1"/>
  <c r="D2341" i="10"/>
  <c r="I2341" i="10" s="1"/>
  <c r="D2299" i="10"/>
  <c r="I2299" i="10" s="1"/>
  <c r="D2300" i="10"/>
  <c r="I2300" i="10" s="1"/>
  <c r="D2283" i="10"/>
  <c r="I2283" i="10" s="1"/>
  <c r="D2338" i="10"/>
  <c r="I2338" i="10" s="1"/>
  <c r="D2317" i="10"/>
  <c r="I2317" i="10" s="1"/>
  <c r="D2318" i="10"/>
  <c r="I2318" i="10" s="1"/>
  <c r="D2319" i="10"/>
  <c r="I2319" i="10" s="1"/>
  <c r="D2297" i="10"/>
  <c r="I2297" i="10" s="1"/>
  <c r="D2334" i="10"/>
  <c r="I2334" i="10" s="1"/>
  <c r="D2327" i="10"/>
  <c r="I2327" i="10" s="1"/>
  <c r="D2328" i="10"/>
  <c r="I2328" i="10" s="1"/>
  <c r="D2329" i="10"/>
  <c r="I2329" i="10" s="1"/>
  <c r="D2330" i="10"/>
  <c r="I2330" i="10" s="1"/>
  <c r="D2342" i="10"/>
  <c r="I2342" i="10" s="1"/>
  <c r="D2343" i="10"/>
  <c r="I2343" i="10" s="1"/>
  <c r="D2320" i="10"/>
  <c r="I2320" i="10" s="1"/>
  <c r="D2321" i="10"/>
  <c r="I2321" i="10" s="1"/>
  <c r="D2322" i="10"/>
  <c r="I2322" i="10" s="1"/>
  <c r="D2323" i="10"/>
  <c r="I2323" i="10" s="1"/>
  <c r="D2301" i="10"/>
  <c r="I2301" i="10" s="1"/>
  <c r="D2302" i="10"/>
  <c r="I2302" i="10" s="1"/>
  <c r="D2324" i="10"/>
  <c r="I2324" i="10" s="1"/>
  <c r="D2291" i="10"/>
  <c r="I2291" i="10" s="1"/>
  <c r="D2303" i="10"/>
  <c r="I2303" i="10" s="1"/>
  <c r="D2325" i="10"/>
  <c r="I2325" i="10" s="1"/>
  <c r="D2339" i="10"/>
  <c r="I2339" i="10" s="1"/>
  <c r="D2292" i="10"/>
  <c r="I2292" i="10" s="1"/>
  <c r="D2304" i="10"/>
  <c r="I2304" i="10" s="1"/>
  <c r="D2335" i="10"/>
  <c r="I2335" i="10" s="1"/>
  <c r="D2305" i="10"/>
  <c r="I2305" i="10" s="1"/>
  <c r="D2306" i="10"/>
  <c r="I2306" i="10" s="1"/>
  <c r="D2307" i="10"/>
  <c r="I2307" i="10" s="1"/>
  <c r="D2293" i="10"/>
  <c r="I2293" i="10" s="1"/>
  <c r="D2308" i="10"/>
  <c r="I2308" i="10" s="1"/>
  <c r="D2345" i="10"/>
  <c r="I2345" i="10" s="1"/>
  <c r="D2346" i="10"/>
  <c r="I2346" i="10" s="1"/>
  <c r="D2326" i="10"/>
  <c r="I2326" i="10" s="1"/>
  <c r="D2298" i="10"/>
  <c r="I2298" i="10" s="1"/>
  <c r="D2309" i="10"/>
  <c r="I2309" i="10" s="1"/>
  <c r="D2315" i="10"/>
  <c r="I2315" i="10" s="1"/>
  <c r="D2340" i="10"/>
  <c r="I2340" i="10" s="1"/>
  <c r="D2310" i="10"/>
  <c r="I2310" i="10" s="1"/>
  <c r="D2296" i="10"/>
  <c r="I2296" i="10" s="1"/>
  <c r="D2294" i="10"/>
  <c r="I2294" i="10" s="1"/>
  <c r="D2295" i="10"/>
  <c r="I2295" i="10" s="1"/>
  <c r="D2282" i="10"/>
  <c r="I2282" i="10" s="1"/>
  <c r="D2311" i="10"/>
  <c r="I2311" i="10" s="1"/>
  <c r="D2284" i="10"/>
  <c r="I2284" i="10" s="1"/>
  <c r="D2344" i="10"/>
  <c r="I2344" i="10" s="1"/>
  <c r="D2312" i="10"/>
  <c r="I2312" i="10" s="1"/>
  <c r="D2333" i="10"/>
  <c r="I2333" i="10" s="1"/>
  <c r="D2313" i="10"/>
  <c r="I2313" i="10" s="1"/>
  <c r="D2314" i="10"/>
  <c r="I2314" i="10" s="1"/>
  <c r="D2285" i="10"/>
  <c r="I2285" i="10" s="1"/>
  <c r="H2204" i="10"/>
  <c r="H2135" i="10"/>
  <c r="D2204" i="10"/>
  <c r="I2204" i="10" s="1"/>
  <c r="X59" i="13" l="1"/>
  <c r="H2073" i="10"/>
  <c r="H2082" i="10"/>
  <c r="H2045" i="10"/>
  <c r="H2108" i="10"/>
  <c r="H2109" i="10"/>
  <c r="H2074" i="10"/>
  <c r="H2083" i="10"/>
  <c r="H2107" i="10"/>
  <c r="H2084" i="10"/>
  <c r="H2055" i="10"/>
  <c r="H2085" i="10"/>
  <c r="H2131" i="10"/>
  <c r="H2086" i="10"/>
  <c r="H2075" i="10"/>
  <c r="H2056" i="10"/>
  <c r="H2046" i="10"/>
  <c r="H2048" i="10"/>
  <c r="H2122" i="10"/>
  <c r="H2049" i="10"/>
  <c r="H2123" i="10"/>
  <c r="H2050" i="10"/>
  <c r="H2051" i="10"/>
  <c r="H2071" i="10"/>
  <c r="H2133" i="10"/>
  <c r="H2116" i="10"/>
  <c r="H2087" i="10"/>
  <c r="H2057" i="10"/>
  <c r="H2088" i="10"/>
  <c r="H2076" i="10"/>
  <c r="H2110" i="10"/>
  <c r="H2089" i="10"/>
  <c r="H2077" i="10"/>
  <c r="H2058" i="10"/>
  <c r="H2059" i="10"/>
  <c r="H2060" i="10"/>
  <c r="H2061" i="10"/>
  <c r="H2090" i="10"/>
  <c r="H2078" i="10"/>
  <c r="H2091" i="10"/>
  <c r="H2092" i="10"/>
  <c r="H2079" i="10"/>
  <c r="H2062" i="10"/>
  <c r="H2124" i="10"/>
  <c r="H2052" i="10"/>
  <c r="H2125" i="10"/>
  <c r="H2126" i="10"/>
  <c r="H2111" i="10"/>
  <c r="H2112" i="10"/>
  <c r="H2129" i="10"/>
  <c r="H2132" i="10"/>
  <c r="H2134" i="10"/>
  <c r="H2113" i="10"/>
  <c r="H2114" i="10"/>
  <c r="H2120" i="10"/>
  <c r="H2121" i="10"/>
  <c r="H2130" i="10"/>
  <c r="H2063" i="10"/>
  <c r="H2093" i="10"/>
  <c r="H2127" i="10"/>
  <c r="H2094" i="10"/>
  <c r="H2095" i="10"/>
  <c r="H2053" i="10"/>
  <c r="H2070" i="10"/>
  <c r="H2096" i="10"/>
  <c r="H2097" i="10"/>
  <c r="H2080" i="10"/>
  <c r="H2064" i="10"/>
  <c r="H2117" i="10"/>
  <c r="H2098" i="10"/>
  <c r="H2099" i="10"/>
  <c r="H2100" i="10"/>
  <c r="H2054" i="10"/>
  <c r="H2128" i="10"/>
  <c r="H2043" i="10"/>
  <c r="H2101" i="10"/>
  <c r="H2065" i="10"/>
  <c r="H2102" i="10"/>
  <c r="H2066" i="10"/>
  <c r="H2067" i="10"/>
  <c r="H2044" i="10"/>
  <c r="H2068" i="10"/>
  <c r="H2118" i="10"/>
  <c r="H2072" i="10"/>
  <c r="H2081" i="10"/>
  <c r="H2103" i="10"/>
  <c r="H2104" i="10"/>
  <c r="H2105" i="10"/>
  <c r="H2069" i="10"/>
  <c r="H2115" i="10"/>
  <c r="H2047" i="10"/>
  <c r="H2106" i="10"/>
  <c r="D2073" i="10"/>
  <c r="I2073" i="10" s="1"/>
  <c r="D2082" i="10"/>
  <c r="I2082" i="10" s="1"/>
  <c r="D2045" i="10"/>
  <c r="I2045" i="10" s="1"/>
  <c r="D2108" i="10"/>
  <c r="I2108" i="10" s="1"/>
  <c r="D2109" i="10"/>
  <c r="I2109" i="10" s="1"/>
  <c r="D2074" i="10"/>
  <c r="I2074" i="10" s="1"/>
  <c r="D2083" i="10"/>
  <c r="I2083" i="10" s="1"/>
  <c r="D2107" i="10"/>
  <c r="I2107" i="10" s="1"/>
  <c r="D2084" i="10"/>
  <c r="I2084" i="10" s="1"/>
  <c r="D2055" i="10"/>
  <c r="I2055" i="10" s="1"/>
  <c r="D2085" i="10"/>
  <c r="I2085" i="10" s="1"/>
  <c r="D2131" i="10"/>
  <c r="I2131" i="10" s="1"/>
  <c r="D2086" i="10"/>
  <c r="I2086" i="10" s="1"/>
  <c r="D2075" i="10"/>
  <c r="I2075" i="10" s="1"/>
  <c r="D2056" i="10"/>
  <c r="I2056" i="10" s="1"/>
  <c r="D2046" i="10"/>
  <c r="I2046" i="10" s="1"/>
  <c r="D2048" i="10"/>
  <c r="I2048" i="10" s="1"/>
  <c r="D2122" i="10"/>
  <c r="I2122" i="10" s="1"/>
  <c r="D2049" i="10"/>
  <c r="I2049" i="10" s="1"/>
  <c r="D2123" i="10"/>
  <c r="I2123" i="10" s="1"/>
  <c r="D2050" i="10"/>
  <c r="I2050" i="10" s="1"/>
  <c r="D2051" i="10"/>
  <c r="I2051" i="10" s="1"/>
  <c r="D2071" i="10"/>
  <c r="I2071" i="10" s="1"/>
  <c r="D2135" i="10"/>
  <c r="I2135" i="10" s="1"/>
  <c r="D2133" i="10"/>
  <c r="I2133" i="10" s="1"/>
  <c r="D2116" i="10"/>
  <c r="I2116" i="10" s="1"/>
  <c r="D2087" i="10"/>
  <c r="I2087" i="10" s="1"/>
  <c r="D2057" i="10"/>
  <c r="I2057" i="10" s="1"/>
  <c r="D2088" i="10"/>
  <c r="I2088" i="10" s="1"/>
  <c r="D2076" i="10"/>
  <c r="I2076" i="10" s="1"/>
  <c r="D2110" i="10"/>
  <c r="I2110" i="10" s="1"/>
  <c r="D2089" i="10"/>
  <c r="I2089" i="10" s="1"/>
  <c r="D2077" i="10"/>
  <c r="I2077" i="10" s="1"/>
  <c r="D2058" i="10"/>
  <c r="I2058" i="10" s="1"/>
  <c r="D2059" i="10"/>
  <c r="I2059" i="10" s="1"/>
  <c r="D2060" i="10"/>
  <c r="I2060" i="10" s="1"/>
  <c r="D2061" i="10"/>
  <c r="I2061" i="10" s="1"/>
  <c r="D2090" i="10"/>
  <c r="I2090" i="10" s="1"/>
  <c r="D2078" i="10"/>
  <c r="I2078" i="10" s="1"/>
  <c r="D2091" i="10"/>
  <c r="I2091" i="10" s="1"/>
  <c r="D2092" i="10"/>
  <c r="I2092" i="10" s="1"/>
  <c r="D2079" i="10"/>
  <c r="I2079" i="10" s="1"/>
  <c r="D2062" i="10"/>
  <c r="I2062" i="10" s="1"/>
  <c r="D2124" i="10"/>
  <c r="I2124" i="10" s="1"/>
  <c r="D2052" i="10"/>
  <c r="I2052" i="10" s="1"/>
  <c r="D2125" i="10"/>
  <c r="I2125" i="10" s="1"/>
  <c r="D2126" i="10"/>
  <c r="I2126" i="10" s="1"/>
  <c r="D2111" i="10"/>
  <c r="I2111" i="10" s="1"/>
  <c r="D2112" i="10"/>
  <c r="I2112" i="10" s="1"/>
  <c r="D2129" i="10"/>
  <c r="I2129" i="10" s="1"/>
  <c r="D2132" i="10"/>
  <c r="I2132" i="10" s="1"/>
  <c r="D2134" i="10"/>
  <c r="I2134" i="10" s="1"/>
  <c r="D2113" i="10"/>
  <c r="I2113" i="10" s="1"/>
  <c r="D2114" i="10"/>
  <c r="I2114" i="10" s="1"/>
  <c r="D2120" i="10"/>
  <c r="I2120" i="10" s="1"/>
  <c r="D2121" i="10"/>
  <c r="I2121" i="10" s="1"/>
  <c r="D2130" i="10"/>
  <c r="I2130" i="10" s="1"/>
  <c r="D2063" i="10"/>
  <c r="I2063" i="10" s="1"/>
  <c r="D2093" i="10"/>
  <c r="I2093" i="10" s="1"/>
  <c r="D2127" i="10"/>
  <c r="I2127" i="10" s="1"/>
  <c r="D2094" i="10"/>
  <c r="I2094" i="10" s="1"/>
  <c r="D2095" i="10"/>
  <c r="I2095" i="10" s="1"/>
  <c r="D2053" i="10"/>
  <c r="I2053" i="10" s="1"/>
  <c r="D2070" i="10"/>
  <c r="I2070" i="10" s="1"/>
  <c r="D2096" i="10"/>
  <c r="I2096" i="10" s="1"/>
  <c r="D2097" i="10"/>
  <c r="I2097" i="10" s="1"/>
  <c r="D2080" i="10"/>
  <c r="I2080" i="10" s="1"/>
  <c r="D2064" i="10"/>
  <c r="I2064" i="10" s="1"/>
  <c r="D2117" i="10"/>
  <c r="I2117" i="10" s="1"/>
  <c r="D2098" i="10"/>
  <c r="I2098" i="10" s="1"/>
  <c r="D2099" i="10"/>
  <c r="I2099" i="10" s="1"/>
  <c r="D2100" i="10"/>
  <c r="I2100" i="10" s="1"/>
  <c r="D2054" i="10"/>
  <c r="I2054" i="10" s="1"/>
  <c r="D2128" i="10"/>
  <c r="I2128" i="10" s="1"/>
  <c r="D2043" i="10"/>
  <c r="I2043" i="10" s="1"/>
  <c r="D2101" i="10"/>
  <c r="I2101" i="10" s="1"/>
  <c r="D2065" i="10"/>
  <c r="I2065" i="10" s="1"/>
  <c r="D2102" i="10"/>
  <c r="I2102" i="10" s="1"/>
  <c r="D2066" i="10"/>
  <c r="I2066" i="10" s="1"/>
  <c r="D2067" i="10"/>
  <c r="I2067" i="10" s="1"/>
  <c r="D2044" i="10"/>
  <c r="I2044" i="10" s="1"/>
  <c r="D2068" i="10"/>
  <c r="I2068" i="10" s="1"/>
  <c r="D2118" i="10"/>
  <c r="I2118" i="10" s="1"/>
  <c r="D2072" i="10"/>
  <c r="I2072" i="10" s="1"/>
  <c r="D2081" i="10"/>
  <c r="I2081" i="10" s="1"/>
  <c r="D2103" i="10"/>
  <c r="I2103" i="10" s="1"/>
  <c r="D2104" i="10"/>
  <c r="I2104" i="10" s="1"/>
  <c r="D2105" i="10"/>
  <c r="I2105" i="10" s="1"/>
  <c r="D2069" i="10"/>
  <c r="I2069" i="10" s="1"/>
  <c r="D2115" i="10"/>
  <c r="I2115" i="10" s="1"/>
  <c r="D2047" i="10"/>
  <c r="I2047" i="10" s="1"/>
  <c r="D2106" i="10"/>
  <c r="I2106" i="10" s="1"/>
  <c r="H2119" i="10"/>
  <c r="D2119" i="10"/>
  <c r="I2119" i="10" s="1"/>
  <c r="H1948" i="10"/>
  <c r="H1949" i="10"/>
  <c r="H1950" i="10"/>
  <c r="H1951" i="10"/>
  <c r="H1952" i="10"/>
  <c r="H1953" i="10"/>
  <c r="H1954" i="10"/>
  <c r="H1955" i="10"/>
  <c r="H1956" i="10"/>
  <c r="H1957" i="10"/>
  <c r="H1958" i="10"/>
  <c r="H1959" i="10"/>
  <c r="H1960" i="10"/>
  <c r="H1961" i="10"/>
  <c r="H1962" i="10"/>
  <c r="H1963" i="10"/>
  <c r="H1964" i="10"/>
  <c r="H1965" i="10"/>
  <c r="H1966" i="10"/>
  <c r="H1967" i="10"/>
  <c r="H1968" i="10"/>
  <c r="H1969" i="10"/>
  <c r="H1970" i="10"/>
  <c r="H1971" i="10"/>
  <c r="H1972" i="10"/>
  <c r="H1973" i="10"/>
  <c r="H1974" i="10"/>
  <c r="H1975" i="10"/>
  <c r="H1976" i="10"/>
  <c r="H1977" i="10"/>
  <c r="H1978" i="10"/>
  <c r="H1979" i="10"/>
  <c r="H1980" i="10"/>
  <c r="H1981" i="10"/>
  <c r="H1982" i="10"/>
  <c r="H1983" i="10"/>
  <c r="H1984" i="10"/>
  <c r="H1985" i="10"/>
  <c r="H1986" i="10"/>
  <c r="H1987" i="10"/>
  <c r="H1988" i="10"/>
  <c r="H1989" i="10"/>
  <c r="H1990" i="10"/>
  <c r="H1991" i="10"/>
  <c r="H1992" i="10"/>
  <c r="H1993" i="10"/>
  <c r="H1994" i="10"/>
  <c r="H1995" i="10"/>
  <c r="H1996" i="10"/>
  <c r="H1997" i="10"/>
  <c r="H1998" i="10"/>
  <c r="H1999" i="10"/>
  <c r="H2000" i="10"/>
  <c r="H2001" i="10"/>
  <c r="H2002" i="10"/>
  <c r="H2003" i="10"/>
  <c r="H2004" i="10"/>
  <c r="H2005" i="10"/>
  <c r="H2006" i="10"/>
  <c r="H2007" i="10"/>
  <c r="H2008" i="10"/>
  <c r="H2009" i="10"/>
  <c r="H2010" i="10"/>
  <c r="H2011" i="10"/>
  <c r="H2012" i="10"/>
  <c r="H2013" i="10"/>
  <c r="H2014" i="10"/>
  <c r="H2015" i="10"/>
  <c r="H2016" i="10"/>
  <c r="H2017" i="10"/>
  <c r="H2018" i="10"/>
  <c r="H2019" i="10"/>
  <c r="H2020" i="10"/>
  <c r="H2021" i="10"/>
  <c r="H2022" i="10"/>
  <c r="H2023" i="10"/>
  <c r="H2024" i="10"/>
  <c r="H2025" i="10"/>
  <c r="H2026" i="10"/>
  <c r="H2027" i="10"/>
  <c r="H2028" i="10"/>
  <c r="H2029" i="10"/>
  <c r="H2030" i="10"/>
  <c r="H2031" i="10"/>
  <c r="H2032" i="10"/>
  <c r="H2033" i="10"/>
  <c r="H2034" i="10"/>
  <c r="H2035" i="10"/>
  <c r="H2036" i="10"/>
  <c r="H2037" i="10"/>
  <c r="H2038" i="10"/>
  <c r="H2039" i="10"/>
  <c r="H2040" i="10"/>
  <c r="H2041" i="10"/>
  <c r="H2042" i="10"/>
  <c r="D1948" i="10"/>
  <c r="I1948" i="10" s="1"/>
  <c r="D1949" i="10"/>
  <c r="I1949" i="10" s="1"/>
  <c r="D1950" i="10"/>
  <c r="I1950" i="10" s="1"/>
  <c r="D1951" i="10"/>
  <c r="I1951" i="10" s="1"/>
  <c r="D1952" i="10"/>
  <c r="I1952" i="10" s="1"/>
  <c r="D1953" i="10"/>
  <c r="I1953" i="10" s="1"/>
  <c r="D1954" i="10"/>
  <c r="I1954" i="10" s="1"/>
  <c r="D1955" i="10"/>
  <c r="I1955" i="10" s="1"/>
  <c r="D1956" i="10"/>
  <c r="I1956" i="10" s="1"/>
  <c r="D1957" i="10"/>
  <c r="I1957" i="10" s="1"/>
  <c r="D1958" i="10"/>
  <c r="I1958" i="10" s="1"/>
  <c r="D1959" i="10"/>
  <c r="I1959" i="10" s="1"/>
  <c r="D1960" i="10"/>
  <c r="I1960" i="10" s="1"/>
  <c r="D1961" i="10"/>
  <c r="I1961" i="10" s="1"/>
  <c r="D1962" i="10"/>
  <c r="I1962" i="10" s="1"/>
  <c r="D1963" i="10"/>
  <c r="I1963" i="10" s="1"/>
  <c r="D1964" i="10"/>
  <c r="I1964" i="10" s="1"/>
  <c r="D1965" i="10"/>
  <c r="I1965" i="10" s="1"/>
  <c r="D1966" i="10"/>
  <c r="I1966" i="10" s="1"/>
  <c r="D1967" i="10"/>
  <c r="I1967" i="10" s="1"/>
  <c r="D1968" i="10"/>
  <c r="I1968" i="10" s="1"/>
  <c r="D1969" i="10"/>
  <c r="I1969" i="10" s="1"/>
  <c r="D1970" i="10"/>
  <c r="I1970" i="10" s="1"/>
  <c r="D1971" i="10"/>
  <c r="I1971" i="10" s="1"/>
  <c r="D1972" i="10"/>
  <c r="I1972" i="10" s="1"/>
  <c r="D1973" i="10"/>
  <c r="I1973" i="10" s="1"/>
  <c r="D1974" i="10"/>
  <c r="I1974" i="10" s="1"/>
  <c r="D1975" i="10"/>
  <c r="I1975" i="10" s="1"/>
  <c r="D1976" i="10"/>
  <c r="I1976" i="10" s="1"/>
  <c r="D1977" i="10"/>
  <c r="I1977" i="10" s="1"/>
  <c r="D1978" i="10"/>
  <c r="I1978" i="10" s="1"/>
  <c r="D1979" i="10"/>
  <c r="I1979" i="10" s="1"/>
  <c r="D1980" i="10"/>
  <c r="I1980" i="10" s="1"/>
  <c r="D1981" i="10"/>
  <c r="I1981" i="10" s="1"/>
  <c r="D1982" i="10"/>
  <c r="I1982" i="10" s="1"/>
  <c r="D1983" i="10"/>
  <c r="I1983" i="10" s="1"/>
  <c r="D1984" i="10"/>
  <c r="I1984" i="10" s="1"/>
  <c r="D1985" i="10"/>
  <c r="I1985" i="10" s="1"/>
  <c r="D1986" i="10"/>
  <c r="I1986" i="10" s="1"/>
  <c r="D1987" i="10"/>
  <c r="I1987" i="10" s="1"/>
  <c r="D1988" i="10"/>
  <c r="I1988" i="10" s="1"/>
  <c r="D1989" i="10"/>
  <c r="I1989" i="10" s="1"/>
  <c r="D1990" i="10"/>
  <c r="I1990" i="10" s="1"/>
  <c r="D1991" i="10"/>
  <c r="I1991" i="10" s="1"/>
  <c r="D1992" i="10"/>
  <c r="I1992" i="10" s="1"/>
  <c r="D1993" i="10"/>
  <c r="I1993" i="10" s="1"/>
  <c r="D1994" i="10"/>
  <c r="I1994" i="10" s="1"/>
  <c r="D1995" i="10"/>
  <c r="I1995" i="10" s="1"/>
  <c r="D1996" i="10"/>
  <c r="I1996" i="10" s="1"/>
  <c r="D1997" i="10"/>
  <c r="I1997" i="10" s="1"/>
  <c r="D1998" i="10"/>
  <c r="I1998" i="10" s="1"/>
  <c r="D1999" i="10"/>
  <c r="I1999" i="10" s="1"/>
  <c r="D2000" i="10"/>
  <c r="I2000" i="10" s="1"/>
  <c r="D2001" i="10"/>
  <c r="I2001" i="10" s="1"/>
  <c r="D2002" i="10"/>
  <c r="I2002" i="10" s="1"/>
  <c r="D2003" i="10"/>
  <c r="I2003" i="10" s="1"/>
  <c r="D2004" i="10"/>
  <c r="I2004" i="10" s="1"/>
  <c r="D2005" i="10"/>
  <c r="I2005" i="10" s="1"/>
  <c r="D2006" i="10"/>
  <c r="I2006" i="10" s="1"/>
  <c r="D2007" i="10"/>
  <c r="I2007" i="10" s="1"/>
  <c r="D2008" i="10"/>
  <c r="I2008" i="10" s="1"/>
  <c r="D2009" i="10"/>
  <c r="I2009" i="10" s="1"/>
  <c r="D2010" i="10"/>
  <c r="I2010" i="10" s="1"/>
  <c r="D2011" i="10"/>
  <c r="I2011" i="10" s="1"/>
  <c r="D2012" i="10"/>
  <c r="I2012" i="10" s="1"/>
  <c r="D2013" i="10"/>
  <c r="I2013" i="10" s="1"/>
  <c r="D2014" i="10"/>
  <c r="I2014" i="10" s="1"/>
  <c r="D2015" i="10"/>
  <c r="I2015" i="10" s="1"/>
  <c r="D2016" i="10"/>
  <c r="I2016" i="10" s="1"/>
  <c r="D2017" i="10"/>
  <c r="I2017" i="10" s="1"/>
  <c r="D2018" i="10"/>
  <c r="I2018" i="10" s="1"/>
  <c r="D2019" i="10"/>
  <c r="I2019" i="10" s="1"/>
  <c r="D2020" i="10"/>
  <c r="I2020" i="10" s="1"/>
  <c r="D2021" i="10"/>
  <c r="I2021" i="10" s="1"/>
  <c r="D2022" i="10"/>
  <c r="I2022" i="10" s="1"/>
  <c r="D2023" i="10"/>
  <c r="I2023" i="10" s="1"/>
  <c r="D2024" i="10"/>
  <c r="I2024" i="10" s="1"/>
  <c r="D2025" i="10"/>
  <c r="I2025" i="10" s="1"/>
  <c r="D2026" i="10"/>
  <c r="I2026" i="10" s="1"/>
  <c r="D2027" i="10"/>
  <c r="I2027" i="10" s="1"/>
  <c r="D2028" i="10"/>
  <c r="I2028" i="10" s="1"/>
  <c r="D2029" i="10"/>
  <c r="I2029" i="10" s="1"/>
  <c r="D2030" i="10"/>
  <c r="I2030" i="10" s="1"/>
  <c r="D2031" i="10"/>
  <c r="I2031" i="10" s="1"/>
  <c r="D2032" i="10"/>
  <c r="I2032" i="10" s="1"/>
  <c r="D2033" i="10"/>
  <c r="I2033" i="10" s="1"/>
  <c r="D2034" i="10"/>
  <c r="I2034" i="10" s="1"/>
  <c r="D2035" i="10"/>
  <c r="I2035" i="10" s="1"/>
  <c r="D2036" i="10"/>
  <c r="I2036" i="10" s="1"/>
  <c r="D2037" i="10"/>
  <c r="I2037" i="10" s="1"/>
  <c r="D2038" i="10"/>
  <c r="I2038" i="10" s="1"/>
  <c r="D2039" i="10"/>
  <c r="I2039" i="10" s="1"/>
  <c r="D2040" i="10"/>
  <c r="I2040" i="10" s="1"/>
  <c r="D2041" i="10"/>
  <c r="I2041" i="10" s="1"/>
  <c r="D2042" i="10"/>
  <c r="I2042" i="10" s="1"/>
  <c r="O14" i="6" l="1"/>
  <c r="O15" i="6"/>
  <c r="O16" i="6"/>
  <c r="O17" i="6"/>
  <c r="O18" i="6"/>
  <c r="O19" i="6"/>
  <c r="N14" i="6"/>
  <c r="N15" i="6"/>
  <c r="N16" i="6"/>
  <c r="N17" i="6"/>
  <c r="N18" i="6"/>
  <c r="N19" i="6"/>
  <c r="K14" i="6"/>
  <c r="K15" i="6"/>
  <c r="K16" i="6"/>
  <c r="K17" i="6"/>
  <c r="K18" i="6"/>
  <c r="K19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O13" i="6"/>
  <c r="N13" i="6"/>
  <c r="K13" i="6"/>
  <c r="D1936" i="10"/>
  <c r="I1936" i="10" s="1"/>
  <c r="H1936" i="10"/>
  <c r="D1937" i="10"/>
  <c r="I1937" i="10" s="1"/>
  <c r="H1937" i="10"/>
  <c r="D1925" i="10"/>
  <c r="I1925" i="10" s="1"/>
  <c r="H1849" i="10"/>
  <c r="D1849" i="10"/>
  <c r="I1849" i="10" s="1"/>
  <c r="H1850" i="10"/>
  <c r="D1850" i="10"/>
  <c r="I1850" i="10" s="1"/>
  <c r="H1851" i="10"/>
  <c r="H1852" i="10"/>
  <c r="H1853" i="10"/>
  <c r="H1854" i="10"/>
  <c r="H1855" i="10"/>
  <c r="H1856" i="10"/>
  <c r="H1857" i="10"/>
  <c r="H1858" i="10"/>
  <c r="H1859" i="10"/>
  <c r="H1860" i="10"/>
  <c r="H1861" i="10"/>
  <c r="H1862" i="10"/>
  <c r="H1863" i="10"/>
  <c r="H1864" i="10"/>
  <c r="H1865" i="10"/>
  <c r="H1866" i="10"/>
  <c r="H1867" i="10"/>
  <c r="H1868" i="10"/>
  <c r="H1869" i="10"/>
  <c r="H1870" i="10"/>
  <c r="H1871" i="10"/>
  <c r="H1872" i="10"/>
  <c r="H1873" i="10"/>
  <c r="H1874" i="10"/>
  <c r="H1875" i="10"/>
  <c r="H1876" i="10"/>
  <c r="H1877" i="10"/>
  <c r="H1878" i="10"/>
  <c r="H1879" i="10"/>
  <c r="H1880" i="10"/>
  <c r="H1881" i="10"/>
  <c r="H1882" i="10"/>
  <c r="H1883" i="10"/>
  <c r="H1884" i="10"/>
  <c r="H1885" i="10"/>
  <c r="H1886" i="10"/>
  <c r="H1887" i="10"/>
  <c r="H1888" i="10"/>
  <c r="H1889" i="10"/>
  <c r="H1890" i="10"/>
  <c r="H1891" i="10"/>
  <c r="H1892" i="10"/>
  <c r="H1893" i="10"/>
  <c r="H1894" i="10"/>
  <c r="H1895" i="10"/>
  <c r="H1896" i="10"/>
  <c r="H1897" i="10"/>
  <c r="H1898" i="10"/>
  <c r="H1899" i="10"/>
  <c r="H1900" i="10"/>
  <c r="H1901" i="10"/>
  <c r="H1902" i="10"/>
  <c r="H1903" i="10"/>
  <c r="H1904" i="10"/>
  <c r="H1905" i="10"/>
  <c r="H1906" i="10"/>
  <c r="H1907" i="10"/>
  <c r="H1908" i="10"/>
  <c r="H1909" i="10"/>
  <c r="H1910" i="10"/>
  <c r="H1911" i="10"/>
  <c r="H1912" i="10"/>
  <c r="H1913" i="10"/>
  <c r="H1914" i="10"/>
  <c r="H1915" i="10"/>
  <c r="H1916" i="10"/>
  <c r="H1917" i="10"/>
  <c r="H1918" i="10"/>
  <c r="H1919" i="10"/>
  <c r="H1920" i="10"/>
  <c r="H1921" i="10"/>
  <c r="H1922" i="10"/>
  <c r="H1923" i="10"/>
  <c r="H1924" i="10"/>
  <c r="H1925" i="10"/>
  <c r="H1926" i="10"/>
  <c r="H1927" i="10"/>
  <c r="H1928" i="10"/>
  <c r="H1929" i="10"/>
  <c r="H1930" i="10"/>
  <c r="H1931" i="10"/>
  <c r="H1932" i="10"/>
  <c r="H1933" i="10"/>
  <c r="H1934" i="10"/>
  <c r="H1935" i="10"/>
  <c r="H1938" i="10"/>
  <c r="H1939" i="10"/>
  <c r="H1940" i="10"/>
  <c r="H1941" i="10"/>
  <c r="H1942" i="10"/>
  <c r="H1943" i="10"/>
  <c r="H1944" i="10"/>
  <c r="H1945" i="10"/>
  <c r="H1946" i="10"/>
  <c r="H1947" i="10"/>
  <c r="D1851" i="10"/>
  <c r="I1851" i="10" s="1"/>
  <c r="D1852" i="10"/>
  <c r="D1853" i="10"/>
  <c r="I1853" i="10" s="1"/>
  <c r="D1854" i="10"/>
  <c r="D1855" i="10"/>
  <c r="I1855" i="10" s="1"/>
  <c r="D1856" i="10"/>
  <c r="D1857" i="10"/>
  <c r="I1857" i="10" s="1"/>
  <c r="D1858" i="10"/>
  <c r="D1859" i="10"/>
  <c r="I1859" i="10" s="1"/>
  <c r="D1860" i="10"/>
  <c r="D1861" i="10"/>
  <c r="I1861" i="10" s="1"/>
  <c r="D1862" i="10"/>
  <c r="D1863" i="10"/>
  <c r="I1863" i="10" s="1"/>
  <c r="D1864" i="10"/>
  <c r="D1865" i="10"/>
  <c r="I1865" i="10" s="1"/>
  <c r="D1866" i="10"/>
  <c r="D1867" i="10"/>
  <c r="I1867" i="10" s="1"/>
  <c r="D1868" i="10"/>
  <c r="D1869" i="10"/>
  <c r="I1869" i="10" s="1"/>
  <c r="D1870" i="10"/>
  <c r="D1871" i="10"/>
  <c r="I1871" i="10" s="1"/>
  <c r="D1872" i="10"/>
  <c r="D1873" i="10"/>
  <c r="I1873" i="10" s="1"/>
  <c r="D1874" i="10"/>
  <c r="D1875" i="10"/>
  <c r="I1875" i="10" s="1"/>
  <c r="D1876" i="10"/>
  <c r="D1877" i="10"/>
  <c r="I1877" i="10" s="1"/>
  <c r="D1878" i="10"/>
  <c r="D1879" i="10"/>
  <c r="I1879" i="10" s="1"/>
  <c r="D1880" i="10"/>
  <c r="D1881" i="10"/>
  <c r="I1881" i="10" s="1"/>
  <c r="D1882" i="10"/>
  <c r="D1883" i="10"/>
  <c r="I1883" i="10" s="1"/>
  <c r="D1884" i="10"/>
  <c r="D1885" i="10"/>
  <c r="I1885" i="10" s="1"/>
  <c r="D1886" i="10"/>
  <c r="D1887" i="10"/>
  <c r="I1887" i="10" s="1"/>
  <c r="D1888" i="10"/>
  <c r="D1889" i="10"/>
  <c r="I1889" i="10" s="1"/>
  <c r="D1890" i="10"/>
  <c r="D1891" i="10"/>
  <c r="I1891" i="10" s="1"/>
  <c r="D1892" i="10"/>
  <c r="D1893" i="10"/>
  <c r="I1893" i="10" s="1"/>
  <c r="D1894" i="10"/>
  <c r="I1894" i="10" s="1"/>
  <c r="D1895" i="10"/>
  <c r="I1895" i="10" s="1"/>
  <c r="D1896" i="10"/>
  <c r="D1897" i="10"/>
  <c r="I1897" i="10" s="1"/>
  <c r="D1898" i="10"/>
  <c r="I1898" i="10" s="1"/>
  <c r="D1899" i="10"/>
  <c r="I1899" i="10" s="1"/>
  <c r="D1900" i="10"/>
  <c r="D1901" i="10"/>
  <c r="I1901" i="10" s="1"/>
  <c r="D1902" i="10"/>
  <c r="D1903" i="10"/>
  <c r="I1903" i="10" s="1"/>
  <c r="D1904" i="10"/>
  <c r="D1905" i="10"/>
  <c r="I1905" i="10" s="1"/>
  <c r="D1906" i="10"/>
  <c r="D1907" i="10"/>
  <c r="I1907" i="10" s="1"/>
  <c r="D1908" i="10"/>
  <c r="D1909" i="10"/>
  <c r="I1909" i="10" s="1"/>
  <c r="D1910" i="10"/>
  <c r="D1911" i="10"/>
  <c r="I1911" i="10" s="1"/>
  <c r="D1912" i="10"/>
  <c r="D1913" i="10"/>
  <c r="I1913" i="10" s="1"/>
  <c r="D1914" i="10"/>
  <c r="I1914" i="10" s="1"/>
  <c r="D1915" i="10"/>
  <c r="I1915" i="10" s="1"/>
  <c r="D1916" i="10"/>
  <c r="D1917" i="10"/>
  <c r="I1917" i="10" s="1"/>
  <c r="D1918" i="10"/>
  <c r="I1918" i="10" s="1"/>
  <c r="D1919" i="10"/>
  <c r="I1919" i="10" s="1"/>
  <c r="D1920" i="10"/>
  <c r="D1921" i="10"/>
  <c r="I1921" i="10" s="1"/>
  <c r="D1922" i="10"/>
  <c r="D1923" i="10"/>
  <c r="I1923" i="10" s="1"/>
  <c r="D1924" i="10"/>
  <c r="D1926" i="10"/>
  <c r="I1926" i="10" s="1"/>
  <c r="D1927" i="10"/>
  <c r="D1928" i="10"/>
  <c r="I1928" i="10" s="1"/>
  <c r="D1929" i="10"/>
  <c r="D1930" i="10"/>
  <c r="I1930" i="10" s="1"/>
  <c r="D1931" i="10"/>
  <c r="D1932" i="10"/>
  <c r="I1932" i="10" s="1"/>
  <c r="D1933" i="10"/>
  <c r="D1934" i="10"/>
  <c r="I1934" i="10" s="1"/>
  <c r="D1935" i="10"/>
  <c r="I1935" i="10" s="1"/>
  <c r="D1938" i="10"/>
  <c r="I1938" i="10" s="1"/>
  <c r="D1939" i="10"/>
  <c r="D1940" i="10"/>
  <c r="I1940" i="10" s="1"/>
  <c r="D1941" i="10"/>
  <c r="I1941" i="10" s="1"/>
  <c r="D1942" i="10"/>
  <c r="I1942" i="10" s="1"/>
  <c r="D1943" i="10"/>
  <c r="D1944" i="10"/>
  <c r="I1944" i="10" s="1"/>
  <c r="D1945" i="10"/>
  <c r="I1945" i="10" s="1"/>
  <c r="D1946" i="10"/>
  <c r="I1946" i="10" s="1"/>
  <c r="D1947" i="10"/>
  <c r="I1896" i="10"/>
  <c r="I1886" i="10"/>
  <c r="I1864" i="10"/>
  <c r="I1860" i="10"/>
  <c r="I1931" i="10"/>
  <c r="I1852" i="10"/>
  <c r="I1888" i="10"/>
  <c r="I1854" i="10"/>
  <c r="I1943" i="10"/>
  <c r="I1890" i="10"/>
  <c r="I1900" i="10"/>
  <c r="I1866" i="10"/>
  <c r="I1902" i="10"/>
  <c r="I1868" i="10"/>
  <c r="I1929" i="10"/>
  <c r="I1904" i="10"/>
  <c r="I1920" i="10"/>
  <c r="I1922" i="10"/>
  <c r="I1947" i="10"/>
  <c r="I1870" i="10"/>
  <c r="I1906" i="10"/>
  <c r="I1884" i="10"/>
  <c r="I1872" i="10"/>
  <c r="I1892" i="10"/>
  <c r="I1933" i="10"/>
  <c r="I1908" i="10"/>
  <c r="I1874" i="10"/>
  <c r="I1927" i="10"/>
  <c r="I1876" i="10"/>
  <c r="I1910" i="10"/>
  <c r="I1878" i="10"/>
  <c r="I1912" i="10"/>
  <c r="I1939" i="10"/>
  <c r="I1856" i="10"/>
  <c r="I1858" i="10"/>
  <c r="I1924" i="10"/>
  <c r="I1916" i="10"/>
  <c r="I1880" i="10"/>
  <c r="I1882" i="10"/>
  <c r="I1862" i="10"/>
  <c r="N2" i="6"/>
  <c r="O2" i="6"/>
  <c r="H2" i="10"/>
  <c r="H3" i="10"/>
  <c r="H4" i="10"/>
  <c r="H5" i="10"/>
  <c r="G145" i="10"/>
  <c r="G146" i="10"/>
  <c r="G147" i="10"/>
  <c r="G154" i="10"/>
  <c r="G44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873" i="10"/>
  <c r="H874" i="10"/>
  <c r="H875" i="10"/>
  <c r="H876" i="10"/>
  <c r="H877" i="10"/>
  <c r="H878" i="10"/>
  <c r="H879" i="10"/>
  <c r="H880" i="10"/>
  <c r="H881" i="10"/>
  <c r="H882" i="10"/>
  <c r="H883" i="10"/>
  <c r="H884" i="10"/>
  <c r="H885" i="10"/>
  <c r="H886" i="10"/>
  <c r="H887" i="10"/>
  <c r="H888" i="10"/>
  <c r="H889" i="10"/>
  <c r="H890" i="10"/>
  <c r="H891" i="10"/>
  <c r="H892" i="10"/>
  <c r="H893" i="10"/>
  <c r="H894" i="10"/>
  <c r="H895" i="10"/>
  <c r="H896" i="10"/>
  <c r="H897" i="10"/>
  <c r="H898" i="10"/>
  <c r="H899" i="10"/>
  <c r="H900" i="10"/>
  <c r="H901" i="10"/>
  <c r="H902" i="10"/>
  <c r="H903" i="10"/>
  <c r="H904" i="10"/>
  <c r="H905" i="10"/>
  <c r="H906" i="10"/>
  <c r="H907" i="10"/>
  <c r="H908" i="10"/>
  <c r="H909" i="10"/>
  <c r="H910" i="10"/>
  <c r="H911" i="10"/>
  <c r="H912" i="10"/>
  <c r="H913" i="10"/>
  <c r="H914" i="10"/>
  <c r="H915" i="10"/>
  <c r="H916" i="10"/>
  <c r="H917" i="10"/>
  <c r="H918" i="10"/>
  <c r="H919" i="10"/>
  <c r="H920" i="10"/>
  <c r="H921" i="10"/>
  <c r="H922" i="10"/>
  <c r="H923" i="10"/>
  <c r="H924" i="10"/>
  <c r="H925" i="10"/>
  <c r="H926" i="10"/>
  <c r="H927" i="10"/>
  <c r="H928" i="10"/>
  <c r="H929" i="10"/>
  <c r="H930" i="10"/>
  <c r="H931" i="10"/>
  <c r="H932" i="10"/>
  <c r="H933" i="10"/>
  <c r="H934" i="10"/>
  <c r="H935" i="10"/>
  <c r="H936" i="10"/>
  <c r="H937" i="10"/>
  <c r="H938" i="10"/>
  <c r="H939" i="10"/>
  <c r="H940" i="10"/>
  <c r="H941" i="10"/>
  <c r="H942" i="10"/>
  <c r="H943" i="10"/>
  <c r="H944" i="10"/>
  <c r="H945" i="10"/>
  <c r="H946" i="10"/>
  <c r="H947" i="10"/>
  <c r="H948" i="10"/>
  <c r="H949" i="10"/>
  <c r="H950" i="10"/>
  <c r="H951" i="10"/>
  <c r="H952" i="10"/>
  <c r="H953" i="10"/>
  <c r="H954" i="10"/>
  <c r="H955" i="10"/>
  <c r="H956" i="10"/>
  <c r="H957" i="10"/>
  <c r="H958" i="10"/>
  <c r="H959" i="10"/>
  <c r="H960" i="10"/>
  <c r="H961" i="10"/>
  <c r="H962" i="10"/>
  <c r="H963" i="10"/>
  <c r="H964" i="10"/>
  <c r="H965" i="10"/>
  <c r="H966" i="10"/>
  <c r="H967" i="10"/>
  <c r="H968" i="10"/>
  <c r="H969" i="10"/>
  <c r="H970" i="10"/>
  <c r="H971" i="10"/>
  <c r="H972" i="10"/>
  <c r="H973" i="10"/>
  <c r="H974" i="10"/>
  <c r="H975" i="10"/>
  <c r="H976" i="10"/>
  <c r="H977" i="10"/>
  <c r="H978" i="10"/>
  <c r="H979" i="10"/>
  <c r="H980" i="10"/>
  <c r="H981" i="10"/>
  <c r="H982" i="10"/>
  <c r="H983" i="10"/>
  <c r="H984" i="10"/>
  <c r="H985" i="10"/>
  <c r="H986" i="10"/>
  <c r="H987" i="10"/>
  <c r="H988" i="10"/>
  <c r="H989" i="10"/>
  <c r="H990" i="10"/>
  <c r="H991" i="10"/>
  <c r="H992" i="10"/>
  <c r="H993" i="10"/>
  <c r="H994" i="10"/>
  <c r="H995" i="10"/>
  <c r="H996" i="10"/>
  <c r="H997" i="10"/>
  <c r="H998" i="10"/>
  <c r="H999" i="10"/>
  <c r="H1000" i="10"/>
  <c r="H1001" i="10"/>
  <c r="H1002" i="10"/>
  <c r="H1003" i="10"/>
  <c r="H1004" i="10"/>
  <c r="H1005" i="10"/>
  <c r="H1006" i="10"/>
  <c r="H1007" i="10"/>
  <c r="H1008" i="10"/>
  <c r="H1009" i="10"/>
  <c r="H1010" i="10"/>
  <c r="H1011" i="10"/>
  <c r="H1012" i="10"/>
  <c r="H1013" i="10"/>
  <c r="H1014" i="10"/>
  <c r="H1015" i="10"/>
  <c r="H1016" i="10"/>
  <c r="H1017" i="10"/>
  <c r="H1018" i="10"/>
  <c r="H1019" i="10"/>
  <c r="H1020" i="10"/>
  <c r="H1021" i="10"/>
  <c r="H1022" i="10"/>
  <c r="H1023" i="10"/>
  <c r="H1024" i="10"/>
  <c r="H1025" i="10"/>
  <c r="H1026" i="10"/>
  <c r="H1027" i="10"/>
  <c r="H1028" i="10"/>
  <c r="H1029" i="10"/>
  <c r="H1030" i="10"/>
  <c r="H1031" i="10"/>
  <c r="H1032" i="10"/>
  <c r="H1033" i="10"/>
  <c r="H1034" i="10"/>
  <c r="H1035" i="10"/>
  <c r="H1036" i="10"/>
  <c r="H1037" i="10"/>
  <c r="H1038" i="10"/>
  <c r="H1039" i="10"/>
  <c r="H1040" i="10"/>
  <c r="H1041" i="10"/>
  <c r="H1042" i="10"/>
  <c r="H1043" i="10"/>
  <c r="H1044" i="10"/>
  <c r="H1045" i="10"/>
  <c r="H1046" i="10"/>
  <c r="H1047" i="10"/>
  <c r="H1048" i="10"/>
  <c r="H1049" i="10"/>
  <c r="H1050" i="10"/>
  <c r="H1051" i="10"/>
  <c r="H1052" i="10"/>
  <c r="H1053" i="10"/>
  <c r="H1054" i="10"/>
  <c r="H1055" i="10"/>
  <c r="H1056" i="10"/>
  <c r="H1057" i="10"/>
  <c r="H1058" i="10"/>
  <c r="H1059" i="10"/>
  <c r="H1060" i="10"/>
  <c r="H1061" i="10"/>
  <c r="H1062" i="10"/>
  <c r="H1063" i="10"/>
  <c r="H1064" i="10"/>
  <c r="H1065" i="10"/>
  <c r="H1066" i="10"/>
  <c r="H1067" i="10"/>
  <c r="H1068" i="10"/>
  <c r="H1069" i="10"/>
  <c r="H1070" i="10"/>
  <c r="H1071" i="10"/>
  <c r="H1072" i="10"/>
  <c r="H1073" i="10"/>
  <c r="H1074" i="10"/>
  <c r="H1075" i="10"/>
  <c r="H1076" i="10"/>
  <c r="H1077" i="10"/>
  <c r="H1078" i="10"/>
  <c r="H1079" i="10"/>
  <c r="H1080" i="10"/>
  <c r="H1081" i="10"/>
  <c r="H1082" i="10"/>
  <c r="H1083" i="10"/>
  <c r="H1084" i="10"/>
  <c r="H1085" i="10"/>
  <c r="H1086" i="10"/>
  <c r="H1087" i="10"/>
  <c r="H1088" i="10"/>
  <c r="H1089" i="10"/>
  <c r="H1090" i="10"/>
  <c r="H1091" i="10"/>
  <c r="H1092" i="10"/>
  <c r="H1093" i="10"/>
  <c r="H1094" i="10"/>
  <c r="H1095" i="10"/>
  <c r="H1096" i="10"/>
  <c r="H1097" i="10"/>
  <c r="H1098" i="10"/>
  <c r="H1099" i="10"/>
  <c r="H1100" i="10"/>
  <c r="H1101" i="10"/>
  <c r="H1102" i="10"/>
  <c r="H1103" i="10"/>
  <c r="H1104" i="10"/>
  <c r="H1105" i="10"/>
  <c r="H1106" i="10"/>
  <c r="H1107" i="10"/>
  <c r="H1108" i="10"/>
  <c r="H1109" i="10"/>
  <c r="H1110" i="10"/>
  <c r="H1111" i="10"/>
  <c r="H1112" i="10"/>
  <c r="H1113" i="10"/>
  <c r="H1114" i="10"/>
  <c r="H1115" i="10"/>
  <c r="H1116" i="10"/>
  <c r="H1117" i="10"/>
  <c r="H1118" i="10"/>
  <c r="H1119" i="10"/>
  <c r="H1120" i="10"/>
  <c r="H1121" i="10"/>
  <c r="H1122" i="10"/>
  <c r="H1123" i="10"/>
  <c r="H1124" i="10"/>
  <c r="H1125" i="10"/>
  <c r="H1126" i="10"/>
  <c r="H1127" i="10"/>
  <c r="H1128" i="10"/>
  <c r="H1129" i="10"/>
  <c r="H1130" i="10"/>
  <c r="H1131" i="10"/>
  <c r="H1132" i="10"/>
  <c r="H1133" i="10"/>
  <c r="H1134" i="10"/>
  <c r="H1135" i="10"/>
  <c r="H1136" i="10"/>
  <c r="H1137" i="10"/>
  <c r="H1138" i="10"/>
  <c r="H1139" i="10"/>
  <c r="H1140" i="10"/>
  <c r="H1141" i="10"/>
  <c r="H1142" i="10"/>
  <c r="H1143" i="10"/>
  <c r="H1144" i="10"/>
  <c r="H1145" i="10"/>
  <c r="H1146" i="10"/>
  <c r="H1147" i="10"/>
  <c r="H1148" i="10"/>
  <c r="H1149" i="10"/>
  <c r="H1150" i="10"/>
  <c r="H1151" i="10"/>
  <c r="H1152" i="10"/>
  <c r="H1153" i="10"/>
  <c r="H1154" i="10"/>
  <c r="H1155" i="10"/>
  <c r="H1156" i="10"/>
  <c r="H1157" i="10"/>
  <c r="H1158" i="10"/>
  <c r="H1159" i="10"/>
  <c r="H1160" i="10"/>
  <c r="H1161" i="10"/>
  <c r="H1162" i="10"/>
  <c r="H1163" i="10"/>
  <c r="H1164" i="10"/>
  <c r="H1165" i="10"/>
  <c r="H1166" i="10"/>
  <c r="H1167" i="10"/>
  <c r="H1168" i="10"/>
  <c r="H1169" i="10"/>
  <c r="H1170" i="10"/>
  <c r="H1171" i="10"/>
  <c r="H1172" i="10"/>
  <c r="H1173" i="10"/>
  <c r="H1174" i="10"/>
  <c r="H1175" i="10"/>
  <c r="H1176" i="10"/>
  <c r="H1177" i="10"/>
  <c r="H1178" i="10"/>
  <c r="H1179" i="10"/>
  <c r="H1180" i="10"/>
  <c r="H1181" i="10"/>
  <c r="H1182" i="10"/>
  <c r="H1183" i="10"/>
  <c r="H1184" i="10"/>
  <c r="H1185" i="10"/>
  <c r="H1186" i="10"/>
  <c r="H1187" i="10"/>
  <c r="H1188" i="10"/>
  <c r="H1189" i="10"/>
  <c r="H1190" i="10"/>
  <c r="H1191" i="10"/>
  <c r="H1192" i="10"/>
  <c r="H1193" i="10"/>
  <c r="H1194" i="10"/>
  <c r="H1195" i="10"/>
  <c r="H1196" i="10"/>
  <c r="H1197" i="10"/>
  <c r="H1198" i="10"/>
  <c r="H1199" i="10"/>
  <c r="H1200" i="10"/>
  <c r="H1201" i="10"/>
  <c r="H1202" i="10"/>
  <c r="H1203" i="10"/>
  <c r="H1204" i="10"/>
  <c r="H1205" i="10"/>
  <c r="H1206" i="10"/>
  <c r="H1207" i="10"/>
  <c r="H1208" i="10"/>
  <c r="H1209" i="10"/>
  <c r="H1210" i="10"/>
  <c r="H1211" i="10"/>
  <c r="H1212" i="10"/>
  <c r="H1213" i="10"/>
  <c r="H1214" i="10"/>
  <c r="H1215" i="10"/>
  <c r="H1216" i="10"/>
  <c r="H1217" i="10"/>
  <c r="H1218" i="10"/>
  <c r="H1219" i="10"/>
  <c r="H1220" i="10"/>
  <c r="H1221" i="10"/>
  <c r="H1222" i="10"/>
  <c r="H1223" i="10"/>
  <c r="H1224" i="10"/>
  <c r="H1225" i="10"/>
  <c r="H1226" i="10"/>
  <c r="H1227" i="10"/>
  <c r="H1228" i="10"/>
  <c r="H1229" i="10"/>
  <c r="H1230" i="10"/>
  <c r="H1231" i="10"/>
  <c r="H1232" i="10"/>
  <c r="H1233" i="10"/>
  <c r="H1234" i="10"/>
  <c r="H1235" i="10"/>
  <c r="H1236" i="10"/>
  <c r="H1237" i="10"/>
  <c r="H1238" i="10"/>
  <c r="H1239" i="10"/>
  <c r="H1240" i="10"/>
  <c r="H1241" i="10"/>
  <c r="H1242" i="10"/>
  <c r="H1243" i="10"/>
  <c r="H1244" i="10"/>
  <c r="H1245" i="10"/>
  <c r="H1246" i="10"/>
  <c r="H1247" i="10"/>
  <c r="H1248" i="10"/>
  <c r="H1249" i="10"/>
  <c r="H1250" i="10"/>
  <c r="H1251" i="10"/>
  <c r="H1252" i="10"/>
  <c r="H1253" i="10"/>
  <c r="H1254" i="10"/>
  <c r="H1255" i="10"/>
  <c r="H1256" i="10"/>
  <c r="H1257" i="10"/>
  <c r="H1258" i="10"/>
  <c r="H1259" i="10"/>
  <c r="H1260" i="10"/>
  <c r="H1261" i="10"/>
  <c r="H1262" i="10"/>
  <c r="H1263" i="10"/>
  <c r="H1264" i="10"/>
  <c r="H1265" i="10"/>
  <c r="H1266" i="10"/>
  <c r="H1267" i="10"/>
  <c r="H1268" i="10"/>
  <c r="H1269" i="10"/>
  <c r="H1270" i="10"/>
  <c r="H1271" i="10"/>
  <c r="H1272" i="10"/>
  <c r="H1273" i="10"/>
  <c r="H1274" i="10"/>
  <c r="H1275" i="10"/>
  <c r="H1276" i="10"/>
  <c r="H1277" i="10"/>
  <c r="H1278" i="10"/>
  <c r="H1279" i="10"/>
  <c r="H1280" i="10"/>
  <c r="H1281" i="10"/>
  <c r="H1282" i="10"/>
  <c r="H1283" i="10"/>
  <c r="H1284" i="10"/>
  <c r="H1285" i="10"/>
  <c r="H1286" i="10"/>
  <c r="H1287" i="10"/>
  <c r="H1288" i="10"/>
  <c r="H1289" i="10"/>
  <c r="H1290" i="10"/>
  <c r="H1291" i="10"/>
  <c r="H1292" i="10"/>
  <c r="H1293" i="10"/>
  <c r="H1294" i="10"/>
  <c r="H1295" i="10"/>
  <c r="H1296" i="10"/>
  <c r="H1297" i="10"/>
  <c r="H1298" i="10"/>
  <c r="H1299" i="10"/>
  <c r="H1300" i="10"/>
  <c r="H1301" i="10"/>
  <c r="H1302" i="10"/>
  <c r="H1303" i="10"/>
  <c r="H1304" i="10"/>
  <c r="H1305" i="10"/>
  <c r="H1306" i="10"/>
  <c r="H1307" i="10"/>
  <c r="H1308" i="10"/>
  <c r="H1309" i="10"/>
  <c r="H1310" i="10"/>
  <c r="H1311" i="10"/>
  <c r="H1312" i="10"/>
  <c r="H1313" i="10"/>
  <c r="H1314" i="10"/>
  <c r="H1315" i="10"/>
  <c r="H1316" i="10"/>
  <c r="H1317" i="10"/>
  <c r="H1318" i="10"/>
  <c r="H1319" i="10"/>
  <c r="H1320" i="10"/>
  <c r="H1321" i="10"/>
  <c r="H1322" i="10"/>
  <c r="H1323" i="10"/>
  <c r="H1324" i="10"/>
  <c r="H1325" i="10"/>
  <c r="H1326" i="10"/>
  <c r="H1327" i="10"/>
  <c r="H1328" i="10"/>
  <c r="H1329" i="10"/>
  <c r="H1330" i="10"/>
  <c r="H1331" i="10"/>
  <c r="H1332" i="10"/>
  <c r="H1333" i="10"/>
  <c r="H1334" i="10"/>
  <c r="H1335" i="10"/>
  <c r="H1336" i="10"/>
  <c r="H1337" i="10"/>
  <c r="H1338" i="10"/>
  <c r="H1339" i="10"/>
  <c r="H1340" i="10"/>
  <c r="H1341" i="10"/>
  <c r="H1342" i="10"/>
  <c r="H1343" i="10"/>
  <c r="H1344" i="10"/>
  <c r="H1345" i="10"/>
  <c r="H1346" i="10"/>
  <c r="H1347" i="10"/>
  <c r="H1348" i="10"/>
  <c r="H1349" i="10"/>
  <c r="H1350" i="10"/>
  <c r="H1351" i="10"/>
  <c r="H1352" i="10"/>
  <c r="H1353" i="10"/>
  <c r="H1354" i="10"/>
  <c r="H1355" i="10"/>
  <c r="H1356" i="10"/>
  <c r="H1357" i="10"/>
  <c r="H1358" i="10"/>
  <c r="H1359" i="10"/>
  <c r="H1360" i="10"/>
  <c r="H1361" i="10"/>
  <c r="H1362" i="10"/>
  <c r="H1363" i="10"/>
  <c r="H1364" i="10"/>
  <c r="H1365" i="10"/>
  <c r="H1366" i="10"/>
  <c r="H1367" i="10"/>
  <c r="H1368" i="10"/>
  <c r="H1369" i="10"/>
  <c r="H1370" i="10"/>
  <c r="H1371" i="10"/>
  <c r="H1372" i="10"/>
  <c r="H1373" i="10"/>
  <c r="H1374" i="10"/>
  <c r="H1375" i="10"/>
  <c r="H1376" i="10"/>
  <c r="H1377" i="10"/>
  <c r="H1378" i="10"/>
  <c r="H1379" i="10"/>
  <c r="H1380" i="10"/>
  <c r="H1381" i="10"/>
  <c r="H1382" i="10"/>
  <c r="H1383" i="10"/>
  <c r="H1384" i="10"/>
  <c r="H1385" i="10"/>
  <c r="H1386" i="10"/>
  <c r="H1387" i="10"/>
  <c r="H1388" i="10"/>
  <c r="H1389" i="10"/>
  <c r="H1390" i="10"/>
  <c r="H1391" i="10"/>
  <c r="H1392" i="10"/>
  <c r="H1393" i="10"/>
  <c r="H1394" i="10"/>
  <c r="H1395" i="10"/>
  <c r="H1396" i="10"/>
  <c r="H1397" i="10"/>
  <c r="H1398" i="10"/>
  <c r="H1399" i="10"/>
  <c r="H1400" i="10"/>
  <c r="H1401" i="10"/>
  <c r="H1402" i="10"/>
  <c r="H1403" i="10"/>
  <c r="H1404" i="10"/>
  <c r="H1405" i="10"/>
  <c r="H1406" i="10"/>
  <c r="H1407" i="10"/>
  <c r="H1408" i="10"/>
  <c r="H1409" i="10"/>
  <c r="H1410" i="10"/>
  <c r="H1411" i="10"/>
  <c r="H1412" i="10"/>
  <c r="H1413" i="10"/>
  <c r="H1414" i="10"/>
  <c r="H1415" i="10"/>
  <c r="H1416" i="10"/>
  <c r="H1417" i="10"/>
  <c r="H1418" i="10"/>
  <c r="H1419" i="10"/>
  <c r="H1420" i="10"/>
  <c r="H1421" i="10"/>
  <c r="H1422" i="10"/>
  <c r="H1423" i="10"/>
  <c r="H1424" i="10"/>
  <c r="H1425" i="10"/>
  <c r="H1426" i="10"/>
  <c r="H1427" i="10"/>
  <c r="H1428" i="10"/>
  <c r="H1429" i="10"/>
  <c r="H1430" i="10"/>
  <c r="H1431" i="10"/>
  <c r="H1432" i="10"/>
  <c r="H1433" i="10"/>
  <c r="H1434" i="10"/>
  <c r="H1435" i="10"/>
  <c r="H1436" i="10"/>
  <c r="H1437" i="10"/>
  <c r="H1438" i="10"/>
  <c r="H1439" i="10"/>
  <c r="H1440" i="10"/>
  <c r="H1441" i="10"/>
  <c r="H1442" i="10"/>
  <c r="H1443" i="10"/>
  <c r="H1444" i="10"/>
  <c r="H1445" i="10"/>
  <c r="H1446" i="10"/>
  <c r="H1447" i="10"/>
  <c r="H1448" i="10"/>
  <c r="H1449" i="10"/>
  <c r="H1450" i="10"/>
  <c r="H1451" i="10"/>
  <c r="H1452" i="10"/>
  <c r="H1453" i="10"/>
  <c r="H1454" i="10"/>
  <c r="H1455" i="10"/>
  <c r="H1456" i="10"/>
  <c r="H1457" i="10"/>
  <c r="H1458" i="10"/>
  <c r="H1459" i="10"/>
  <c r="H1460" i="10"/>
  <c r="H1461" i="10"/>
  <c r="H1462" i="10"/>
  <c r="H1463" i="10"/>
  <c r="H1464" i="10"/>
  <c r="H1465" i="10"/>
  <c r="H1466" i="10"/>
  <c r="H1467" i="10"/>
  <c r="H1468" i="10"/>
  <c r="H1469" i="10"/>
  <c r="H1470" i="10"/>
  <c r="H1471" i="10"/>
  <c r="H1472" i="10"/>
  <c r="H1473" i="10"/>
  <c r="H1474" i="10"/>
  <c r="H1475" i="10"/>
  <c r="H1476" i="10"/>
  <c r="H1477" i="10"/>
  <c r="H1478" i="10"/>
  <c r="H1479" i="10"/>
  <c r="H1480" i="10"/>
  <c r="H1481" i="10"/>
  <c r="H1482" i="10"/>
  <c r="H1483" i="10"/>
  <c r="H1484" i="10"/>
  <c r="H1485" i="10"/>
  <c r="H1486" i="10"/>
  <c r="H1487" i="10"/>
  <c r="H1488" i="10"/>
  <c r="H1489" i="10"/>
  <c r="H1490" i="10"/>
  <c r="H1491" i="10"/>
  <c r="H1492" i="10"/>
  <c r="H1493" i="10"/>
  <c r="H1494" i="10"/>
  <c r="H1495" i="10"/>
  <c r="H1496" i="10"/>
  <c r="H1497" i="10"/>
  <c r="H1498" i="10"/>
  <c r="H1499" i="10"/>
  <c r="H1500" i="10"/>
  <c r="H1501" i="10"/>
  <c r="H1502" i="10"/>
  <c r="H1503" i="10"/>
  <c r="H1504" i="10"/>
  <c r="H1505" i="10"/>
  <c r="H1506" i="10"/>
  <c r="H1507" i="10"/>
  <c r="H1508" i="10"/>
  <c r="H1509" i="10"/>
  <c r="H1510" i="10"/>
  <c r="H1511" i="10"/>
  <c r="H1512" i="10"/>
  <c r="H1513" i="10"/>
  <c r="H1514" i="10"/>
  <c r="H1515" i="10"/>
  <c r="H1516" i="10"/>
  <c r="H1517" i="10"/>
  <c r="H1518" i="10"/>
  <c r="H1519" i="10"/>
  <c r="H1520" i="10"/>
  <c r="H1521" i="10"/>
  <c r="H1522" i="10"/>
  <c r="H1523" i="10"/>
  <c r="H1524" i="10"/>
  <c r="H1525" i="10"/>
  <c r="H1526" i="10"/>
  <c r="H1527" i="10"/>
  <c r="H1528" i="10"/>
  <c r="H1529" i="10"/>
  <c r="H1530" i="10"/>
  <c r="H1531" i="10"/>
  <c r="H1532" i="10"/>
  <c r="H1533" i="10"/>
  <c r="H1534" i="10"/>
  <c r="H1535" i="10"/>
  <c r="H1536" i="10"/>
  <c r="H1537" i="10"/>
  <c r="H1538" i="10"/>
  <c r="H1539" i="10"/>
  <c r="H1540" i="10"/>
  <c r="H1541" i="10"/>
  <c r="H1542" i="10"/>
  <c r="H1543" i="10"/>
  <c r="H1544" i="10"/>
  <c r="H1545" i="10"/>
  <c r="H1546" i="10"/>
  <c r="H1547" i="10"/>
  <c r="H1548" i="10"/>
  <c r="H1549" i="10"/>
  <c r="H1550" i="10"/>
  <c r="H1551" i="10"/>
  <c r="H1552" i="10"/>
  <c r="H1553" i="10"/>
  <c r="H1554" i="10"/>
  <c r="H1555" i="10"/>
  <c r="H1556" i="10"/>
  <c r="H1557" i="10"/>
  <c r="H1558" i="10"/>
  <c r="H1559" i="10"/>
  <c r="H1560" i="10"/>
  <c r="H1561" i="10"/>
  <c r="H1562" i="10"/>
  <c r="H1563" i="10"/>
  <c r="H1564" i="10"/>
  <c r="H1565" i="10"/>
  <c r="H1566" i="10"/>
  <c r="H1567" i="10"/>
  <c r="H1568" i="10"/>
  <c r="H1569" i="10"/>
  <c r="H1570" i="10"/>
  <c r="H1571" i="10"/>
  <c r="H1572" i="10"/>
  <c r="H1573" i="10"/>
  <c r="H1574" i="10"/>
  <c r="H1575" i="10"/>
  <c r="H1576" i="10"/>
  <c r="H1577" i="10"/>
  <c r="H1578" i="10"/>
  <c r="H1579" i="10"/>
  <c r="H1580" i="10"/>
  <c r="H1581" i="10"/>
  <c r="H1582" i="10"/>
  <c r="H1583" i="10"/>
  <c r="H1584" i="10"/>
  <c r="H1585" i="10"/>
  <c r="H1586" i="10"/>
  <c r="H1587" i="10"/>
  <c r="H1588" i="10"/>
  <c r="H1589" i="10"/>
  <c r="H1590" i="10"/>
  <c r="H1591" i="10"/>
  <c r="H1592" i="10"/>
  <c r="H1593" i="10"/>
  <c r="H1594" i="10"/>
  <c r="H1595" i="10"/>
  <c r="H1596" i="10"/>
  <c r="H1597" i="10"/>
  <c r="H1598" i="10"/>
  <c r="H1599" i="10"/>
  <c r="H1600" i="10"/>
  <c r="H1601" i="10"/>
  <c r="H1602" i="10"/>
  <c r="H1603" i="10"/>
  <c r="H1604" i="10"/>
  <c r="H1605" i="10"/>
  <c r="H1606" i="10"/>
  <c r="H1607" i="10"/>
  <c r="H1608" i="10"/>
  <c r="H1609" i="10"/>
  <c r="H1610" i="10"/>
  <c r="H1611" i="10"/>
  <c r="H1612" i="10"/>
  <c r="H1613" i="10"/>
  <c r="H1614" i="10"/>
  <c r="H1615" i="10"/>
  <c r="H1616" i="10"/>
  <c r="H1617" i="10"/>
  <c r="H1618" i="10"/>
  <c r="H1619" i="10"/>
  <c r="H1620" i="10"/>
  <c r="H1621" i="10"/>
  <c r="H1622" i="10"/>
  <c r="H1623" i="10"/>
  <c r="H1624" i="10"/>
  <c r="H1625" i="10"/>
  <c r="H1626" i="10"/>
  <c r="H1627" i="10"/>
  <c r="H1628" i="10"/>
  <c r="H1629" i="10"/>
  <c r="H1630" i="10"/>
  <c r="H1631" i="10"/>
  <c r="H1632" i="10"/>
  <c r="H1633" i="10"/>
  <c r="H1634" i="10"/>
  <c r="H1635" i="10"/>
  <c r="H1636" i="10"/>
  <c r="H1637" i="10"/>
  <c r="H1638" i="10"/>
  <c r="H1639" i="10"/>
  <c r="H1640" i="10"/>
  <c r="H1641" i="10"/>
  <c r="H1642" i="10"/>
  <c r="H1643" i="10"/>
  <c r="H1644" i="10"/>
  <c r="H1645" i="10"/>
  <c r="H1646" i="10"/>
  <c r="H1647" i="10"/>
  <c r="H1648" i="10"/>
  <c r="H1649" i="10"/>
  <c r="H1650" i="10"/>
  <c r="H1651" i="10"/>
  <c r="H1652" i="10"/>
  <c r="H1653" i="10"/>
  <c r="H1654" i="10"/>
  <c r="H1655" i="10"/>
  <c r="H1656" i="10"/>
  <c r="H1657" i="10"/>
  <c r="H1658" i="10"/>
  <c r="H1659" i="10"/>
  <c r="H1660" i="10"/>
  <c r="H1661" i="10"/>
  <c r="H1662" i="10"/>
  <c r="H1663" i="10"/>
  <c r="H1664" i="10"/>
  <c r="H1665" i="10"/>
  <c r="H1666" i="10"/>
  <c r="H1667" i="10"/>
  <c r="H1668" i="10"/>
  <c r="H1669" i="10"/>
  <c r="H1670" i="10"/>
  <c r="H1671" i="10"/>
  <c r="H1672" i="10"/>
  <c r="H1673" i="10"/>
  <c r="H1674" i="10"/>
  <c r="H1675" i="10"/>
  <c r="H1676" i="10"/>
  <c r="H1677" i="10"/>
  <c r="H1678" i="10"/>
  <c r="H1679" i="10"/>
  <c r="H1680" i="10"/>
  <c r="H1681" i="10"/>
  <c r="H1682" i="10"/>
  <c r="H1683" i="10"/>
  <c r="H1684" i="10"/>
  <c r="H1685" i="10"/>
  <c r="H1686" i="10"/>
  <c r="H1687" i="10"/>
  <c r="H1688" i="10"/>
  <c r="H1689" i="10"/>
  <c r="H1690" i="10"/>
  <c r="H1691" i="10"/>
  <c r="H1692" i="10"/>
  <c r="H1693" i="10"/>
  <c r="H1694" i="10"/>
  <c r="H1695" i="10"/>
  <c r="H1696" i="10"/>
  <c r="H1697" i="10"/>
  <c r="H1698" i="10"/>
  <c r="H1699" i="10"/>
  <c r="H1700" i="10"/>
  <c r="H1701" i="10"/>
  <c r="H1702" i="10"/>
  <c r="H1703" i="10"/>
  <c r="H1704" i="10"/>
  <c r="H1705" i="10"/>
  <c r="H1706" i="10"/>
  <c r="H1707" i="10"/>
  <c r="H1708" i="10"/>
  <c r="H1709" i="10"/>
  <c r="H1710" i="10"/>
  <c r="H1711" i="10"/>
  <c r="H1712" i="10"/>
  <c r="H1713" i="10"/>
  <c r="H1714" i="10"/>
  <c r="H1715" i="10"/>
  <c r="H1716" i="10"/>
  <c r="H1717" i="10"/>
  <c r="H1718" i="10"/>
  <c r="H1719" i="10"/>
  <c r="H1720" i="10"/>
  <c r="H1721" i="10"/>
  <c r="H1722" i="10"/>
  <c r="H1723" i="10"/>
  <c r="H1724" i="10"/>
  <c r="H1725" i="10"/>
  <c r="H1726" i="10"/>
  <c r="H1727" i="10"/>
  <c r="H1728" i="10"/>
  <c r="H1729" i="10"/>
  <c r="H1730" i="10"/>
  <c r="H1731" i="10"/>
  <c r="H1732" i="10"/>
  <c r="H1733" i="10"/>
  <c r="H1734" i="10"/>
  <c r="H1735" i="10"/>
  <c r="H1736" i="10"/>
  <c r="H1737" i="10"/>
  <c r="H1738" i="10"/>
  <c r="H1739" i="10"/>
  <c r="H1740" i="10"/>
  <c r="H1741" i="10"/>
  <c r="H1742" i="10"/>
  <c r="H1743" i="10"/>
  <c r="H1744" i="10"/>
  <c r="H1745" i="10"/>
  <c r="H1746" i="10"/>
  <c r="H1747" i="10"/>
  <c r="H1748" i="10"/>
  <c r="H1749" i="10"/>
  <c r="H1750" i="10"/>
  <c r="H1751" i="10"/>
  <c r="H1752" i="10"/>
  <c r="H1753" i="10"/>
  <c r="H1754" i="10"/>
  <c r="H1755" i="10"/>
  <c r="H1756" i="10"/>
  <c r="H1757" i="10"/>
  <c r="H1758" i="10"/>
  <c r="H1759" i="10"/>
  <c r="H1760" i="10"/>
  <c r="H1761" i="10"/>
  <c r="H1762" i="10"/>
  <c r="H1763" i="10"/>
  <c r="H1764" i="10"/>
  <c r="H1765" i="10"/>
  <c r="H1766" i="10"/>
  <c r="H1767" i="10"/>
  <c r="H1768" i="10"/>
  <c r="H1769" i="10"/>
  <c r="H1770" i="10"/>
  <c r="H1771" i="10"/>
  <c r="H1772" i="10"/>
  <c r="H1773" i="10"/>
  <c r="H1774" i="10"/>
  <c r="H1775" i="10"/>
  <c r="H1776" i="10"/>
  <c r="H1777" i="10"/>
  <c r="H1778" i="10"/>
  <c r="H1779" i="10"/>
  <c r="H1780" i="10"/>
  <c r="H1781" i="10"/>
  <c r="H1782" i="10"/>
  <c r="H1783" i="10"/>
  <c r="H1784" i="10"/>
  <c r="H1785" i="10"/>
  <c r="H1786" i="10"/>
  <c r="H1787" i="10"/>
  <c r="H1788" i="10"/>
  <c r="H1789" i="10"/>
  <c r="H1790" i="10"/>
  <c r="H1791" i="10"/>
  <c r="H1792" i="10"/>
  <c r="H1793" i="10"/>
  <c r="H1794" i="10"/>
  <c r="H1795" i="10"/>
  <c r="H1796" i="10"/>
  <c r="H1797" i="10"/>
  <c r="H1798" i="10"/>
  <c r="H1799" i="10"/>
  <c r="H1800" i="10"/>
  <c r="H1801" i="10"/>
  <c r="H1802" i="10"/>
  <c r="H1803" i="10"/>
  <c r="H1804" i="10"/>
  <c r="H1805" i="10"/>
  <c r="H1806" i="10"/>
  <c r="H1807" i="10"/>
  <c r="H1808" i="10"/>
  <c r="H1809" i="10"/>
  <c r="H1810" i="10"/>
  <c r="H1811" i="10"/>
  <c r="H1812" i="10"/>
  <c r="H1813" i="10"/>
  <c r="H1814" i="10"/>
  <c r="H1815" i="10"/>
  <c r="H1816" i="10"/>
  <c r="H1817" i="10"/>
  <c r="H1818" i="10"/>
  <c r="H1819" i="10"/>
  <c r="H1820" i="10"/>
  <c r="H1821" i="10"/>
  <c r="H1822" i="10"/>
  <c r="H1823" i="10"/>
  <c r="H1824" i="10"/>
  <c r="H1825" i="10"/>
  <c r="H1826" i="10"/>
  <c r="H1827" i="10"/>
  <c r="H1828" i="10"/>
  <c r="H1829" i="10"/>
  <c r="H1830" i="10"/>
  <c r="H1831" i="10"/>
  <c r="H1832" i="10"/>
  <c r="H1833" i="10"/>
  <c r="H1834" i="10"/>
  <c r="H1835" i="10"/>
  <c r="H1836" i="10"/>
  <c r="H1837" i="10"/>
  <c r="H1838" i="10"/>
  <c r="H1839" i="10"/>
  <c r="H1840" i="10"/>
  <c r="H1841" i="10"/>
  <c r="H1842" i="10"/>
  <c r="H1843" i="10"/>
  <c r="H1844" i="10"/>
  <c r="H1845" i="10"/>
  <c r="H1846" i="10"/>
  <c r="H1847" i="10"/>
  <c r="H1848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20" i="10"/>
  <c r="D321" i="10"/>
  <c r="D322" i="10"/>
  <c r="D323" i="10"/>
  <c r="I323" i="10" s="1"/>
  <c r="D324" i="10"/>
  <c r="D325" i="10"/>
  <c r="D326" i="10"/>
  <c r="D327" i="10"/>
  <c r="I327" i="10" s="1"/>
  <c r="D328" i="10"/>
  <c r="D329" i="10"/>
  <c r="D330" i="10"/>
  <c r="D331" i="10"/>
  <c r="I331" i="10" s="1"/>
  <c r="D332" i="10"/>
  <c r="D333" i="10"/>
  <c r="D335" i="10"/>
  <c r="I335" i="10" s="1"/>
  <c r="D336" i="10"/>
  <c r="I336" i="10" s="1"/>
  <c r="D337" i="10"/>
  <c r="D338" i="10"/>
  <c r="D339" i="10"/>
  <c r="I339" i="10" s="1"/>
  <c r="D340" i="10"/>
  <c r="D341" i="10"/>
  <c r="D342" i="10"/>
  <c r="D343" i="10"/>
  <c r="I343" i="10" s="1"/>
  <c r="D344" i="10"/>
  <c r="D345" i="10"/>
  <c r="D346" i="10"/>
  <c r="D347" i="10"/>
  <c r="I347" i="10" s="1"/>
  <c r="D348" i="10"/>
  <c r="I348" i="10" s="1"/>
  <c r="D349" i="10"/>
  <c r="D350" i="10"/>
  <c r="D351" i="10"/>
  <c r="I351" i="10" s="1"/>
  <c r="D352" i="10"/>
  <c r="I352" i="10" s="1"/>
  <c r="D353" i="10"/>
  <c r="D354" i="10"/>
  <c r="D356" i="10"/>
  <c r="I356" i="10" s="1"/>
  <c r="D357" i="10"/>
  <c r="I357" i="10" s="1"/>
  <c r="D358" i="10"/>
  <c r="D359" i="10"/>
  <c r="D360" i="10"/>
  <c r="I360" i="10" s="1"/>
  <c r="D361" i="10"/>
  <c r="D362" i="10"/>
  <c r="D363" i="10"/>
  <c r="D364" i="10"/>
  <c r="I364" i="10" s="1"/>
  <c r="D365" i="10"/>
  <c r="I365" i="10" s="1"/>
  <c r="D366" i="10"/>
  <c r="D367" i="10"/>
  <c r="D368" i="10"/>
  <c r="I368" i="10" s="1"/>
  <c r="D369" i="10"/>
  <c r="I369" i="10" s="1"/>
  <c r="D370" i="10"/>
  <c r="D371" i="10"/>
  <c r="D372" i="10"/>
  <c r="I372" i="10" s="1"/>
  <c r="D373" i="10"/>
  <c r="I373" i="10" s="1"/>
  <c r="D374" i="10"/>
  <c r="D375" i="10"/>
  <c r="D376" i="10"/>
  <c r="I376" i="10" s="1"/>
  <c r="D377" i="10"/>
  <c r="I377" i="10" s="1"/>
  <c r="D378" i="10"/>
  <c r="D379" i="10"/>
  <c r="D380" i="10"/>
  <c r="I380" i="10" s="1"/>
  <c r="D381" i="10"/>
  <c r="I381" i="10" s="1"/>
  <c r="D382" i="10"/>
  <c r="D383" i="10"/>
  <c r="D384" i="10"/>
  <c r="I384" i="10" s="1"/>
  <c r="D385" i="10"/>
  <c r="D386" i="10"/>
  <c r="D387" i="10"/>
  <c r="D388" i="10"/>
  <c r="I388" i="10" s="1"/>
  <c r="D389" i="10"/>
  <c r="I389" i="10" s="1"/>
  <c r="D390" i="10"/>
  <c r="D391" i="10"/>
  <c r="D392" i="10"/>
  <c r="I392" i="10" s="1"/>
  <c r="D393" i="10"/>
  <c r="D394" i="10"/>
  <c r="D395" i="10"/>
  <c r="D396" i="10"/>
  <c r="I396" i="10" s="1"/>
  <c r="D397" i="10"/>
  <c r="I397" i="10" s="1"/>
  <c r="D398" i="10"/>
  <c r="D399" i="10"/>
  <c r="D400" i="10"/>
  <c r="I400" i="10" s="1"/>
  <c r="D401" i="10"/>
  <c r="I401" i="10" s="1"/>
  <c r="D402" i="10"/>
  <c r="D404" i="10"/>
  <c r="D405" i="10"/>
  <c r="D406" i="10"/>
  <c r="I406" i="10" s="1"/>
  <c r="D408" i="10"/>
  <c r="D409" i="10"/>
  <c r="D410" i="10"/>
  <c r="I410" i="10" s="1"/>
  <c r="D412" i="10"/>
  <c r="I412" i="10" s="1"/>
  <c r="D413" i="10"/>
  <c r="D414" i="10"/>
  <c r="D415" i="10"/>
  <c r="I415" i="10" s="1"/>
  <c r="D416" i="10"/>
  <c r="I416" i="10" s="1"/>
  <c r="D417" i="10"/>
  <c r="D418" i="10"/>
  <c r="D420" i="10"/>
  <c r="I420" i="10" s="1"/>
  <c r="D421" i="10"/>
  <c r="I421" i="10" s="1"/>
  <c r="D422" i="10"/>
  <c r="D423" i="10"/>
  <c r="D424" i="10"/>
  <c r="I424" i="10" s="1"/>
  <c r="D425" i="10"/>
  <c r="I425" i="10" s="1"/>
  <c r="D426" i="10"/>
  <c r="D427" i="10"/>
  <c r="D428" i="10"/>
  <c r="I428" i="10" s="1"/>
  <c r="D429" i="10"/>
  <c r="I429" i="10" s="1"/>
  <c r="D430" i="10"/>
  <c r="D431" i="10"/>
  <c r="D432" i="10"/>
  <c r="I432" i="10" s="1"/>
  <c r="D433" i="10"/>
  <c r="D434" i="10"/>
  <c r="D435" i="10"/>
  <c r="D436" i="10"/>
  <c r="I436" i="10" s="1"/>
  <c r="D437" i="10"/>
  <c r="I437" i="10" s="1"/>
  <c r="D438" i="10"/>
  <c r="D439" i="10"/>
  <c r="D440" i="10"/>
  <c r="I440" i="10" s="1"/>
  <c r="D441" i="10"/>
  <c r="D442" i="10"/>
  <c r="D443" i="10"/>
  <c r="D444" i="10"/>
  <c r="I444" i="10" s="1"/>
  <c r="D445" i="10"/>
  <c r="I445" i="10" s="1"/>
  <c r="D446" i="10"/>
  <c r="D447" i="10"/>
  <c r="D448" i="10"/>
  <c r="I448" i="10" s="1"/>
  <c r="D449" i="10"/>
  <c r="I449" i="10" s="1"/>
  <c r="D450" i="10"/>
  <c r="D451" i="10"/>
  <c r="D452" i="10"/>
  <c r="I452" i="10" s="1"/>
  <c r="D453" i="10"/>
  <c r="I453" i="10" s="1"/>
  <c r="D454" i="10"/>
  <c r="D455" i="10"/>
  <c r="D456" i="10"/>
  <c r="I456" i="10" s="1"/>
  <c r="D457" i="10"/>
  <c r="I457" i="10" s="1"/>
  <c r="D458" i="10"/>
  <c r="D459" i="10"/>
  <c r="D460" i="10"/>
  <c r="I460" i="10" s="1"/>
  <c r="D461" i="10"/>
  <c r="I461" i="10" s="1"/>
  <c r="D462" i="10"/>
  <c r="D463" i="10"/>
  <c r="D464" i="10"/>
  <c r="I464" i="10" s="1"/>
  <c r="D465" i="10"/>
  <c r="D466" i="10"/>
  <c r="D467" i="10"/>
  <c r="D468" i="10"/>
  <c r="I468" i="10" s="1"/>
  <c r="D469" i="10"/>
  <c r="I469" i="10" s="1"/>
  <c r="D470" i="10"/>
  <c r="D471" i="10"/>
  <c r="D472" i="10"/>
  <c r="I472" i="10" s="1"/>
  <c r="D473" i="10"/>
  <c r="D474" i="10"/>
  <c r="D475" i="10"/>
  <c r="D476" i="10"/>
  <c r="I476" i="10" s="1"/>
  <c r="D477" i="10"/>
  <c r="I477" i="10" s="1"/>
  <c r="D478" i="10"/>
  <c r="D479" i="10"/>
  <c r="D480" i="10"/>
  <c r="I480" i="10" s="1"/>
  <c r="D481" i="10"/>
  <c r="I481" i="10" s="1"/>
  <c r="D482" i="10"/>
  <c r="D483" i="10"/>
  <c r="D484" i="10"/>
  <c r="I484" i="10" s="1"/>
  <c r="D485" i="10"/>
  <c r="I485" i="10" s="1"/>
  <c r="D486" i="10"/>
  <c r="D487" i="10"/>
  <c r="D488" i="10"/>
  <c r="I488" i="10" s="1"/>
  <c r="D489" i="10"/>
  <c r="I489" i="10" s="1"/>
  <c r="D490" i="10"/>
  <c r="D491" i="10"/>
  <c r="D492" i="10"/>
  <c r="I492" i="10" s="1"/>
  <c r="D493" i="10"/>
  <c r="I493" i="10" s="1"/>
  <c r="D494" i="10"/>
  <c r="D495" i="10"/>
  <c r="D496" i="10"/>
  <c r="I496" i="10" s="1"/>
  <c r="D497" i="10"/>
  <c r="D498" i="10"/>
  <c r="D499" i="10"/>
  <c r="D500" i="10"/>
  <c r="D501" i="10"/>
  <c r="D502" i="10"/>
  <c r="D503" i="10"/>
  <c r="D504" i="10"/>
  <c r="I504" i="10" s="1"/>
  <c r="D505" i="10"/>
  <c r="D506" i="10"/>
  <c r="D507" i="10"/>
  <c r="D508" i="10"/>
  <c r="I508" i="10" s="1"/>
  <c r="D509" i="10"/>
  <c r="I509" i="10" s="1"/>
  <c r="D510" i="10"/>
  <c r="D511" i="10"/>
  <c r="D512" i="10"/>
  <c r="D513" i="10"/>
  <c r="I513" i="10" s="1"/>
  <c r="D514" i="10"/>
  <c r="D515" i="10"/>
  <c r="D516" i="10"/>
  <c r="D517" i="10"/>
  <c r="I517" i="10" s="1"/>
  <c r="D518" i="10"/>
  <c r="D519" i="10"/>
  <c r="D520" i="10"/>
  <c r="I520" i="10" s="1"/>
  <c r="D521" i="10"/>
  <c r="D522" i="10"/>
  <c r="D523" i="10"/>
  <c r="D524" i="10"/>
  <c r="I524" i="10" s="1"/>
  <c r="D525" i="10"/>
  <c r="I525" i="10" s="1"/>
  <c r="D526" i="10"/>
  <c r="D527" i="10"/>
  <c r="D528" i="10"/>
  <c r="I528" i="10" s="1"/>
  <c r="D529" i="10"/>
  <c r="I529" i="10" s="1"/>
  <c r="D530" i="10"/>
  <c r="D531" i="10"/>
  <c r="D532" i="10"/>
  <c r="D533" i="10"/>
  <c r="I533" i="10" s="1"/>
  <c r="D534" i="10"/>
  <c r="D535" i="10"/>
  <c r="D536" i="10"/>
  <c r="I536" i="10" s="1"/>
  <c r="D537" i="10"/>
  <c r="I537" i="10" s="1"/>
  <c r="D538" i="10"/>
  <c r="D539" i="10"/>
  <c r="D540" i="10"/>
  <c r="I540" i="10" s="1"/>
  <c r="D541" i="10"/>
  <c r="I541" i="10" s="1"/>
  <c r="D542" i="10"/>
  <c r="D543" i="10"/>
  <c r="D544" i="10"/>
  <c r="I544" i="10" s="1"/>
  <c r="D545" i="10"/>
  <c r="I545" i="10" s="1"/>
  <c r="D546" i="10"/>
  <c r="D547" i="10"/>
  <c r="D548" i="10"/>
  <c r="I548" i="10" s="1"/>
  <c r="D549" i="10"/>
  <c r="I549" i="10" s="1"/>
  <c r="D550" i="10"/>
  <c r="D551" i="10"/>
  <c r="D552" i="10"/>
  <c r="I552" i="10" s="1"/>
  <c r="D553" i="10"/>
  <c r="I553" i="10" s="1"/>
  <c r="D554" i="10"/>
  <c r="D555" i="10"/>
  <c r="D556" i="10"/>
  <c r="I556" i="10" s="1"/>
  <c r="D557" i="10"/>
  <c r="I557" i="10" s="1"/>
  <c r="D558" i="10"/>
  <c r="D559" i="10"/>
  <c r="D560" i="10"/>
  <c r="I560" i="10" s="1"/>
  <c r="D561" i="10"/>
  <c r="D562" i="10"/>
  <c r="D563" i="10"/>
  <c r="D564" i="10"/>
  <c r="D565" i="10"/>
  <c r="I565" i="10" s="1"/>
  <c r="D566" i="10"/>
  <c r="D567" i="10"/>
  <c r="D568" i="10"/>
  <c r="I568" i="10" s="1"/>
  <c r="D569" i="10"/>
  <c r="I569" i="10" s="1"/>
  <c r="D570" i="10"/>
  <c r="D571" i="10"/>
  <c r="D572" i="10"/>
  <c r="I572" i="10" s="1"/>
  <c r="D573" i="10"/>
  <c r="D574" i="10"/>
  <c r="D575" i="10"/>
  <c r="D576" i="10"/>
  <c r="I576" i="10" s="1"/>
  <c r="D577" i="10"/>
  <c r="I577" i="10" s="1"/>
  <c r="D578" i="10"/>
  <c r="D579" i="10"/>
  <c r="D580" i="10"/>
  <c r="I580" i="10" s="1"/>
  <c r="D581" i="10"/>
  <c r="I581" i="10" s="1"/>
  <c r="D582" i="10"/>
  <c r="D583" i="10"/>
  <c r="D584" i="10"/>
  <c r="I584" i="10" s="1"/>
  <c r="D585" i="10"/>
  <c r="I585" i="10" s="1"/>
  <c r="D586" i="10"/>
  <c r="D587" i="10"/>
  <c r="D588" i="10"/>
  <c r="I588" i="10" s="1"/>
  <c r="D589" i="10"/>
  <c r="I589" i="10" s="1"/>
  <c r="D590" i="10"/>
  <c r="D591" i="10"/>
  <c r="D592" i="10"/>
  <c r="I592" i="10" s="1"/>
  <c r="D593" i="10"/>
  <c r="I593" i="10" s="1"/>
  <c r="D594" i="10"/>
  <c r="D595" i="10"/>
  <c r="D596" i="10"/>
  <c r="I596" i="10" s="1"/>
  <c r="D597" i="10"/>
  <c r="I597" i="10" s="1"/>
  <c r="D598" i="10"/>
  <c r="D599" i="10"/>
  <c r="D600" i="10"/>
  <c r="I600" i="10" s="1"/>
  <c r="D601" i="10"/>
  <c r="D602" i="10"/>
  <c r="D603" i="10"/>
  <c r="D604" i="10"/>
  <c r="I604" i="10" s="1"/>
  <c r="D605" i="10"/>
  <c r="I605" i="10" s="1"/>
  <c r="D606" i="10"/>
  <c r="D607" i="10"/>
  <c r="D608" i="10"/>
  <c r="I608" i="10" s="1"/>
  <c r="D609" i="10"/>
  <c r="I609" i="10" s="1"/>
  <c r="D610" i="10"/>
  <c r="D611" i="10"/>
  <c r="D612" i="10"/>
  <c r="I612" i="10" s="1"/>
  <c r="D613" i="10"/>
  <c r="I613" i="10" s="1"/>
  <c r="D614" i="10"/>
  <c r="D615" i="10"/>
  <c r="D616" i="10"/>
  <c r="I616" i="10" s="1"/>
  <c r="D617" i="10"/>
  <c r="D618" i="10"/>
  <c r="D619" i="10"/>
  <c r="D620" i="10"/>
  <c r="I620" i="10" s="1"/>
  <c r="D621" i="10"/>
  <c r="I621" i="10" s="1"/>
  <c r="D622" i="10"/>
  <c r="D623" i="10"/>
  <c r="D624" i="10"/>
  <c r="D625" i="10"/>
  <c r="I625" i="10" s="1"/>
  <c r="D626" i="10"/>
  <c r="D627" i="10"/>
  <c r="D628" i="10"/>
  <c r="I628" i="10" s="1"/>
  <c r="D629" i="10"/>
  <c r="D630" i="10"/>
  <c r="D631" i="10"/>
  <c r="D632" i="10"/>
  <c r="D633" i="10"/>
  <c r="I633" i="10" s="1"/>
  <c r="D634" i="10"/>
  <c r="D635" i="10"/>
  <c r="D636" i="10"/>
  <c r="D637" i="10"/>
  <c r="I637" i="10" s="1"/>
  <c r="D638" i="10"/>
  <c r="D639" i="10"/>
  <c r="D640" i="10"/>
  <c r="I640" i="10" s="1"/>
  <c r="D641" i="10"/>
  <c r="I641" i="10" s="1"/>
  <c r="D642" i="10"/>
  <c r="D643" i="10"/>
  <c r="D644" i="10"/>
  <c r="I644" i="10" s="1"/>
  <c r="D645" i="10"/>
  <c r="I645" i="10" s="1"/>
  <c r="D646" i="10"/>
  <c r="D647" i="10"/>
  <c r="D648" i="10"/>
  <c r="I648" i="10" s="1"/>
  <c r="D649" i="10"/>
  <c r="I649" i="10" s="1"/>
  <c r="D650" i="10"/>
  <c r="D651" i="10"/>
  <c r="D652" i="10"/>
  <c r="I652" i="10" s="1"/>
  <c r="D653" i="10"/>
  <c r="I653" i="10" s="1"/>
  <c r="D654" i="10"/>
  <c r="D655" i="10"/>
  <c r="D656" i="10"/>
  <c r="I656" i="10" s="1"/>
  <c r="D657" i="10"/>
  <c r="I657" i="10" s="1"/>
  <c r="D658" i="10"/>
  <c r="D659" i="10"/>
  <c r="D660" i="10"/>
  <c r="I660" i="10" s="1"/>
  <c r="D661" i="10"/>
  <c r="I661" i="10" s="1"/>
  <c r="D662" i="10"/>
  <c r="D663" i="10"/>
  <c r="D664" i="10"/>
  <c r="I664" i="10" s="1"/>
  <c r="D665" i="10"/>
  <c r="D666" i="10"/>
  <c r="D667" i="10"/>
  <c r="D668" i="10"/>
  <c r="I668" i="10" s="1"/>
  <c r="D669" i="10"/>
  <c r="I669" i="10" s="1"/>
  <c r="D670" i="10"/>
  <c r="D671" i="10"/>
  <c r="D672" i="10"/>
  <c r="I672" i="10" s="1"/>
  <c r="D673" i="10"/>
  <c r="I673" i="10" s="1"/>
  <c r="D674" i="10"/>
  <c r="D675" i="10"/>
  <c r="D676" i="10"/>
  <c r="I676" i="10" s="1"/>
  <c r="D677" i="10"/>
  <c r="I677" i="10" s="1"/>
  <c r="D678" i="10"/>
  <c r="D679" i="10"/>
  <c r="D680" i="10"/>
  <c r="I680" i="10" s="1"/>
  <c r="D681" i="10"/>
  <c r="I681" i="10" s="1"/>
  <c r="D682" i="10"/>
  <c r="D683" i="10"/>
  <c r="D684" i="10"/>
  <c r="I684" i="10" s="1"/>
  <c r="D685" i="10"/>
  <c r="I685" i="10" s="1"/>
  <c r="D686" i="10"/>
  <c r="D687" i="10"/>
  <c r="D688" i="10"/>
  <c r="I688" i="10" s="1"/>
  <c r="D689" i="10"/>
  <c r="D690" i="10"/>
  <c r="D691" i="10"/>
  <c r="D692" i="10"/>
  <c r="I692" i="10" s="1"/>
  <c r="D693" i="10"/>
  <c r="I693" i="10" s="1"/>
  <c r="D694" i="10"/>
  <c r="D695" i="10"/>
  <c r="D696" i="10"/>
  <c r="I696" i="10" s="1"/>
  <c r="D697" i="10"/>
  <c r="I697" i="10" s="1"/>
  <c r="D698" i="10"/>
  <c r="D699" i="10"/>
  <c r="D700" i="10"/>
  <c r="I700" i="10" s="1"/>
  <c r="D701" i="10"/>
  <c r="I701" i="10" s="1"/>
  <c r="D702" i="10"/>
  <c r="D703" i="10"/>
  <c r="D704" i="10"/>
  <c r="I704" i="10" s="1"/>
  <c r="D705" i="10"/>
  <c r="D706" i="10"/>
  <c r="D707" i="10"/>
  <c r="D708" i="10"/>
  <c r="I708" i="10" s="1"/>
  <c r="D709" i="10"/>
  <c r="I709" i="10" s="1"/>
  <c r="D710" i="10"/>
  <c r="D711" i="10"/>
  <c r="D712" i="10"/>
  <c r="I712" i="10" s="1"/>
  <c r="D713" i="10"/>
  <c r="I713" i="10" s="1"/>
  <c r="D714" i="10"/>
  <c r="D715" i="10"/>
  <c r="D716" i="10"/>
  <c r="I716" i="10" s="1"/>
  <c r="D717" i="10"/>
  <c r="D718" i="10"/>
  <c r="D719" i="10"/>
  <c r="D720" i="10"/>
  <c r="I720" i="10" s="1"/>
  <c r="D721" i="10"/>
  <c r="I721" i="10" s="1"/>
  <c r="D722" i="10"/>
  <c r="D723" i="10"/>
  <c r="D724" i="10"/>
  <c r="I724" i="10" s="1"/>
  <c r="D725" i="10"/>
  <c r="D726" i="10"/>
  <c r="D727" i="10"/>
  <c r="D728" i="10"/>
  <c r="D729" i="10"/>
  <c r="I729" i="10" s="1"/>
  <c r="D730" i="10"/>
  <c r="D731" i="10"/>
  <c r="D732" i="10"/>
  <c r="D733" i="10"/>
  <c r="I733" i="10" s="1"/>
  <c r="D734" i="10"/>
  <c r="D735" i="10"/>
  <c r="D736" i="10"/>
  <c r="D737" i="10"/>
  <c r="I737" i="10" s="1"/>
  <c r="D738" i="10"/>
  <c r="D739" i="10"/>
  <c r="D740" i="10"/>
  <c r="D741" i="10"/>
  <c r="I741" i="10" s="1"/>
  <c r="D742" i="10"/>
  <c r="D743" i="10"/>
  <c r="D744" i="10"/>
  <c r="I744" i="10" s="1"/>
  <c r="D745" i="10"/>
  <c r="D746" i="10"/>
  <c r="D747" i="10"/>
  <c r="D748" i="10"/>
  <c r="I748" i="10" s="1"/>
  <c r="D749" i="10"/>
  <c r="I749" i="10" s="1"/>
  <c r="D750" i="10"/>
  <c r="D751" i="10"/>
  <c r="D752" i="10"/>
  <c r="I752" i="10" s="1"/>
  <c r="D753" i="10"/>
  <c r="D754" i="10"/>
  <c r="D755" i="10"/>
  <c r="D756" i="10"/>
  <c r="I756" i="10" s="1"/>
  <c r="D757" i="10"/>
  <c r="I757" i="10" s="1"/>
  <c r="D758" i="10"/>
  <c r="D759" i="10"/>
  <c r="D760" i="10"/>
  <c r="I760" i="10" s="1"/>
  <c r="D761" i="10"/>
  <c r="I761" i="10" s="1"/>
  <c r="D762" i="10"/>
  <c r="D763" i="10"/>
  <c r="D764" i="10"/>
  <c r="I764" i="10" s="1"/>
  <c r="D765" i="10"/>
  <c r="I765" i="10" s="1"/>
  <c r="D766" i="10"/>
  <c r="D767" i="10"/>
  <c r="D768" i="10"/>
  <c r="I768" i="10" s="1"/>
  <c r="D769" i="10"/>
  <c r="I769" i="10" s="1"/>
  <c r="D770" i="10"/>
  <c r="D771" i="10"/>
  <c r="D772" i="10"/>
  <c r="I772" i="10" s="1"/>
  <c r="D773" i="10"/>
  <c r="I773" i="10" s="1"/>
  <c r="D774" i="10"/>
  <c r="D775" i="10"/>
  <c r="D776" i="10"/>
  <c r="I776" i="10" s="1"/>
  <c r="D777" i="10"/>
  <c r="I777" i="10" s="1"/>
  <c r="D778" i="10"/>
  <c r="D779" i="10"/>
  <c r="D780" i="10"/>
  <c r="I780" i="10" s="1"/>
  <c r="D781" i="10"/>
  <c r="I781" i="10" s="1"/>
  <c r="D782" i="10"/>
  <c r="D783" i="10"/>
  <c r="D784" i="10"/>
  <c r="I784" i="10" s="1"/>
  <c r="D785" i="10"/>
  <c r="I785" i="10" s="1"/>
  <c r="D786" i="10"/>
  <c r="D787" i="10"/>
  <c r="D788" i="10"/>
  <c r="I788" i="10" s="1"/>
  <c r="D789" i="10"/>
  <c r="I789" i="10" s="1"/>
  <c r="D790" i="10"/>
  <c r="D791" i="10"/>
  <c r="D792" i="10"/>
  <c r="I792" i="10" s="1"/>
  <c r="D793" i="10"/>
  <c r="I793" i="10" s="1"/>
  <c r="D794" i="10"/>
  <c r="D795" i="10"/>
  <c r="D796" i="10"/>
  <c r="I796" i="10" s="1"/>
  <c r="D797" i="10"/>
  <c r="I797" i="10" s="1"/>
  <c r="D798" i="10"/>
  <c r="D799" i="10"/>
  <c r="D800" i="10"/>
  <c r="I800" i="10" s="1"/>
  <c r="D801" i="10"/>
  <c r="I801" i="10" s="1"/>
  <c r="D802" i="10"/>
  <c r="D803" i="10"/>
  <c r="D804" i="10"/>
  <c r="I804" i="10" s="1"/>
  <c r="D805" i="10"/>
  <c r="I805" i="10" s="1"/>
  <c r="D806" i="10"/>
  <c r="D807" i="10"/>
  <c r="D808" i="10"/>
  <c r="D809" i="10"/>
  <c r="I809" i="10" s="1"/>
  <c r="D810" i="10"/>
  <c r="D811" i="10"/>
  <c r="D812" i="10"/>
  <c r="D813" i="10"/>
  <c r="I813" i="10" s="1"/>
  <c r="D814" i="10"/>
  <c r="D815" i="10"/>
  <c r="D816" i="10"/>
  <c r="I816" i="10" s="1"/>
  <c r="D817" i="10"/>
  <c r="I817" i="10" s="1"/>
  <c r="D818" i="10"/>
  <c r="D819" i="10"/>
  <c r="D820" i="10"/>
  <c r="I820" i="10" s="1"/>
  <c r="D821" i="10"/>
  <c r="I821" i="10" s="1"/>
  <c r="D822" i="10"/>
  <c r="D823" i="10"/>
  <c r="D824" i="10"/>
  <c r="I824" i="10" s="1"/>
  <c r="D825" i="10"/>
  <c r="I825" i="10" s="1"/>
  <c r="D826" i="10"/>
  <c r="D827" i="10"/>
  <c r="D828" i="10"/>
  <c r="I828" i="10" s="1"/>
  <c r="D829" i="10"/>
  <c r="I829" i="10" s="1"/>
  <c r="D830" i="10"/>
  <c r="D831" i="10"/>
  <c r="D832" i="10"/>
  <c r="I832" i="10" s="1"/>
  <c r="D833" i="10"/>
  <c r="I833" i="10" s="1"/>
  <c r="D834" i="10"/>
  <c r="D835" i="10"/>
  <c r="D836" i="10"/>
  <c r="I836" i="10" s="1"/>
  <c r="D837" i="10"/>
  <c r="I837" i="10" s="1"/>
  <c r="D838" i="10"/>
  <c r="D839" i="10"/>
  <c r="D840" i="10"/>
  <c r="D841" i="10"/>
  <c r="I841" i="10" s="1"/>
  <c r="D842" i="10"/>
  <c r="D843" i="10"/>
  <c r="D844" i="10"/>
  <c r="D845" i="10"/>
  <c r="I845" i="10" s="1"/>
  <c r="D846" i="10"/>
  <c r="D847" i="10"/>
  <c r="D848" i="10"/>
  <c r="D849" i="10"/>
  <c r="I849" i="10" s="1"/>
  <c r="D850" i="10"/>
  <c r="D851" i="10"/>
  <c r="D852" i="10"/>
  <c r="D853" i="10"/>
  <c r="I853" i="10" s="1"/>
  <c r="D854" i="10"/>
  <c r="D855" i="10"/>
  <c r="D856" i="10"/>
  <c r="I856" i="10" s="1"/>
  <c r="D857" i="10"/>
  <c r="I857" i="10" s="1"/>
  <c r="D858" i="10"/>
  <c r="D859" i="10"/>
  <c r="D860" i="10"/>
  <c r="D861" i="10"/>
  <c r="I861" i="10" s="1"/>
  <c r="D862" i="10"/>
  <c r="D863" i="10"/>
  <c r="D864" i="10"/>
  <c r="D865" i="10"/>
  <c r="I865" i="10" s="1"/>
  <c r="D866" i="10"/>
  <c r="D867" i="10"/>
  <c r="D868" i="10"/>
  <c r="I868" i="10" s="1"/>
  <c r="D869" i="10"/>
  <c r="I869" i="10" s="1"/>
  <c r="D870" i="10"/>
  <c r="D871" i="10"/>
  <c r="D872" i="10"/>
  <c r="I872" i="10" s="1"/>
  <c r="D873" i="10"/>
  <c r="I873" i="10" s="1"/>
  <c r="D874" i="10"/>
  <c r="D875" i="10"/>
  <c r="D876" i="10"/>
  <c r="I876" i="10" s="1"/>
  <c r="D877" i="10"/>
  <c r="I877" i="10" s="1"/>
  <c r="D878" i="10"/>
  <c r="D879" i="10"/>
  <c r="D880" i="10"/>
  <c r="I880" i="10" s="1"/>
  <c r="D881" i="10"/>
  <c r="I881" i="10" s="1"/>
  <c r="D882" i="10"/>
  <c r="D883" i="10"/>
  <c r="D884" i="10"/>
  <c r="I884" i="10" s="1"/>
  <c r="D885" i="10"/>
  <c r="I885" i="10" s="1"/>
  <c r="D886" i="10"/>
  <c r="D887" i="10"/>
  <c r="D888" i="10"/>
  <c r="I888" i="10" s="1"/>
  <c r="D889" i="10"/>
  <c r="I889" i="10" s="1"/>
  <c r="D890" i="10"/>
  <c r="D891" i="10"/>
  <c r="D892" i="10"/>
  <c r="I892" i="10" s="1"/>
  <c r="D893" i="10"/>
  <c r="I893" i="10" s="1"/>
  <c r="D894" i="10"/>
  <c r="D895" i="10"/>
  <c r="D896" i="10"/>
  <c r="I896" i="10" s="1"/>
  <c r="D897" i="10"/>
  <c r="I897" i="10" s="1"/>
  <c r="D898" i="10"/>
  <c r="D899" i="10"/>
  <c r="D900" i="10"/>
  <c r="I900" i="10" s="1"/>
  <c r="D901" i="10"/>
  <c r="I901" i="10" s="1"/>
  <c r="D902" i="10"/>
  <c r="D903" i="10"/>
  <c r="D904" i="10"/>
  <c r="D905" i="10"/>
  <c r="I905" i="10" s="1"/>
  <c r="D906" i="10"/>
  <c r="D907" i="10"/>
  <c r="D908" i="10"/>
  <c r="D909" i="10"/>
  <c r="I909" i="10" s="1"/>
  <c r="D910" i="10"/>
  <c r="D911" i="10"/>
  <c r="D912" i="10"/>
  <c r="D913" i="10"/>
  <c r="I913" i="10" s="1"/>
  <c r="D914" i="10"/>
  <c r="D915" i="10"/>
  <c r="D916" i="10"/>
  <c r="D917" i="10"/>
  <c r="D918" i="10"/>
  <c r="D919" i="10"/>
  <c r="D920" i="10"/>
  <c r="I920" i="10" s="1"/>
  <c r="D921" i="10"/>
  <c r="D922" i="10"/>
  <c r="D923" i="10"/>
  <c r="D924" i="10"/>
  <c r="D925" i="10"/>
  <c r="I925" i="10" s="1"/>
  <c r="D926" i="10"/>
  <c r="D927" i="10"/>
  <c r="D928" i="10"/>
  <c r="D929" i="10"/>
  <c r="I929" i="10" s="1"/>
  <c r="D930" i="10"/>
  <c r="D931" i="10"/>
  <c r="D932" i="10"/>
  <c r="D933" i="10"/>
  <c r="I933" i="10" s="1"/>
  <c r="D934" i="10"/>
  <c r="D935" i="10"/>
  <c r="D936" i="10"/>
  <c r="I936" i="10" s="1"/>
  <c r="D937" i="10"/>
  <c r="I937" i="10" s="1"/>
  <c r="D938" i="10"/>
  <c r="D939" i="10"/>
  <c r="D940" i="10"/>
  <c r="I940" i="10" s="1"/>
  <c r="D941" i="10"/>
  <c r="I941" i="10" s="1"/>
  <c r="D942" i="10"/>
  <c r="D943" i="10"/>
  <c r="D944" i="10"/>
  <c r="I944" i="10" s="1"/>
  <c r="D945" i="10"/>
  <c r="D946" i="10"/>
  <c r="D947" i="10"/>
  <c r="D948" i="10"/>
  <c r="I948" i="10" s="1"/>
  <c r="D949" i="10"/>
  <c r="I949" i="10" s="1"/>
  <c r="D950" i="10"/>
  <c r="D951" i="10"/>
  <c r="D952" i="10"/>
  <c r="I952" i="10" s="1"/>
  <c r="D953" i="10"/>
  <c r="I953" i="10" s="1"/>
  <c r="D954" i="10"/>
  <c r="D955" i="10"/>
  <c r="D956" i="10"/>
  <c r="I956" i="10" s="1"/>
  <c r="D957" i="10"/>
  <c r="I957" i="10" s="1"/>
  <c r="D958" i="10"/>
  <c r="D959" i="10"/>
  <c r="D960" i="10"/>
  <c r="D961" i="10"/>
  <c r="I961" i="10" s="1"/>
  <c r="D962" i="10"/>
  <c r="D963" i="10"/>
  <c r="D964" i="10"/>
  <c r="I964" i="10" s="1"/>
  <c r="D965" i="10"/>
  <c r="I965" i="10" s="1"/>
  <c r="D966" i="10"/>
  <c r="D967" i="10"/>
  <c r="D968" i="10"/>
  <c r="D969" i="10"/>
  <c r="I969" i="10" s="1"/>
  <c r="D970" i="10"/>
  <c r="D971" i="10"/>
  <c r="D972" i="10"/>
  <c r="D973" i="10"/>
  <c r="I973" i="10" s="1"/>
  <c r="D974" i="10"/>
  <c r="D975" i="10"/>
  <c r="D976" i="10"/>
  <c r="I976" i="10" s="1"/>
  <c r="D977" i="10"/>
  <c r="I977" i="10" s="1"/>
  <c r="D978" i="10"/>
  <c r="D979" i="10"/>
  <c r="D980" i="10"/>
  <c r="I980" i="10" s="1"/>
  <c r="D981" i="10"/>
  <c r="I981" i="10" s="1"/>
  <c r="D982" i="10"/>
  <c r="D983" i="10"/>
  <c r="D984" i="10"/>
  <c r="I984" i="10" s="1"/>
  <c r="D985" i="10"/>
  <c r="I985" i="10" s="1"/>
  <c r="D986" i="10"/>
  <c r="D987" i="10"/>
  <c r="D988" i="10"/>
  <c r="I988" i="10" s="1"/>
  <c r="D989" i="10"/>
  <c r="I989" i="10" s="1"/>
  <c r="D990" i="10"/>
  <c r="D991" i="10"/>
  <c r="D992" i="10"/>
  <c r="I992" i="10" s="1"/>
  <c r="D993" i="10"/>
  <c r="I993" i="10" s="1"/>
  <c r="D994" i="10"/>
  <c r="D995" i="10"/>
  <c r="D996" i="10"/>
  <c r="I996" i="10" s="1"/>
  <c r="D997" i="10"/>
  <c r="I997" i="10" s="1"/>
  <c r="D998" i="10"/>
  <c r="I998" i="10" s="1"/>
  <c r="D999" i="10"/>
  <c r="D1000" i="10"/>
  <c r="I1000" i="10" s="1"/>
  <c r="D1001" i="10"/>
  <c r="I1001" i="10" s="1"/>
  <c r="D1002" i="10"/>
  <c r="I1002" i="10" s="1"/>
  <c r="D1003" i="10"/>
  <c r="D1004" i="10"/>
  <c r="I1004" i="10" s="1"/>
  <c r="D1005" i="10"/>
  <c r="I1005" i="10" s="1"/>
  <c r="D1006" i="10"/>
  <c r="I1006" i="10" s="1"/>
  <c r="D1007" i="10"/>
  <c r="D1008" i="10"/>
  <c r="I1008" i="10" s="1"/>
  <c r="D1009" i="10"/>
  <c r="D1010" i="10"/>
  <c r="D1011" i="10"/>
  <c r="D1012" i="10"/>
  <c r="I1012" i="10" s="1"/>
  <c r="D1013" i="10"/>
  <c r="D1014" i="10"/>
  <c r="I1014" i="10" s="1"/>
  <c r="D1015" i="10"/>
  <c r="D1016" i="10"/>
  <c r="I1016" i="10" s="1"/>
  <c r="D1017" i="10"/>
  <c r="I1017" i="10" s="1"/>
  <c r="D1018" i="10"/>
  <c r="D1019" i="10"/>
  <c r="D1020" i="10"/>
  <c r="I1020" i="10" s="1"/>
  <c r="D1021" i="10"/>
  <c r="I1021" i="10" s="1"/>
  <c r="D1022" i="10"/>
  <c r="D1023" i="10"/>
  <c r="D1024" i="10"/>
  <c r="I1024" i="10" s="1"/>
  <c r="D1025" i="10"/>
  <c r="I1025" i="10" s="1"/>
  <c r="D1026" i="10"/>
  <c r="D1027" i="10"/>
  <c r="D1028" i="10"/>
  <c r="I1028" i="10" s="1"/>
  <c r="D1029" i="10"/>
  <c r="I1029" i="10" s="1"/>
  <c r="D1030" i="10"/>
  <c r="D1031" i="10"/>
  <c r="D1032" i="10"/>
  <c r="I1032" i="10" s="1"/>
  <c r="D1033" i="10"/>
  <c r="I1033" i="10" s="1"/>
  <c r="D1034" i="10"/>
  <c r="D1035" i="10"/>
  <c r="D1036" i="10"/>
  <c r="D1037" i="10"/>
  <c r="I1037" i="10" s="1"/>
  <c r="D1038" i="10"/>
  <c r="D1039" i="10"/>
  <c r="D1040" i="10"/>
  <c r="I1040" i="10" s="1"/>
  <c r="D1041" i="10"/>
  <c r="I1041" i="10" s="1"/>
  <c r="D1042" i="10"/>
  <c r="D1043" i="10"/>
  <c r="D1044" i="10"/>
  <c r="I1044" i="10" s="1"/>
  <c r="D1045" i="10"/>
  <c r="I1045" i="10" s="1"/>
  <c r="D1046" i="10"/>
  <c r="D1047" i="10"/>
  <c r="D1048" i="10"/>
  <c r="I1048" i="10" s="1"/>
  <c r="D1049" i="10"/>
  <c r="I1049" i="10" s="1"/>
  <c r="D1050" i="10"/>
  <c r="D1051" i="10"/>
  <c r="D1052" i="10"/>
  <c r="I1052" i="10" s="1"/>
  <c r="D1053" i="10"/>
  <c r="I1053" i="10" s="1"/>
  <c r="D1054" i="10"/>
  <c r="D1055" i="10"/>
  <c r="D1056" i="10"/>
  <c r="I1056" i="10" s="1"/>
  <c r="D1057" i="10"/>
  <c r="I1057" i="10" s="1"/>
  <c r="D1058" i="10"/>
  <c r="D1059" i="10"/>
  <c r="D1060" i="10"/>
  <c r="I1060" i="10" s="1"/>
  <c r="D1061" i="10"/>
  <c r="I1061" i="10" s="1"/>
  <c r="D1062" i="10"/>
  <c r="D1063" i="10"/>
  <c r="D1064" i="10"/>
  <c r="I1064" i="10" s="1"/>
  <c r="D1065" i="10"/>
  <c r="I1065" i="10" s="1"/>
  <c r="D1066" i="10"/>
  <c r="I1066" i="10" s="1"/>
  <c r="D1067" i="10"/>
  <c r="D1068" i="10"/>
  <c r="I1068" i="10" s="1"/>
  <c r="D1069" i="10"/>
  <c r="D1070" i="10"/>
  <c r="D1071" i="10"/>
  <c r="D1072" i="10"/>
  <c r="I1072" i="10" s="1"/>
  <c r="D1073" i="10"/>
  <c r="D1074" i="10"/>
  <c r="D1075" i="10"/>
  <c r="D1076" i="10"/>
  <c r="I1076" i="10" s="1"/>
  <c r="D1077" i="10"/>
  <c r="I1077" i="10" s="1"/>
  <c r="D1078" i="10"/>
  <c r="D1079" i="10"/>
  <c r="D1080" i="10"/>
  <c r="I1080" i="10" s="1"/>
  <c r="D1081" i="10"/>
  <c r="I1081" i="10" s="1"/>
  <c r="D1082" i="10"/>
  <c r="D1083" i="10"/>
  <c r="D1084" i="10"/>
  <c r="I1084" i="10" s="1"/>
  <c r="D1085" i="10"/>
  <c r="I1085" i="10" s="1"/>
  <c r="D1086" i="10"/>
  <c r="D1087" i="10"/>
  <c r="D1088" i="10"/>
  <c r="I1088" i="10" s="1"/>
  <c r="D1089" i="10"/>
  <c r="I1089" i="10" s="1"/>
  <c r="D1090" i="10"/>
  <c r="D1091" i="10"/>
  <c r="D1092" i="10"/>
  <c r="I1092" i="10" s="1"/>
  <c r="D1093" i="10"/>
  <c r="D1094" i="10"/>
  <c r="D1095" i="10"/>
  <c r="D1096" i="10"/>
  <c r="I1096" i="10" s="1"/>
  <c r="D1097" i="10"/>
  <c r="I1097" i="10" s="1"/>
  <c r="D1098" i="10"/>
  <c r="D1099" i="10"/>
  <c r="D1100" i="10"/>
  <c r="I1100" i="10" s="1"/>
  <c r="D1101" i="10"/>
  <c r="I1101" i="10" s="1"/>
  <c r="D1102" i="10"/>
  <c r="I1102" i="10" s="1"/>
  <c r="D1103" i="10"/>
  <c r="D1104" i="10"/>
  <c r="I1104" i="10" s="1"/>
  <c r="D1105" i="10"/>
  <c r="I1105" i="10" s="1"/>
  <c r="D1106" i="10"/>
  <c r="D1107" i="10"/>
  <c r="D1108" i="10"/>
  <c r="I1108" i="10" s="1"/>
  <c r="D1109" i="10"/>
  <c r="I1109" i="10" s="1"/>
  <c r="D1110" i="10"/>
  <c r="I1110" i="10" s="1"/>
  <c r="D1111" i="10"/>
  <c r="D1112" i="10"/>
  <c r="I1112" i="10" s="1"/>
  <c r="D1113" i="10"/>
  <c r="I1113" i="10" s="1"/>
  <c r="D1114" i="10"/>
  <c r="I1114" i="10" s="1"/>
  <c r="D1115" i="10"/>
  <c r="D1116" i="10"/>
  <c r="I1116" i="10" s="1"/>
  <c r="D1117" i="10"/>
  <c r="D1118" i="10"/>
  <c r="I1118" i="10" s="1"/>
  <c r="D1119" i="10"/>
  <c r="D1120" i="10"/>
  <c r="I1120" i="10" s="1"/>
  <c r="D1121" i="10"/>
  <c r="I1121" i="10" s="1"/>
  <c r="D1122" i="10"/>
  <c r="D1123" i="10"/>
  <c r="D1124" i="10"/>
  <c r="I1124" i="10" s="1"/>
  <c r="D1125" i="10"/>
  <c r="I1125" i="10" s="1"/>
  <c r="D1126" i="10"/>
  <c r="D1127" i="10"/>
  <c r="D1128" i="10"/>
  <c r="I1128" i="10" s="1"/>
  <c r="D1129" i="10"/>
  <c r="I1129" i="10" s="1"/>
  <c r="D1130" i="10"/>
  <c r="I1130" i="10" s="1"/>
  <c r="D1131" i="10"/>
  <c r="D1132" i="10"/>
  <c r="I1132" i="10" s="1"/>
  <c r="D1133" i="10"/>
  <c r="I1133" i="10" s="1"/>
  <c r="D1134" i="10"/>
  <c r="I1134" i="10" s="1"/>
  <c r="D1135" i="10"/>
  <c r="D1136" i="10"/>
  <c r="I1136" i="10" s="1"/>
  <c r="D1137" i="10"/>
  <c r="I1137" i="10" s="1"/>
  <c r="D1138" i="10"/>
  <c r="I1138" i="10" s="1"/>
  <c r="D1139" i="10"/>
  <c r="D1140" i="10"/>
  <c r="I1140" i="10" s="1"/>
  <c r="D1141" i="10"/>
  <c r="I1141" i="10" s="1"/>
  <c r="D1142" i="10"/>
  <c r="D1143" i="10"/>
  <c r="D1144" i="10"/>
  <c r="I1144" i="10" s="1"/>
  <c r="D1145" i="10"/>
  <c r="I1145" i="10" s="1"/>
  <c r="D1146" i="10"/>
  <c r="D1147" i="10"/>
  <c r="D1148" i="10"/>
  <c r="I1148" i="10" s="1"/>
  <c r="D1149" i="10"/>
  <c r="I1149" i="10" s="1"/>
  <c r="D1150" i="10"/>
  <c r="D1151" i="10"/>
  <c r="D1152" i="10"/>
  <c r="I1152" i="10" s="1"/>
  <c r="D1153" i="10"/>
  <c r="I1153" i="10" s="1"/>
  <c r="D1154" i="10"/>
  <c r="I1154" i="10" s="1"/>
  <c r="D1155" i="10"/>
  <c r="D1156" i="10"/>
  <c r="I1156" i="10" s="1"/>
  <c r="D1157" i="10"/>
  <c r="I1157" i="10" s="1"/>
  <c r="D1158" i="10"/>
  <c r="D1159" i="10"/>
  <c r="D1160" i="10"/>
  <c r="I1160" i="10" s="1"/>
  <c r="D1161" i="10"/>
  <c r="I1161" i="10" s="1"/>
  <c r="D1162" i="10"/>
  <c r="D1163" i="10"/>
  <c r="D1164" i="10"/>
  <c r="I1164" i="10" s="1"/>
  <c r="D1165" i="10"/>
  <c r="I1165" i="10" s="1"/>
  <c r="D1166" i="10"/>
  <c r="D1167" i="10"/>
  <c r="D1168" i="10"/>
  <c r="I1168" i="10" s="1"/>
  <c r="D1169" i="10"/>
  <c r="I1169" i="10" s="1"/>
  <c r="D1170" i="10"/>
  <c r="D1171" i="10"/>
  <c r="D1172" i="10"/>
  <c r="I1172" i="10" s="1"/>
  <c r="D1173" i="10"/>
  <c r="D1174" i="10"/>
  <c r="D1175" i="10"/>
  <c r="D1176" i="10"/>
  <c r="I1176" i="10" s="1"/>
  <c r="D1177" i="10"/>
  <c r="I1177" i="10" s="1"/>
  <c r="D1178" i="10"/>
  <c r="I1178" i="10" s="1"/>
  <c r="D1179" i="10"/>
  <c r="D1180" i="10"/>
  <c r="I1180" i="10" s="1"/>
  <c r="D1181" i="10"/>
  <c r="D1182" i="10"/>
  <c r="D1183" i="10"/>
  <c r="D1184" i="10"/>
  <c r="I1184" i="10" s="1"/>
  <c r="D1185" i="10"/>
  <c r="I1185" i="10" s="1"/>
  <c r="D1186" i="10"/>
  <c r="D1187" i="10"/>
  <c r="D1188" i="10"/>
  <c r="I1188" i="10" s="1"/>
  <c r="D1189" i="10"/>
  <c r="I1189" i="10" s="1"/>
  <c r="D1190" i="10"/>
  <c r="D1191" i="10"/>
  <c r="D1192" i="10"/>
  <c r="I1192" i="10" s="1"/>
  <c r="D1193" i="10"/>
  <c r="I1193" i="10" s="1"/>
  <c r="D1194" i="10"/>
  <c r="D1195" i="10"/>
  <c r="D1196" i="10"/>
  <c r="I1196" i="10" s="1"/>
  <c r="D1197" i="10"/>
  <c r="I1197" i="10" s="1"/>
  <c r="D1198" i="10"/>
  <c r="D1199" i="10"/>
  <c r="D1200" i="10"/>
  <c r="I1200" i="10" s="1"/>
  <c r="D1201" i="10"/>
  <c r="I1201" i="10" s="1"/>
  <c r="D1202" i="10"/>
  <c r="D1203" i="10"/>
  <c r="D1204" i="10"/>
  <c r="I1204" i="10" s="1"/>
  <c r="D1205" i="10"/>
  <c r="D1206" i="10"/>
  <c r="I1206" i="10" s="1"/>
  <c r="D1207" i="10"/>
  <c r="D1208" i="10"/>
  <c r="I1208" i="10" s="1"/>
  <c r="D1209" i="10"/>
  <c r="I1209" i="10" s="1"/>
  <c r="D1210" i="10"/>
  <c r="D1211" i="10"/>
  <c r="D1212" i="10"/>
  <c r="I1212" i="10" s="1"/>
  <c r="D1213" i="10"/>
  <c r="D1214" i="10"/>
  <c r="D1215" i="10"/>
  <c r="D1216" i="10"/>
  <c r="I1216" i="10" s="1"/>
  <c r="D1217" i="10"/>
  <c r="I1217" i="10" s="1"/>
  <c r="D1218" i="10"/>
  <c r="I1218" i="10" s="1"/>
  <c r="D1219" i="10"/>
  <c r="D1220" i="10"/>
  <c r="I1220" i="10" s="1"/>
  <c r="D1221" i="10"/>
  <c r="D1222" i="10"/>
  <c r="D1223" i="10"/>
  <c r="D1224" i="10"/>
  <c r="I1224" i="10" s="1"/>
  <c r="D1225" i="10"/>
  <c r="I1225" i="10" s="1"/>
  <c r="D1226" i="10"/>
  <c r="D1227" i="10"/>
  <c r="D1228" i="10"/>
  <c r="I1228" i="10" s="1"/>
  <c r="D1229" i="10"/>
  <c r="I1229" i="10" s="1"/>
  <c r="D1230" i="10"/>
  <c r="D1231" i="10"/>
  <c r="D1232" i="10"/>
  <c r="I1232" i="10" s="1"/>
  <c r="D1233" i="10"/>
  <c r="I1233" i="10" s="1"/>
  <c r="D1234" i="10"/>
  <c r="D1235" i="10"/>
  <c r="D1236" i="10"/>
  <c r="I1236" i="10" s="1"/>
  <c r="D1237" i="10"/>
  <c r="I1237" i="10" s="1"/>
  <c r="D1238" i="10"/>
  <c r="I1238" i="10" s="1"/>
  <c r="D1239" i="10"/>
  <c r="D1240" i="10"/>
  <c r="I1240" i="10" s="1"/>
  <c r="D1241" i="10"/>
  <c r="I1241" i="10" s="1"/>
  <c r="D1242" i="10"/>
  <c r="D1243" i="10"/>
  <c r="D1244" i="10"/>
  <c r="I1244" i="10" s="1"/>
  <c r="D1245" i="10"/>
  <c r="I1245" i="10" s="1"/>
  <c r="D1246" i="10"/>
  <c r="D1247" i="10"/>
  <c r="D1248" i="10"/>
  <c r="I1248" i="10" s="1"/>
  <c r="D1249" i="10"/>
  <c r="I1249" i="10" s="1"/>
  <c r="D1250" i="10"/>
  <c r="D1251" i="10"/>
  <c r="D1252" i="10"/>
  <c r="I1252" i="10" s="1"/>
  <c r="D1253" i="10"/>
  <c r="I1253" i="10" s="1"/>
  <c r="D1254" i="10"/>
  <c r="I1254" i="10" s="1"/>
  <c r="D1255" i="10"/>
  <c r="D1256" i="10"/>
  <c r="I1256" i="10" s="1"/>
  <c r="D1257" i="10"/>
  <c r="I1257" i="10" s="1"/>
  <c r="D1258" i="10"/>
  <c r="I1258" i="10" s="1"/>
  <c r="D1259" i="10"/>
  <c r="D1260" i="10"/>
  <c r="I1260" i="10" s="1"/>
  <c r="D1261" i="10"/>
  <c r="I1261" i="10" s="1"/>
  <c r="D1262" i="10"/>
  <c r="I1262" i="10" s="1"/>
  <c r="D1263" i="10"/>
  <c r="D1264" i="10"/>
  <c r="I1264" i="10" s="1"/>
  <c r="D1265" i="10"/>
  <c r="I1265" i="10" s="1"/>
  <c r="D1266" i="10"/>
  <c r="I1266" i="10" s="1"/>
  <c r="D1267" i="10"/>
  <c r="D1268" i="10"/>
  <c r="I1268" i="10" s="1"/>
  <c r="D1269" i="10"/>
  <c r="I1269" i="10" s="1"/>
  <c r="D1270" i="10"/>
  <c r="I1270" i="10" s="1"/>
  <c r="D1271" i="10"/>
  <c r="I1271" i="10" s="1"/>
  <c r="D1272" i="10"/>
  <c r="I1272" i="10" s="1"/>
  <c r="D1273" i="10"/>
  <c r="I1273" i="10" s="1"/>
  <c r="D1274" i="10"/>
  <c r="I1274" i="10" s="1"/>
  <c r="D1275" i="10"/>
  <c r="D1276" i="10"/>
  <c r="I1276" i="10" s="1"/>
  <c r="D1277" i="10"/>
  <c r="D1278" i="10"/>
  <c r="I1278" i="10" s="1"/>
  <c r="D1279" i="10"/>
  <c r="D1280" i="10"/>
  <c r="I1280" i="10" s="1"/>
  <c r="D1281" i="10"/>
  <c r="I1281" i="10" s="1"/>
  <c r="D1282" i="10"/>
  <c r="D1283" i="10"/>
  <c r="I1283" i="10" s="1"/>
  <c r="D1284" i="10"/>
  <c r="I1284" i="10" s="1"/>
  <c r="D1285" i="10"/>
  <c r="I1285" i="10" s="1"/>
  <c r="D1286" i="10"/>
  <c r="I1286" i="10" s="1"/>
  <c r="D1287" i="10"/>
  <c r="D1288" i="10"/>
  <c r="I1288" i="10" s="1"/>
  <c r="D1289" i="10"/>
  <c r="I1289" i="10" s="1"/>
  <c r="D1290" i="10"/>
  <c r="I1290" i="10" s="1"/>
  <c r="D1291" i="10"/>
  <c r="D1292" i="10"/>
  <c r="I1292" i="10" s="1"/>
  <c r="D1293" i="10"/>
  <c r="I1293" i="10" s="1"/>
  <c r="D1294" i="10"/>
  <c r="I1294" i="10" s="1"/>
  <c r="D1295" i="10"/>
  <c r="D1296" i="10"/>
  <c r="I1296" i="10" s="1"/>
  <c r="D1297" i="10"/>
  <c r="I1297" i="10" s="1"/>
  <c r="D1298" i="10"/>
  <c r="D1299" i="10"/>
  <c r="D1300" i="10"/>
  <c r="I1300" i="10" s="1"/>
  <c r="D1301" i="10"/>
  <c r="I1301" i="10" s="1"/>
  <c r="D1302" i="10"/>
  <c r="I1302" i="10" s="1"/>
  <c r="D1303" i="10"/>
  <c r="D1304" i="10"/>
  <c r="I1304" i="10" s="1"/>
  <c r="D1305" i="10"/>
  <c r="D1306" i="10"/>
  <c r="I1306" i="10" s="1"/>
  <c r="D1307" i="10"/>
  <c r="D1308" i="10"/>
  <c r="I1308" i="10" s="1"/>
  <c r="D1309" i="10"/>
  <c r="I1309" i="10" s="1"/>
  <c r="D1310" i="10"/>
  <c r="I1310" i="10" s="1"/>
  <c r="D1311" i="10"/>
  <c r="I1311" i="10" s="1"/>
  <c r="D1312" i="10"/>
  <c r="I1312" i="10" s="1"/>
  <c r="D1313" i="10"/>
  <c r="I1313" i="10" s="1"/>
  <c r="D1314" i="10"/>
  <c r="D1315" i="10"/>
  <c r="D1316" i="10"/>
  <c r="I1316" i="10" s="1"/>
  <c r="D1317" i="10"/>
  <c r="I1317" i="10" s="1"/>
  <c r="D1318" i="10"/>
  <c r="D1319" i="10"/>
  <c r="I1319" i="10" s="1"/>
  <c r="D1320" i="10"/>
  <c r="I1320" i="10" s="1"/>
  <c r="D1321" i="10"/>
  <c r="D1322" i="10"/>
  <c r="I1322" i="10" s="1"/>
  <c r="D1323" i="10"/>
  <c r="D1324" i="10"/>
  <c r="I1324" i="10" s="1"/>
  <c r="D1325" i="10"/>
  <c r="I1325" i="10" s="1"/>
  <c r="D1326" i="10"/>
  <c r="D1327" i="10"/>
  <c r="D1328" i="10"/>
  <c r="I1328" i="10" s="1"/>
  <c r="D1329" i="10"/>
  <c r="I1329" i="10" s="1"/>
  <c r="D1330" i="10"/>
  <c r="I1330" i="10" s="1"/>
  <c r="D1331" i="10"/>
  <c r="D1332" i="10"/>
  <c r="I1332" i="10" s="1"/>
  <c r="D1333" i="10"/>
  <c r="D1334" i="10"/>
  <c r="D1335" i="10"/>
  <c r="D1336" i="10"/>
  <c r="I1336" i="10" s="1"/>
  <c r="D1337" i="10"/>
  <c r="I1337" i="10" s="1"/>
  <c r="D1338" i="10"/>
  <c r="D1339" i="10"/>
  <c r="D1340" i="10"/>
  <c r="I1340" i="10" s="1"/>
  <c r="D1341" i="10"/>
  <c r="D1342" i="10"/>
  <c r="D1343" i="10"/>
  <c r="D1344" i="10"/>
  <c r="I1344" i="10" s="1"/>
  <c r="D1345" i="10"/>
  <c r="I1345" i="10" s="1"/>
  <c r="D1346" i="10"/>
  <c r="D1347" i="10"/>
  <c r="D1348" i="10"/>
  <c r="I1348" i="10" s="1"/>
  <c r="D1349" i="10"/>
  <c r="I1349" i="10" s="1"/>
  <c r="D1350" i="10"/>
  <c r="D1351" i="10"/>
  <c r="D1352" i="10"/>
  <c r="I1352" i="10" s="1"/>
  <c r="D1353" i="10"/>
  <c r="I1353" i="10" s="1"/>
  <c r="D1354" i="10"/>
  <c r="D1355" i="10"/>
  <c r="I1355" i="10" s="1"/>
  <c r="D1356" i="10"/>
  <c r="I1356" i="10" s="1"/>
  <c r="D1357" i="10"/>
  <c r="I1357" i="10" s="1"/>
  <c r="D1358" i="10"/>
  <c r="I1358" i="10" s="1"/>
  <c r="D1359" i="10"/>
  <c r="D1360" i="10"/>
  <c r="I1360" i="10" s="1"/>
  <c r="D1361" i="10"/>
  <c r="I1361" i="10" s="1"/>
  <c r="D1362" i="10"/>
  <c r="I1362" i="10" s="1"/>
  <c r="D1363" i="10"/>
  <c r="D1364" i="10"/>
  <c r="I1364" i="10" s="1"/>
  <c r="D1365" i="10"/>
  <c r="I1365" i="10" s="1"/>
  <c r="D1366" i="10"/>
  <c r="D1367" i="10"/>
  <c r="D1368" i="10"/>
  <c r="I1368" i="10" s="1"/>
  <c r="D1369" i="10"/>
  <c r="I1369" i="10" s="1"/>
  <c r="D1370" i="10"/>
  <c r="D1371" i="10"/>
  <c r="D1372" i="10"/>
  <c r="I1372" i="10" s="1"/>
  <c r="D1373" i="10"/>
  <c r="I1373" i="10" s="1"/>
  <c r="D1374" i="10"/>
  <c r="D1375" i="10"/>
  <c r="D1376" i="10"/>
  <c r="I1376" i="10" s="1"/>
  <c r="D1377" i="10"/>
  <c r="I1377" i="10" s="1"/>
  <c r="D1378" i="10"/>
  <c r="D1379" i="10"/>
  <c r="I1379" i="10" s="1"/>
  <c r="D1380" i="10"/>
  <c r="I1380" i="10" s="1"/>
  <c r="D1381" i="10"/>
  <c r="I1381" i="10" s="1"/>
  <c r="D1382" i="10"/>
  <c r="I1382" i="10" s="1"/>
  <c r="D1383" i="10"/>
  <c r="I1383" i="10" s="1"/>
  <c r="D1384" i="10"/>
  <c r="I1384" i="10" s="1"/>
  <c r="D1385" i="10"/>
  <c r="I1385" i="10" s="1"/>
  <c r="D1386" i="10"/>
  <c r="I1386" i="10" s="1"/>
  <c r="D1387" i="10"/>
  <c r="D1388" i="10"/>
  <c r="I1388" i="10" s="1"/>
  <c r="D1389" i="10"/>
  <c r="I1389" i="10" s="1"/>
  <c r="D1390" i="10"/>
  <c r="I1390" i="10" s="1"/>
  <c r="D1391" i="10"/>
  <c r="D1392" i="10"/>
  <c r="I1392" i="10" s="1"/>
  <c r="D1393" i="10"/>
  <c r="I1393" i="10" s="1"/>
  <c r="D1394" i="10"/>
  <c r="I1394" i="10" s="1"/>
  <c r="D1395" i="10"/>
  <c r="D1396" i="10"/>
  <c r="I1396" i="10" s="1"/>
  <c r="D1397" i="10"/>
  <c r="I1397" i="10" s="1"/>
  <c r="D1398" i="10"/>
  <c r="I1398" i="10" s="1"/>
  <c r="D1399" i="10"/>
  <c r="D1400" i="10"/>
  <c r="I1400" i="10" s="1"/>
  <c r="D1401" i="10"/>
  <c r="I1401" i="10" s="1"/>
  <c r="D1402" i="10"/>
  <c r="I1402" i="10" s="1"/>
  <c r="D1403" i="10"/>
  <c r="D1404" i="10"/>
  <c r="I1404" i="10" s="1"/>
  <c r="D1405" i="10"/>
  <c r="I1405" i="10" s="1"/>
  <c r="D1406" i="10"/>
  <c r="D1407" i="10"/>
  <c r="I1407" i="10" s="1"/>
  <c r="D1408" i="10"/>
  <c r="I1408" i="10" s="1"/>
  <c r="D1409" i="10"/>
  <c r="I1409" i="10" s="1"/>
  <c r="D1410" i="10"/>
  <c r="D1411" i="10"/>
  <c r="D1412" i="10"/>
  <c r="I1412" i="10" s="1"/>
  <c r="D1413" i="10"/>
  <c r="I1413" i="10" s="1"/>
  <c r="D1414" i="10"/>
  <c r="I1414" i="10" s="1"/>
  <c r="D1415" i="10"/>
  <c r="D1416" i="10"/>
  <c r="I1416" i="10" s="1"/>
  <c r="D1417" i="10"/>
  <c r="I1417" i="10" s="1"/>
  <c r="D1418" i="10"/>
  <c r="I1418" i="10" s="1"/>
  <c r="D1419" i="10"/>
  <c r="I1419" i="10" s="1"/>
  <c r="D1420" i="10"/>
  <c r="I1420" i="10" s="1"/>
  <c r="D1421" i="10"/>
  <c r="I1421" i="10" s="1"/>
  <c r="D1422" i="10"/>
  <c r="D1423" i="10"/>
  <c r="I1423" i="10" s="1"/>
  <c r="D1424" i="10"/>
  <c r="I1424" i="10" s="1"/>
  <c r="D1425" i="10"/>
  <c r="I1425" i="10" s="1"/>
  <c r="D1426" i="10"/>
  <c r="D1427" i="10"/>
  <c r="I1427" i="10" s="1"/>
  <c r="D1428" i="10"/>
  <c r="I1428" i="10" s="1"/>
  <c r="D1429" i="10"/>
  <c r="I1429" i="10" s="1"/>
  <c r="D1430" i="10"/>
  <c r="I1430" i="10" s="1"/>
  <c r="D1431" i="10"/>
  <c r="I1431" i="10" s="1"/>
  <c r="D1432" i="10"/>
  <c r="I1432" i="10" s="1"/>
  <c r="D1433" i="10"/>
  <c r="I1433" i="10" s="1"/>
  <c r="D1434" i="10"/>
  <c r="D1435" i="10"/>
  <c r="D1436" i="10"/>
  <c r="I1436" i="10" s="1"/>
  <c r="D1437" i="10"/>
  <c r="I1437" i="10" s="1"/>
  <c r="D1438" i="10"/>
  <c r="D1439" i="10"/>
  <c r="D1440" i="10"/>
  <c r="I1440" i="10" s="1"/>
  <c r="D1441" i="10"/>
  <c r="I1441" i="10" s="1"/>
  <c r="D1442" i="10"/>
  <c r="D1443" i="10"/>
  <c r="D1444" i="10"/>
  <c r="I1444" i="10" s="1"/>
  <c r="D1445" i="10"/>
  <c r="I1445" i="10" s="1"/>
  <c r="D1446" i="10"/>
  <c r="I1446" i="10" s="1"/>
  <c r="D1447" i="10"/>
  <c r="I1447" i="10" s="1"/>
  <c r="D1448" i="10"/>
  <c r="I1448" i="10" s="1"/>
  <c r="D1449" i="10"/>
  <c r="I1449" i="10" s="1"/>
  <c r="D1450" i="10"/>
  <c r="D1451" i="10"/>
  <c r="I1451" i="10" s="1"/>
  <c r="D1452" i="10"/>
  <c r="I1452" i="10" s="1"/>
  <c r="D1453" i="10"/>
  <c r="I1453" i="10" s="1"/>
  <c r="D1454" i="10"/>
  <c r="D1455" i="10"/>
  <c r="I1455" i="10" s="1"/>
  <c r="D1456" i="10"/>
  <c r="I1456" i="10" s="1"/>
  <c r="D1457" i="10"/>
  <c r="I1457" i="10" s="1"/>
  <c r="D1458" i="10"/>
  <c r="I1458" i="10" s="1"/>
  <c r="D1459" i="10"/>
  <c r="D1460" i="10"/>
  <c r="I1460" i="10" s="1"/>
  <c r="D1461" i="10"/>
  <c r="I1461" i="10" s="1"/>
  <c r="D1462" i="10"/>
  <c r="D1463" i="10"/>
  <c r="I1463" i="10" s="1"/>
  <c r="D1464" i="10"/>
  <c r="I1464" i="10" s="1"/>
  <c r="D1465" i="10"/>
  <c r="I1465" i="10" s="1"/>
  <c r="D1466" i="10"/>
  <c r="D1467" i="10"/>
  <c r="I1467" i="10" s="1"/>
  <c r="D1468" i="10"/>
  <c r="I1468" i="10" s="1"/>
  <c r="D1469" i="10"/>
  <c r="I1469" i="10" s="1"/>
  <c r="D1470" i="10"/>
  <c r="D1471" i="10"/>
  <c r="D1472" i="10"/>
  <c r="I1472" i="10" s="1"/>
  <c r="D1473" i="10"/>
  <c r="I1473" i="10" s="1"/>
  <c r="D1474" i="10"/>
  <c r="I1474" i="10" s="1"/>
  <c r="D1475" i="10"/>
  <c r="I1475" i="10" s="1"/>
  <c r="D1476" i="10"/>
  <c r="I1476" i="10" s="1"/>
  <c r="D1477" i="10"/>
  <c r="I1477" i="10" s="1"/>
  <c r="D1478" i="10"/>
  <c r="I1478" i="10" s="1"/>
  <c r="D1479" i="10"/>
  <c r="I1479" i="10" s="1"/>
  <c r="D1480" i="10"/>
  <c r="I1480" i="10" s="1"/>
  <c r="D1481" i="10"/>
  <c r="I1481" i="10" s="1"/>
  <c r="D1482" i="10"/>
  <c r="D1483" i="10"/>
  <c r="I1483" i="10" s="1"/>
  <c r="D1484" i="10"/>
  <c r="I1484" i="10" s="1"/>
  <c r="D1485" i="10"/>
  <c r="I1485" i="10" s="1"/>
  <c r="D1486" i="10"/>
  <c r="D1487" i="10"/>
  <c r="I1487" i="10" s="1"/>
  <c r="D1488" i="10"/>
  <c r="I1488" i="10" s="1"/>
  <c r="D1489" i="10"/>
  <c r="I1489" i="10" s="1"/>
  <c r="D1490" i="10"/>
  <c r="I1490" i="10" s="1"/>
  <c r="D1491" i="10"/>
  <c r="I1491" i="10" s="1"/>
  <c r="D1492" i="10"/>
  <c r="I1492" i="10" s="1"/>
  <c r="D1493" i="10"/>
  <c r="I1493" i="10" s="1"/>
  <c r="D1494" i="10"/>
  <c r="I1494" i="10" s="1"/>
  <c r="D1495" i="10"/>
  <c r="I1495" i="10" s="1"/>
  <c r="D1496" i="10"/>
  <c r="I1496" i="10" s="1"/>
  <c r="D1497" i="10"/>
  <c r="I1497" i="10" s="1"/>
  <c r="D1498" i="10"/>
  <c r="D1499" i="10"/>
  <c r="I1499" i="10" s="1"/>
  <c r="D1500" i="10"/>
  <c r="I1500" i="10" s="1"/>
  <c r="D1501" i="10"/>
  <c r="I1501" i="10" s="1"/>
  <c r="D1502" i="10"/>
  <c r="I1502" i="10" s="1"/>
  <c r="D1503" i="10"/>
  <c r="I1503" i="10" s="1"/>
  <c r="D1504" i="10"/>
  <c r="I1504" i="10" s="1"/>
  <c r="D1505" i="10"/>
  <c r="I1505" i="10" s="1"/>
  <c r="D1506" i="10"/>
  <c r="I1506" i="10" s="1"/>
  <c r="D1507" i="10"/>
  <c r="I1507" i="10" s="1"/>
  <c r="D1508" i="10"/>
  <c r="I1508" i="10" s="1"/>
  <c r="D1509" i="10"/>
  <c r="I1509" i="10" s="1"/>
  <c r="D1510" i="10"/>
  <c r="D1511" i="10"/>
  <c r="I1511" i="10" s="1"/>
  <c r="D1512" i="10"/>
  <c r="I1512" i="10" s="1"/>
  <c r="D1513" i="10"/>
  <c r="I1513" i="10" s="1"/>
  <c r="D1514" i="10"/>
  <c r="I1514" i="10" s="1"/>
  <c r="D1515" i="10"/>
  <c r="I1515" i="10" s="1"/>
  <c r="D1516" i="10"/>
  <c r="I1516" i="10" s="1"/>
  <c r="D1517" i="10"/>
  <c r="I1517" i="10" s="1"/>
  <c r="D1518" i="10"/>
  <c r="I1518" i="10" s="1"/>
  <c r="D1519" i="10"/>
  <c r="D1520" i="10"/>
  <c r="I1520" i="10" s="1"/>
  <c r="D1521" i="10"/>
  <c r="I1521" i="10" s="1"/>
  <c r="D1522" i="10"/>
  <c r="D1523" i="10"/>
  <c r="I1523" i="10" s="1"/>
  <c r="D1524" i="10"/>
  <c r="I1524" i="10" s="1"/>
  <c r="D1525" i="10"/>
  <c r="I1525" i="10" s="1"/>
  <c r="D1526" i="10"/>
  <c r="D1527" i="10"/>
  <c r="I1527" i="10" s="1"/>
  <c r="D1528" i="10"/>
  <c r="I1528" i="10" s="1"/>
  <c r="D1529" i="10"/>
  <c r="I1529" i="10" s="1"/>
  <c r="D1530" i="10"/>
  <c r="D1531" i="10"/>
  <c r="I1531" i="10" s="1"/>
  <c r="D1532" i="10"/>
  <c r="I1532" i="10" s="1"/>
  <c r="D1533" i="10"/>
  <c r="I1533" i="10" s="1"/>
  <c r="D1534" i="10"/>
  <c r="D1535" i="10"/>
  <c r="I1535" i="10" s="1"/>
  <c r="D1536" i="10"/>
  <c r="I1536" i="10" s="1"/>
  <c r="D1537" i="10"/>
  <c r="I1537" i="10" s="1"/>
  <c r="D1538" i="10"/>
  <c r="I1538" i="10" s="1"/>
  <c r="D1539" i="10"/>
  <c r="I1539" i="10" s="1"/>
  <c r="D1540" i="10"/>
  <c r="I1540" i="10" s="1"/>
  <c r="D1541" i="10"/>
  <c r="I1541" i="10" s="1"/>
  <c r="D1542" i="10"/>
  <c r="D1543" i="10"/>
  <c r="I1543" i="10" s="1"/>
  <c r="D1544" i="10"/>
  <c r="I1544" i="10" s="1"/>
  <c r="D1545" i="10"/>
  <c r="I1545" i="10" s="1"/>
  <c r="D1546" i="10"/>
  <c r="I1546" i="10" s="1"/>
  <c r="D1547" i="10"/>
  <c r="D1548" i="10"/>
  <c r="I1548" i="10" s="1"/>
  <c r="D1549" i="10"/>
  <c r="I1549" i="10" s="1"/>
  <c r="D1550" i="10"/>
  <c r="D1551" i="10"/>
  <c r="I1551" i="10" s="1"/>
  <c r="D1552" i="10"/>
  <c r="I1552" i="10" s="1"/>
  <c r="D1553" i="10"/>
  <c r="I1553" i="10" s="1"/>
  <c r="D1554" i="10"/>
  <c r="D1555" i="10"/>
  <c r="I1555" i="10" s="1"/>
  <c r="D1556" i="10"/>
  <c r="I1556" i="10" s="1"/>
  <c r="D1557" i="10"/>
  <c r="I1557" i="10" s="1"/>
  <c r="D1558" i="10"/>
  <c r="D1559" i="10"/>
  <c r="I1559" i="10" s="1"/>
  <c r="D1560" i="10"/>
  <c r="I1560" i="10" s="1"/>
  <c r="D1561" i="10"/>
  <c r="I1561" i="10" s="1"/>
  <c r="D1562" i="10"/>
  <c r="I1562" i="10" s="1"/>
  <c r="D1563" i="10"/>
  <c r="I1563" i="10" s="1"/>
  <c r="D1564" i="10"/>
  <c r="I1564" i="10" s="1"/>
  <c r="D1565" i="10"/>
  <c r="I1565" i="10" s="1"/>
  <c r="D1566" i="10"/>
  <c r="I1566" i="10" s="1"/>
  <c r="D1567" i="10"/>
  <c r="D1568" i="10"/>
  <c r="I1568" i="10" s="1"/>
  <c r="D1569" i="10"/>
  <c r="I1569" i="10" s="1"/>
  <c r="D1570" i="10"/>
  <c r="D1571" i="10"/>
  <c r="I1571" i="10" s="1"/>
  <c r="D1572" i="10"/>
  <c r="I1572" i="10" s="1"/>
  <c r="D1573" i="10"/>
  <c r="I1573" i="10" s="1"/>
  <c r="D1574" i="10"/>
  <c r="I1574" i="10" s="1"/>
  <c r="D1575" i="10"/>
  <c r="D1576" i="10"/>
  <c r="I1576" i="10" s="1"/>
  <c r="D1577" i="10"/>
  <c r="I1577" i="10" s="1"/>
  <c r="D1578" i="10"/>
  <c r="D1579" i="10"/>
  <c r="I1579" i="10" s="1"/>
  <c r="D1580" i="10"/>
  <c r="I1580" i="10" s="1"/>
  <c r="D1581" i="10"/>
  <c r="I1581" i="10" s="1"/>
  <c r="D1582" i="10"/>
  <c r="D1583" i="10"/>
  <c r="D1584" i="10"/>
  <c r="I1584" i="10" s="1"/>
  <c r="D1585" i="10"/>
  <c r="I1585" i="10" s="1"/>
  <c r="D1586" i="10"/>
  <c r="D1587" i="10"/>
  <c r="I1587" i="10" s="1"/>
  <c r="D1588" i="10"/>
  <c r="I1588" i="10" s="1"/>
  <c r="D1589" i="10"/>
  <c r="I1589" i="10" s="1"/>
  <c r="D1590" i="10"/>
  <c r="D1591" i="10"/>
  <c r="D1592" i="10"/>
  <c r="I1592" i="10" s="1"/>
  <c r="D1593" i="10"/>
  <c r="I1593" i="10" s="1"/>
  <c r="D1594" i="10"/>
  <c r="I1594" i="10" s="1"/>
  <c r="D1595" i="10"/>
  <c r="D1596" i="10"/>
  <c r="I1596" i="10" s="1"/>
  <c r="D1597" i="10"/>
  <c r="I1597" i="10" s="1"/>
  <c r="D1598" i="10"/>
  <c r="D1599" i="10"/>
  <c r="I1599" i="10" s="1"/>
  <c r="D1600" i="10"/>
  <c r="I1600" i="10" s="1"/>
  <c r="D1601" i="10"/>
  <c r="I1601" i="10" s="1"/>
  <c r="D1602" i="10"/>
  <c r="D1603" i="10"/>
  <c r="I1603" i="10" s="1"/>
  <c r="D1604" i="10"/>
  <c r="I1604" i="10" s="1"/>
  <c r="D1605" i="10"/>
  <c r="I1605" i="10" s="1"/>
  <c r="D1606" i="10"/>
  <c r="D1607" i="10"/>
  <c r="D1608" i="10"/>
  <c r="I1608" i="10" s="1"/>
  <c r="D1609" i="10"/>
  <c r="I1609" i="10" s="1"/>
  <c r="D1610" i="10"/>
  <c r="I1610" i="10" s="1"/>
  <c r="D1611" i="10"/>
  <c r="I1611" i="10" s="1"/>
  <c r="D1612" i="10"/>
  <c r="I1612" i="10" s="1"/>
  <c r="D1613" i="10"/>
  <c r="I1613" i="10" s="1"/>
  <c r="D1614" i="10"/>
  <c r="I1614" i="10" s="1"/>
  <c r="D1615" i="10"/>
  <c r="D1616" i="10"/>
  <c r="I1616" i="10" s="1"/>
  <c r="D1617" i="10"/>
  <c r="I1617" i="10" s="1"/>
  <c r="D1618" i="10"/>
  <c r="D1619" i="10"/>
  <c r="I1619" i="10" s="1"/>
  <c r="D1620" i="10"/>
  <c r="I1620" i="10" s="1"/>
  <c r="D1621" i="10"/>
  <c r="I1621" i="10" s="1"/>
  <c r="D1622" i="10"/>
  <c r="D1623" i="10"/>
  <c r="I1623" i="10" s="1"/>
  <c r="D1624" i="10"/>
  <c r="I1624" i="10" s="1"/>
  <c r="D1625" i="10"/>
  <c r="I1625" i="10" s="1"/>
  <c r="D1626" i="10"/>
  <c r="D1627" i="10"/>
  <c r="I1627" i="10" s="1"/>
  <c r="D1628" i="10"/>
  <c r="I1628" i="10" s="1"/>
  <c r="D1629" i="10"/>
  <c r="I1629" i="10" s="1"/>
  <c r="D1630" i="10"/>
  <c r="I1630" i="10" s="1"/>
  <c r="D1631" i="10"/>
  <c r="I1631" i="10" s="1"/>
  <c r="D1632" i="10"/>
  <c r="I1632" i="10" s="1"/>
  <c r="D1633" i="10"/>
  <c r="I1633" i="10" s="1"/>
  <c r="D1634" i="10"/>
  <c r="D1635" i="10"/>
  <c r="I1635" i="10" s="1"/>
  <c r="D1636" i="10"/>
  <c r="I1636" i="10" s="1"/>
  <c r="D1637" i="10"/>
  <c r="I1637" i="10" s="1"/>
  <c r="D1638" i="10"/>
  <c r="D1639" i="10"/>
  <c r="I1639" i="10" s="1"/>
  <c r="D1640" i="10"/>
  <c r="I1640" i="10" s="1"/>
  <c r="D1641" i="10"/>
  <c r="I1641" i="10" s="1"/>
  <c r="D1642" i="10"/>
  <c r="I1642" i="10" s="1"/>
  <c r="D1643" i="10"/>
  <c r="I1643" i="10" s="1"/>
  <c r="D1644" i="10"/>
  <c r="I1644" i="10" s="1"/>
  <c r="D1645" i="10"/>
  <c r="I1645" i="10" s="1"/>
  <c r="D1646" i="10"/>
  <c r="D1647" i="10"/>
  <c r="I1647" i="10" s="1"/>
  <c r="D1648" i="10"/>
  <c r="I1648" i="10" s="1"/>
  <c r="D1650" i="10"/>
  <c r="I1650" i="10" s="1"/>
  <c r="D1651" i="10"/>
  <c r="D1652" i="10"/>
  <c r="I1652" i="10" s="1"/>
  <c r="D1653" i="10"/>
  <c r="I1653" i="10" s="1"/>
  <c r="D1654" i="10"/>
  <c r="I1654" i="10" s="1"/>
  <c r="D1655" i="10"/>
  <c r="D1656" i="10"/>
  <c r="I1656" i="10" s="1"/>
  <c r="D1657" i="10"/>
  <c r="I1657" i="10" s="1"/>
  <c r="D1658" i="10"/>
  <c r="I1658" i="10" s="1"/>
  <c r="D1659" i="10"/>
  <c r="D1660" i="10"/>
  <c r="D1661" i="10"/>
  <c r="I1661" i="10" s="1"/>
  <c r="D1662" i="10"/>
  <c r="I1662" i="10" s="1"/>
  <c r="D1663" i="10"/>
  <c r="I1663" i="10" s="1"/>
  <c r="D1664" i="10"/>
  <c r="I1664" i="10" s="1"/>
  <c r="D1665" i="10"/>
  <c r="I1665" i="10" s="1"/>
  <c r="D1666" i="10"/>
  <c r="I1666" i="10" s="1"/>
  <c r="D1667" i="10"/>
  <c r="I1667" i="10" s="1"/>
  <c r="D1668" i="10"/>
  <c r="D1669" i="10"/>
  <c r="I1669" i="10" s="1"/>
  <c r="D1670" i="10"/>
  <c r="I1670" i="10" s="1"/>
  <c r="D1671" i="10"/>
  <c r="D1672" i="10"/>
  <c r="I1672" i="10" s="1"/>
  <c r="D1673" i="10"/>
  <c r="I1673" i="10" s="1"/>
  <c r="D1674" i="10"/>
  <c r="I1674" i="10" s="1"/>
  <c r="D1675" i="10"/>
  <c r="D1676" i="10"/>
  <c r="I1676" i="10" s="1"/>
  <c r="D1677" i="10"/>
  <c r="I1677" i="10" s="1"/>
  <c r="D1678" i="10"/>
  <c r="I1678" i="10" s="1"/>
  <c r="D1679" i="10"/>
  <c r="I1679" i="10" s="1"/>
  <c r="D1680" i="10"/>
  <c r="I1680" i="10" s="1"/>
  <c r="D1681" i="10"/>
  <c r="I1681" i="10" s="1"/>
  <c r="D1682" i="10"/>
  <c r="I1682" i="10" s="1"/>
  <c r="D1683" i="10"/>
  <c r="I1683" i="10" s="1"/>
  <c r="D1684" i="10"/>
  <c r="I1684" i="10" s="1"/>
  <c r="D1685" i="10"/>
  <c r="I1685" i="10" s="1"/>
  <c r="D1686" i="10"/>
  <c r="I1686" i="10" s="1"/>
  <c r="D1687" i="10"/>
  <c r="I1687" i="10" s="1"/>
  <c r="D1688" i="10"/>
  <c r="I1688" i="10" s="1"/>
  <c r="D1689" i="10"/>
  <c r="I1689" i="10" s="1"/>
  <c r="D1690" i="10"/>
  <c r="I1690" i="10" s="1"/>
  <c r="D1691" i="10"/>
  <c r="D1692" i="10"/>
  <c r="I1692" i="10" s="1"/>
  <c r="D1693" i="10"/>
  <c r="I1693" i="10" s="1"/>
  <c r="D1694" i="10"/>
  <c r="I1694" i="10" s="1"/>
  <c r="D1695" i="10"/>
  <c r="I1695" i="10" s="1"/>
  <c r="D1696" i="10"/>
  <c r="I1696" i="10" s="1"/>
  <c r="D1697" i="10"/>
  <c r="I1697" i="10" s="1"/>
  <c r="D1699" i="10"/>
  <c r="I1699" i="10" s="1"/>
  <c r="D1700" i="10"/>
  <c r="D1701" i="10"/>
  <c r="I1701" i="10" s="1"/>
  <c r="D1702" i="10"/>
  <c r="I1702" i="10" s="1"/>
  <c r="D1703" i="10"/>
  <c r="I1703" i="10" s="1"/>
  <c r="D1704" i="10"/>
  <c r="D1705" i="10"/>
  <c r="I1705" i="10" s="1"/>
  <c r="D1706" i="10"/>
  <c r="I1706" i="10" s="1"/>
  <c r="D1707" i="10"/>
  <c r="I1707" i="10" s="1"/>
  <c r="D1708" i="10"/>
  <c r="I1708" i="10" s="1"/>
  <c r="D1709" i="10"/>
  <c r="I1709" i="10" s="1"/>
  <c r="D1710" i="10"/>
  <c r="I1710" i="10" s="1"/>
  <c r="D1711" i="10"/>
  <c r="I1711" i="10" s="1"/>
  <c r="D1712" i="10"/>
  <c r="I1712" i="10" s="1"/>
  <c r="D1713" i="10"/>
  <c r="I1713" i="10" s="1"/>
  <c r="D1714" i="10"/>
  <c r="I1714" i="10" s="1"/>
  <c r="D1715" i="10"/>
  <c r="I1715" i="10" s="1"/>
  <c r="D1716" i="10"/>
  <c r="D1717" i="10"/>
  <c r="I1717" i="10" s="1"/>
  <c r="D1718" i="10"/>
  <c r="I1718" i="10" s="1"/>
  <c r="D1719" i="10"/>
  <c r="I1719" i="10" s="1"/>
  <c r="D1720" i="10"/>
  <c r="D1721" i="10"/>
  <c r="I1721" i="10" s="1"/>
  <c r="D1723" i="10"/>
  <c r="I1723" i="10" s="1"/>
  <c r="D1724" i="10"/>
  <c r="I1724" i="10" s="1"/>
  <c r="D1725" i="10"/>
  <c r="I1725" i="10" s="1"/>
  <c r="D1726" i="10"/>
  <c r="I1726" i="10" s="1"/>
  <c r="D1728" i="10"/>
  <c r="I1728" i="10" s="1"/>
  <c r="D1729" i="10"/>
  <c r="I1729" i="10" s="1"/>
  <c r="D1730" i="10"/>
  <c r="I1730" i="10" s="1"/>
  <c r="D1733" i="10"/>
  <c r="I1733" i="10" s="1"/>
  <c r="D1734" i="10"/>
  <c r="I1734" i="10" s="1"/>
  <c r="D1736" i="10"/>
  <c r="I1736" i="10" s="1"/>
  <c r="D1737" i="10"/>
  <c r="I1737" i="10" s="1"/>
  <c r="D1738" i="10"/>
  <c r="I1738" i="10" s="1"/>
  <c r="D1739" i="10"/>
  <c r="I1739" i="10" s="1"/>
  <c r="D1740" i="10"/>
  <c r="I1740" i="10" s="1"/>
  <c r="D1741" i="10"/>
  <c r="I1741" i="10" s="1"/>
  <c r="D1742" i="10"/>
  <c r="I1742" i="10" s="1"/>
  <c r="D1743" i="10"/>
  <c r="I1743" i="10" s="1"/>
  <c r="D1746" i="10"/>
  <c r="I1746" i="10" s="1"/>
  <c r="D1748" i="10"/>
  <c r="D1749" i="10"/>
  <c r="I1749" i="10" s="1"/>
  <c r="D1750" i="10"/>
  <c r="I1750" i="10" s="1"/>
  <c r="D1752" i="10"/>
  <c r="I1752" i="10" s="1"/>
  <c r="D1753" i="10"/>
  <c r="I1753" i="10" s="1"/>
  <c r="D1754" i="10"/>
  <c r="I1754" i="10" s="1"/>
  <c r="D1755" i="10"/>
  <c r="I1755" i="10" s="1"/>
  <c r="D1756" i="10"/>
  <c r="I1756" i="10" s="1"/>
  <c r="D1758" i="10"/>
  <c r="I1758" i="10" s="1"/>
  <c r="D1759" i="10"/>
  <c r="I1759" i="10" s="1"/>
  <c r="D1760" i="10"/>
  <c r="I1760" i="10" s="1"/>
  <c r="D1761" i="10"/>
  <c r="I1761" i="10" s="1"/>
  <c r="D1762" i="10"/>
  <c r="D1763" i="10"/>
  <c r="I1763" i="10" s="1"/>
  <c r="D1764" i="10"/>
  <c r="I1764" i="10" s="1"/>
  <c r="D1765" i="10"/>
  <c r="I1765" i="10" s="1"/>
  <c r="D1766" i="10"/>
  <c r="I1766" i="10" s="1"/>
  <c r="D1768" i="10"/>
  <c r="I1768" i="10" s="1"/>
  <c r="D1769" i="10"/>
  <c r="I1769" i="10" s="1"/>
  <c r="D1770" i="10"/>
  <c r="I1770" i="10" s="1"/>
  <c r="D1771" i="10"/>
  <c r="D1772" i="10"/>
  <c r="I1772" i="10" s="1"/>
  <c r="D1773" i="10"/>
  <c r="I1773" i="10" s="1"/>
  <c r="D1774" i="10"/>
  <c r="I1774" i="10" s="1"/>
  <c r="D1775" i="10"/>
  <c r="I1775" i="10" s="1"/>
  <c r="D1776" i="10"/>
  <c r="I1776" i="10" s="1"/>
  <c r="D1777" i="10"/>
  <c r="I1777" i="10" s="1"/>
  <c r="D1778" i="10"/>
  <c r="I1778" i="10" s="1"/>
  <c r="D1779" i="10"/>
  <c r="I1779" i="10" s="1"/>
  <c r="D1780" i="10"/>
  <c r="I1780" i="10" s="1"/>
  <c r="D1781" i="10"/>
  <c r="I1781" i="10" s="1"/>
  <c r="D1782" i="10"/>
  <c r="I1782" i="10" s="1"/>
  <c r="D1783" i="10"/>
  <c r="D1784" i="10"/>
  <c r="I1784" i="10" s="1"/>
  <c r="D1785" i="10"/>
  <c r="I1785" i="10" s="1"/>
  <c r="D1786" i="10"/>
  <c r="I1786" i="10" s="1"/>
  <c r="D1788" i="10"/>
  <c r="D1789" i="10"/>
  <c r="I1789" i="10" s="1"/>
  <c r="D1790" i="10"/>
  <c r="I1790" i="10" s="1"/>
  <c r="D1791" i="10"/>
  <c r="I1791" i="10" s="1"/>
  <c r="D1792" i="10"/>
  <c r="I1792" i="10" s="1"/>
  <c r="D1793" i="10"/>
  <c r="I1793" i="10" s="1"/>
  <c r="D1794" i="10"/>
  <c r="I1794" i="10" s="1"/>
  <c r="D1795" i="10"/>
  <c r="I1795" i="10" s="1"/>
  <c r="D1796" i="10"/>
  <c r="I1796" i="10" s="1"/>
  <c r="D1797" i="10"/>
  <c r="I1797" i="10" s="1"/>
  <c r="D1799" i="10"/>
  <c r="I1799" i="10" s="1"/>
  <c r="D1800" i="10"/>
  <c r="I1800" i="10" s="1"/>
  <c r="D1801" i="10"/>
  <c r="D1802" i="10"/>
  <c r="I1802" i="10" s="1"/>
  <c r="D1803" i="10"/>
  <c r="I1803" i="10" s="1"/>
  <c r="D1804" i="10"/>
  <c r="I1804" i="10" s="1"/>
  <c r="D1805" i="10"/>
  <c r="I1805" i="10" s="1"/>
  <c r="D1806" i="10"/>
  <c r="I1806" i="10" s="1"/>
  <c r="D1807" i="10"/>
  <c r="I1807" i="10" s="1"/>
  <c r="D1808" i="10"/>
  <c r="I1808" i="10" s="1"/>
  <c r="D1809" i="10"/>
  <c r="I1809" i="10" s="1"/>
  <c r="D1810" i="10"/>
  <c r="I1810" i="10" s="1"/>
  <c r="D1811" i="10"/>
  <c r="I1811" i="10" s="1"/>
  <c r="D1812" i="10"/>
  <c r="I1812" i="10" s="1"/>
  <c r="D1813" i="10"/>
  <c r="I1813" i="10" s="1"/>
  <c r="D1814" i="10"/>
  <c r="I1814" i="10" s="1"/>
  <c r="D1815" i="10"/>
  <c r="I1815" i="10" s="1"/>
  <c r="D1816" i="10"/>
  <c r="I1816" i="10" s="1"/>
  <c r="D1817" i="10"/>
  <c r="I1817" i="10" s="1"/>
  <c r="D1818" i="10"/>
  <c r="I1818" i="10" s="1"/>
  <c r="D1819" i="10"/>
  <c r="I1819" i="10" s="1"/>
  <c r="D1820" i="10"/>
  <c r="I1820" i="10" s="1"/>
  <c r="D1821" i="10"/>
  <c r="I1821" i="10" s="1"/>
  <c r="D1822" i="10"/>
  <c r="I1822" i="10" s="1"/>
  <c r="D1823" i="10"/>
  <c r="I1823" i="10" s="1"/>
  <c r="D1824" i="10"/>
  <c r="I1824" i="10" s="1"/>
  <c r="D1825" i="10"/>
  <c r="I1825" i="10" s="1"/>
  <c r="D1826" i="10"/>
  <c r="I1826" i="10" s="1"/>
  <c r="D1827" i="10"/>
  <c r="I1827" i="10" s="1"/>
  <c r="D1828" i="10"/>
  <c r="I1828" i="10" s="1"/>
  <c r="D1829" i="10"/>
  <c r="I1829" i="10" s="1"/>
  <c r="D1830" i="10"/>
  <c r="I1830" i="10" s="1"/>
  <c r="D1831" i="10"/>
  <c r="I1831" i="10" s="1"/>
  <c r="D1832" i="10"/>
  <c r="I1832" i="10" s="1"/>
  <c r="D1833" i="10"/>
  <c r="I1833" i="10" s="1"/>
  <c r="D1834" i="10"/>
  <c r="I1834" i="10" s="1"/>
  <c r="D1835" i="10"/>
  <c r="I1835" i="10" s="1"/>
  <c r="D1836" i="10"/>
  <c r="I1836" i="10" s="1"/>
  <c r="D1837" i="10"/>
  <c r="D1838" i="10"/>
  <c r="I1838" i="10" s="1"/>
  <c r="D1839" i="10"/>
  <c r="I1839" i="10" s="1"/>
  <c r="D1840" i="10"/>
  <c r="I1840" i="10" s="1"/>
  <c r="D1841" i="10"/>
  <c r="I1841" i="10" s="1"/>
  <c r="D1842" i="10"/>
  <c r="I1842" i="10" s="1"/>
  <c r="D1843" i="10"/>
  <c r="I1843" i="10" s="1"/>
  <c r="D1844" i="10"/>
  <c r="I1844" i="10" s="1"/>
  <c r="D1845" i="10"/>
  <c r="D1846" i="10"/>
  <c r="I1846" i="10" s="1"/>
  <c r="D1847" i="10"/>
  <c r="I1847" i="10" s="1"/>
  <c r="D1848" i="10"/>
  <c r="I1848" i="10" s="1"/>
  <c r="F2" i="13"/>
  <c r="H2" i="13"/>
  <c r="J2" i="13"/>
  <c r="L2" i="13"/>
  <c r="C6" i="13"/>
  <c r="C7" i="13"/>
  <c r="C16" i="13"/>
  <c r="C18" i="13"/>
  <c r="C25" i="13"/>
  <c r="C31" i="13"/>
  <c r="C32" i="13"/>
  <c r="I1845" i="10"/>
  <c r="I1837" i="10"/>
  <c r="I1798" i="10"/>
  <c r="I1801" i="10"/>
  <c r="I1788" i="10"/>
  <c r="I1787" i="10"/>
  <c r="I1783" i="10"/>
  <c r="I1771" i="10"/>
  <c r="I1767" i="10"/>
  <c r="I1762" i="10"/>
  <c r="I1757" i="10"/>
  <c r="I1751" i="10"/>
  <c r="I1748" i="10"/>
  <c r="I1745" i="10"/>
  <c r="I1747" i="10"/>
  <c r="I1744" i="10"/>
  <c r="I1731" i="10"/>
  <c r="I1732" i="10"/>
  <c r="I1735" i="10"/>
  <c r="I1727" i="10"/>
  <c r="I1720" i="10"/>
  <c r="I1722" i="10"/>
  <c r="I1716" i="10"/>
  <c r="I1704" i="10"/>
  <c r="I1700" i="10"/>
  <c r="I1698" i="10"/>
  <c r="I1691" i="10"/>
  <c r="I1668" i="10"/>
  <c r="I1671" i="10"/>
  <c r="I1675" i="10"/>
  <c r="I1655" i="10"/>
  <c r="I1659" i="10"/>
  <c r="I1660" i="10"/>
  <c r="I1649" i="10"/>
  <c r="I1651" i="10"/>
  <c r="I1646" i="10"/>
  <c r="I1638" i="10"/>
  <c r="I1634" i="10"/>
  <c r="I1626" i="10"/>
  <c r="I1615" i="10"/>
  <c r="I1618" i="10"/>
  <c r="I1622" i="10"/>
  <c r="I1606" i="10"/>
  <c r="B54" i="13"/>
  <c r="B53" i="13"/>
  <c r="B51" i="13"/>
  <c r="B50" i="13"/>
  <c r="B49" i="13"/>
  <c r="I1602" i="10"/>
  <c r="I1598" i="10"/>
  <c r="I1595" i="10"/>
  <c r="I1586" i="10"/>
  <c r="I1590" i="10"/>
  <c r="I1591" i="10"/>
  <c r="I1583" i="10"/>
  <c r="I1578" i="10"/>
  <c r="I1582" i="10"/>
  <c r="I1567" i="10"/>
  <c r="I1570" i="10"/>
  <c r="I1575" i="10"/>
  <c r="I1550" i="10"/>
  <c r="I1554" i="10"/>
  <c r="I1558" i="10"/>
  <c r="I1547" i="10"/>
  <c r="I1542" i="10"/>
  <c r="I1534" i="10"/>
  <c r="I1522" i="10"/>
  <c r="I1526" i="10"/>
  <c r="I1530" i="10"/>
  <c r="I1519" i="10"/>
  <c r="I1510" i="10"/>
  <c r="I1498" i="10"/>
  <c r="I1486" i="10"/>
  <c r="I1482" i="10"/>
  <c r="I1470" i="10"/>
  <c r="I1471" i="10"/>
  <c r="I1466" i="10"/>
  <c r="I1462" i="10"/>
  <c r="I1459" i="10"/>
  <c r="I1454" i="10"/>
  <c r="I1450" i="10"/>
  <c r="I1439" i="10"/>
  <c r="I1442" i="10"/>
  <c r="I1443" i="10"/>
  <c r="I1434" i="10"/>
  <c r="I1435" i="10"/>
  <c r="I1438" i="10"/>
  <c r="I1426" i="10"/>
  <c r="I1422" i="10"/>
  <c r="I1415" i="10"/>
  <c r="I1410" i="10"/>
  <c r="I1411" i="10"/>
  <c r="I1406" i="10"/>
  <c r="I1395" i="10"/>
  <c r="I1399" i="10"/>
  <c r="I1403" i="10"/>
  <c r="I1387" i="10"/>
  <c r="I1391" i="10"/>
  <c r="I1378" i="10"/>
  <c r="I1374" i="10"/>
  <c r="I1375" i="10"/>
  <c r="I1370" i="10"/>
  <c r="I1371" i="10"/>
  <c r="I1366" i="10"/>
  <c r="I1367" i="10"/>
  <c r="I1363" i="10"/>
  <c r="I1359" i="10"/>
  <c r="I1354" i="10"/>
  <c r="I1351" i="10"/>
  <c r="I1350" i="10"/>
  <c r="I1339" i="10"/>
  <c r="I1341" i="10"/>
  <c r="I1342" i="10"/>
  <c r="I1343" i="10"/>
  <c r="I1346" i="10"/>
  <c r="I1347" i="10"/>
  <c r="I1338" i="10"/>
  <c r="I1335" i="10"/>
  <c r="I1334" i="10"/>
  <c r="I1333" i="10"/>
  <c r="I1331" i="10"/>
  <c r="I1326" i="10"/>
  <c r="I1327" i="10"/>
  <c r="I1323" i="10"/>
  <c r="C41" i="13"/>
  <c r="I1314" i="10"/>
  <c r="I1315" i="10"/>
  <c r="I1318" i="10"/>
  <c r="I1307" i="10"/>
  <c r="I1305" i="10"/>
  <c r="I1303" i="10"/>
  <c r="I1299" i="10"/>
  <c r="I1298" i="10"/>
  <c r="I1287" i="10"/>
  <c r="I1291" i="10"/>
  <c r="I1295" i="10"/>
  <c r="I1282" i="10"/>
  <c r="I1277" i="10"/>
  <c r="I1279" i="10"/>
  <c r="I1275" i="10"/>
  <c r="I1259" i="10"/>
  <c r="I1263" i="10"/>
  <c r="I1267" i="10"/>
  <c r="I1255" i="10"/>
  <c r="I1250" i="10"/>
  <c r="I1251" i="10"/>
  <c r="I1247" i="10"/>
  <c r="I1246" i="10"/>
  <c r="I1243" i="10"/>
  <c r="I1242" i="10"/>
  <c r="I1239" i="10"/>
  <c r="I1230" i="10"/>
  <c r="I1231" i="10"/>
  <c r="I1234" i="10"/>
  <c r="I1235" i="10"/>
  <c r="I1227" i="10"/>
  <c r="F42" i="5"/>
  <c r="N3" i="6"/>
  <c r="N4" i="6"/>
  <c r="N5" i="6"/>
  <c r="N6" i="6"/>
  <c r="N7" i="6"/>
  <c r="N8" i="6"/>
  <c r="N9" i="6"/>
  <c r="N10" i="6"/>
  <c r="N11" i="6"/>
  <c r="N12" i="6"/>
  <c r="I1226" i="10"/>
  <c r="I1211" i="10"/>
  <c r="I1213" i="10"/>
  <c r="I1214" i="10"/>
  <c r="I1215" i="10"/>
  <c r="I1203" i="10"/>
  <c r="I1205" i="10"/>
  <c r="I1207" i="10"/>
  <c r="I1202" i="10"/>
  <c r="I1210" i="10"/>
  <c r="I1198" i="10"/>
  <c r="I1199" i="10"/>
  <c r="I1194" i="10"/>
  <c r="I1195" i="10"/>
  <c r="I1190" i="10"/>
  <c r="I1191" i="10"/>
  <c r="I1186" i="10"/>
  <c r="I1183" i="10"/>
  <c r="I1182" i="10"/>
  <c r="I1187" i="10"/>
  <c r="I1181" i="10"/>
  <c r="I1175" i="10"/>
  <c r="I1179" i="10"/>
  <c r="I1173" i="10"/>
  <c r="I1174" i="10"/>
  <c r="I1170" i="10"/>
  <c r="I1171" i="10"/>
  <c r="I1166" i="10"/>
  <c r="I1167" i="10"/>
  <c r="I1163" i="10"/>
  <c r="I1162" i="10"/>
  <c r="I1159" i="10"/>
  <c r="I1158" i="10"/>
  <c r="I1151" i="10"/>
  <c r="I1155" i="10"/>
  <c r="I1146" i="10"/>
  <c r="I1147" i="10"/>
  <c r="I1150" i="10"/>
  <c r="I1142" i="10"/>
  <c r="I1143" i="10"/>
  <c r="I1139" i="10"/>
  <c r="I1135" i="10"/>
  <c r="I1131" i="10"/>
  <c r="I1126" i="10"/>
  <c r="I1127" i="10"/>
  <c r="I1119" i="10"/>
  <c r="I1122" i="10"/>
  <c r="I1123" i="10"/>
  <c r="I1115" i="10"/>
  <c r="I1117" i="10"/>
  <c r="I1111" i="10"/>
  <c r="I1106" i="10"/>
  <c r="I1107" i="10"/>
  <c r="I1103" i="10"/>
  <c r="I1098" i="10"/>
  <c r="I1099" i="10"/>
  <c r="I1094" i="10"/>
  <c r="I1095" i="10"/>
  <c r="I1090" i="10"/>
  <c r="I1093" i="10"/>
  <c r="I1091" i="10"/>
  <c r="I1087" i="10"/>
  <c r="I1083" i="10"/>
  <c r="I1086" i="10"/>
  <c r="I1082" i="10"/>
  <c r="I1078" i="10"/>
  <c r="I1075" i="10"/>
  <c r="I1079" i="10"/>
  <c r="I1071" i="10"/>
  <c r="I1073" i="10"/>
  <c r="I1074" i="10"/>
  <c r="I1063" i="10"/>
  <c r="I1070" i="10"/>
  <c r="I1069" i="10"/>
  <c r="I1067" i="10"/>
  <c r="I1058" i="10"/>
  <c r="I1059" i="10"/>
  <c r="I1062" i="10"/>
  <c r="I1050" i="10"/>
  <c r="I1051" i="10"/>
  <c r="I1054" i="10"/>
  <c r="I1055" i="10"/>
  <c r="I1047" i="10"/>
  <c r="I1043" i="10"/>
  <c r="I1039" i="10"/>
  <c r="I1042" i="10"/>
  <c r="I1046" i="10"/>
  <c r="I1034" i="10"/>
  <c r="I1035" i="10"/>
  <c r="I1036" i="10"/>
  <c r="I1038" i="10"/>
  <c r="I1031" i="10"/>
  <c r="I1026" i="10"/>
  <c r="I1027" i="10"/>
  <c r="I1030" i="10"/>
  <c r="I1023" i="10"/>
  <c r="I1022" i="10"/>
  <c r="I1018" i="10"/>
  <c r="I1019" i="10"/>
  <c r="I1009" i="10"/>
  <c r="I1010" i="10"/>
  <c r="I1011" i="10"/>
  <c r="I1015" i="10"/>
  <c r="I1013" i="10"/>
  <c r="I1007" i="10"/>
  <c r="I1223" i="10"/>
  <c r="I1222" i="10"/>
  <c r="I1221" i="10"/>
  <c r="I1219" i="10"/>
  <c r="N2" i="13"/>
  <c r="AB35" i="1"/>
  <c r="I1003" i="10"/>
  <c r="I995" i="10"/>
  <c r="I999" i="10"/>
  <c r="I990" i="10"/>
  <c r="I991" i="10"/>
  <c r="I994" i="10"/>
  <c r="I986" i="10"/>
  <c r="I987" i="10"/>
  <c r="I982" i="10"/>
  <c r="I983" i="10"/>
  <c r="I979" i="10"/>
  <c r="I975" i="10"/>
  <c r="I978" i="10"/>
  <c r="I974" i="10"/>
  <c r="I970" i="10"/>
  <c r="I971" i="10"/>
  <c r="I972" i="10"/>
  <c r="I966" i="10"/>
  <c r="I967" i="10"/>
  <c r="I968" i="10"/>
  <c r="I959" i="10"/>
  <c r="I960" i="10"/>
  <c r="I962" i="10"/>
  <c r="I963" i="10"/>
  <c r="I958" i="10"/>
  <c r="I951" i="10"/>
  <c r="I954" i="10"/>
  <c r="I955" i="10"/>
  <c r="I942" i="10"/>
  <c r="I943" i="10"/>
  <c r="I945" i="10"/>
  <c r="I946" i="10"/>
  <c r="I947" i="10"/>
  <c r="I950" i="10"/>
  <c r="I938" i="10"/>
  <c r="I939" i="10"/>
  <c r="I934" i="10"/>
  <c r="I935" i="10"/>
  <c r="I928" i="10"/>
  <c r="I930" i="10"/>
  <c r="I931" i="10"/>
  <c r="I932" i="10"/>
  <c r="I926" i="10"/>
  <c r="I927" i="10"/>
  <c r="I923" i="10"/>
  <c r="I924" i="10"/>
  <c r="I921" i="10"/>
  <c r="I922" i="10"/>
  <c r="I915" i="10"/>
  <c r="I916" i="10"/>
  <c r="I917" i="10"/>
  <c r="I918" i="10"/>
  <c r="I914" i="10"/>
  <c r="I919" i="10"/>
  <c r="I903" i="10"/>
  <c r="I904" i="10"/>
  <c r="I906" i="10"/>
  <c r="I907" i="10"/>
  <c r="I902" i="10"/>
  <c r="I908" i="10"/>
  <c r="I910" i="10"/>
  <c r="I911" i="10"/>
  <c r="I912" i="10"/>
  <c r="I895" i="10"/>
  <c r="I898" i="10"/>
  <c r="I899" i="10"/>
  <c r="P2" i="13"/>
  <c r="I886" i="10"/>
  <c r="I887" i="10"/>
  <c r="I890" i="10"/>
  <c r="I891" i="10"/>
  <c r="I894" i="10"/>
  <c r="I882" i="10"/>
  <c r="I883" i="10"/>
  <c r="I878" i="10"/>
  <c r="I879" i="10"/>
  <c r="I874" i="10"/>
  <c r="I875" i="10"/>
  <c r="I867" i="10"/>
  <c r="I870" i="10"/>
  <c r="I871" i="10"/>
  <c r="I862" i="10"/>
  <c r="I863" i="10"/>
  <c r="I864" i="10"/>
  <c r="I866" i="10"/>
  <c r="I858" i="10"/>
  <c r="I859" i="10"/>
  <c r="I860" i="10"/>
  <c r="I854" i="10"/>
  <c r="I855" i="10"/>
  <c r="I842" i="10"/>
  <c r="I843" i="10"/>
  <c r="I844" i="10"/>
  <c r="I846" i="10"/>
  <c r="I847" i="10"/>
  <c r="I848" i="10"/>
  <c r="I850" i="10"/>
  <c r="I851" i="10"/>
  <c r="I852" i="10"/>
  <c r="I839" i="10"/>
  <c r="I840" i="10"/>
  <c r="I831" i="10"/>
  <c r="I834" i="10"/>
  <c r="I835" i="10"/>
  <c r="I838" i="10"/>
  <c r="I830" i="10"/>
  <c r="I823" i="10"/>
  <c r="I826" i="10"/>
  <c r="I827" i="10"/>
  <c r="I815" i="10"/>
  <c r="I818" i="10"/>
  <c r="I819" i="10"/>
  <c r="I822" i="10"/>
  <c r="I814" i="10"/>
  <c r="I811" i="10"/>
  <c r="I812" i="10"/>
  <c r="I806" i="10"/>
  <c r="I807" i="10"/>
  <c r="I808" i="10"/>
  <c r="I810" i="10"/>
  <c r="I799" i="10"/>
  <c r="I802" i="10"/>
  <c r="I803" i="10"/>
  <c r="I798" i="10"/>
  <c r="I794" i="10"/>
  <c r="I795" i="10"/>
  <c r="I790" i="10"/>
  <c r="I791" i="10"/>
  <c r="I779" i="10"/>
  <c r="I782" i="10"/>
  <c r="I783" i="10"/>
  <c r="I786" i="10"/>
  <c r="I787" i="10"/>
  <c r="I778" i="10"/>
  <c r="I763" i="10"/>
  <c r="I766" i="10"/>
  <c r="I767" i="10"/>
  <c r="I770" i="10"/>
  <c r="I771" i="10"/>
  <c r="I774" i="10"/>
  <c r="I775" i="10"/>
  <c r="R2" i="13"/>
  <c r="I755" i="10"/>
  <c r="I758" i="10"/>
  <c r="I759" i="10"/>
  <c r="I762" i="10"/>
  <c r="I753" i="10"/>
  <c r="I754" i="10"/>
  <c r="I747" i="10"/>
  <c r="I750" i="10"/>
  <c r="I751" i="10"/>
  <c r="I746" i="10"/>
  <c r="I742" i="10"/>
  <c r="I743" i="10"/>
  <c r="I745" i="10"/>
  <c r="I735" i="10"/>
  <c r="I736" i="10"/>
  <c r="I738" i="10"/>
  <c r="I739" i="10"/>
  <c r="I740" i="10"/>
  <c r="I730" i="10"/>
  <c r="I731" i="10"/>
  <c r="I732" i="10"/>
  <c r="I734" i="10"/>
  <c r="I727" i="10"/>
  <c r="I728" i="10"/>
  <c r="I725" i="10"/>
  <c r="I726" i="10"/>
  <c r="I714" i="10"/>
  <c r="I715" i="10"/>
  <c r="I717" i="10"/>
  <c r="I718" i="10"/>
  <c r="I719" i="10"/>
  <c r="I722" i="10"/>
  <c r="I723" i="10"/>
  <c r="I710" i="10"/>
  <c r="I711" i="10"/>
  <c r="I706" i="10"/>
  <c r="I707" i="10"/>
  <c r="I702" i="10"/>
  <c r="I703" i="10"/>
  <c r="I705" i="10"/>
  <c r="I690" i="10"/>
  <c r="I691" i="10"/>
  <c r="I694" i="10"/>
  <c r="I695" i="10"/>
  <c r="I698" i="10"/>
  <c r="I699" i="10"/>
  <c r="I682" i="10"/>
  <c r="I683" i="10"/>
  <c r="I686" i="10"/>
  <c r="I687" i="10"/>
  <c r="I689" i="10"/>
  <c r="I678" i="10"/>
  <c r="I679" i="10"/>
  <c r="I674" i="10"/>
  <c r="I675" i="10"/>
  <c r="I670" i="10"/>
  <c r="I671" i="10"/>
  <c r="I665" i="10"/>
  <c r="I666" i="10"/>
  <c r="I667" i="10"/>
  <c r="I662" i="10"/>
  <c r="I663" i="10"/>
  <c r="I658" i="10"/>
  <c r="I659" i="10"/>
  <c r="I654" i="10"/>
  <c r="I655" i="10"/>
  <c r="I650" i="10"/>
  <c r="I651" i="10"/>
  <c r="I638" i="10"/>
  <c r="I639" i="10"/>
  <c r="I642" i="10"/>
  <c r="I643" i="10"/>
  <c r="I646" i="10"/>
  <c r="I647" i="10"/>
  <c r="T2" i="13"/>
  <c r="AA55" i="1"/>
  <c r="Z55" i="1"/>
  <c r="Y55" i="1"/>
  <c r="X55" i="1"/>
  <c r="W55" i="1"/>
  <c r="V55" i="1"/>
  <c r="U55" i="1"/>
  <c r="T55" i="1"/>
  <c r="S55" i="1"/>
  <c r="R55" i="1"/>
  <c r="Q55" i="1"/>
  <c r="P55" i="1"/>
  <c r="AB54" i="1"/>
  <c r="V2" i="13"/>
  <c r="C2" i="6"/>
  <c r="B3" i="6"/>
  <c r="C3" i="6"/>
  <c r="B4" i="6"/>
  <c r="C4" i="6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I603" i="10"/>
  <c r="I602" i="10"/>
  <c r="I601" i="10"/>
  <c r="I599" i="10"/>
  <c r="I598" i="10"/>
  <c r="I595" i="10"/>
  <c r="I594" i="10"/>
  <c r="I591" i="10"/>
  <c r="I590" i="10"/>
  <c r="I586" i="10"/>
  <c r="I587" i="10"/>
  <c r="I583" i="10"/>
  <c r="I582" i="10"/>
  <c r="I579" i="10"/>
  <c r="I578" i="10"/>
  <c r="I574" i="10"/>
  <c r="I575" i="10"/>
  <c r="X2" i="13"/>
  <c r="B7" i="11"/>
  <c r="B10" i="11"/>
  <c r="E6" i="3"/>
  <c r="E7" i="3"/>
  <c r="E8" i="3"/>
  <c r="E9" i="3"/>
  <c r="E10" i="3"/>
  <c r="E11" i="3"/>
  <c r="E12" i="3"/>
  <c r="E13" i="3"/>
  <c r="E14" i="3"/>
  <c r="E15" i="3"/>
  <c r="E16" i="3"/>
  <c r="E17" i="3"/>
  <c r="E54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54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54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F1" i="3"/>
  <c r="F2" i="3"/>
  <c r="F3" i="3"/>
  <c r="F4" i="3"/>
  <c r="E9" i="8"/>
  <c r="E18" i="8"/>
  <c r="E19" i="8"/>
  <c r="E20" i="8"/>
  <c r="F9" i="8"/>
  <c r="F18" i="8"/>
  <c r="F19" i="8"/>
  <c r="F20" i="8"/>
  <c r="G9" i="8"/>
  <c r="G18" i="8"/>
  <c r="G19" i="8"/>
  <c r="G20" i="8"/>
  <c r="H9" i="8"/>
  <c r="H18" i="8"/>
  <c r="H19" i="8"/>
  <c r="H20" i="8"/>
  <c r="I9" i="8"/>
  <c r="I18" i="8"/>
  <c r="I19" i="8"/>
  <c r="I20" i="8"/>
  <c r="E21" i="8"/>
  <c r="E10" i="8"/>
  <c r="E11" i="8"/>
  <c r="E12" i="8"/>
  <c r="E13" i="8"/>
  <c r="E14" i="8"/>
  <c r="E15" i="8"/>
  <c r="F10" i="8"/>
  <c r="F11" i="8"/>
  <c r="F12" i="8"/>
  <c r="F13" i="8"/>
  <c r="F14" i="8"/>
  <c r="F15" i="8"/>
  <c r="G10" i="8"/>
  <c r="G11" i="8"/>
  <c r="G12" i="8"/>
  <c r="G13" i="8"/>
  <c r="G14" i="8"/>
  <c r="G15" i="8"/>
  <c r="H10" i="8"/>
  <c r="H11" i="8"/>
  <c r="H12" i="8"/>
  <c r="H13" i="8"/>
  <c r="H14" i="8"/>
  <c r="H15" i="8"/>
  <c r="I10" i="8"/>
  <c r="I11" i="8"/>
  <c r="I12" i="8"/>
  <c r="I13" i="8"/>
  <c r="I14" i="8"/>
  <c r="I15" i="8"/>
  <c r="E16" i="8"/>
  <c r="B6" i="8"/>
  <c r="B4" i="8"/>
  <c r="C35" i="5"/>
  <c r="K3" i="6"/>
  <c r="K4" i="6"/>
  <c r="K5" i="6"/>
  <c r="K6" i="6"/>
  <c r="K7" i="6"/>
  <c r="K8" i="6"/>
  <c r="K9" i="6"/>
  <c r="K10" i="6"/>
  <c r="K11" i="6"/>
  <c r="K12" i="6"/>
  <c r="D35" i="5"/>
  <c r="F35" i="5"/>
  <c r="H26" i="5"/>
  <c r="H35" i="5"/>
  <c r="J35" i="5"/>
  <c r="L4" i="5"/>
  <c r="L30" i="5"/>
  <c r="L33" i="5"/>
  <c r="L35" i="5"/>
  <c r="N30" i="5"/>
  <c r="N39" i="5"/>
  <c r="N35" i="5"/>
  <c r="P35" i="5"/>
  <c r="R35" i="5"/>
  <c r="T35" i="5"/>
  <c r="V35" i="5"/>
  <c r="X33" i="5"/>
  <c r="X35" i="5"/>
  <c r="Z22" i="5"/>
  <c r="Z35" i="5"/>
  <c r="AB35" i="5"/>
  <c r="AD35" i="5"/>
  <c r="AF35" i="5"/>
  <c r="AH35" i="5"/>
  <c r="AJ35" i="5"/>
  <c r="AL35" i="5"/>
  <c r="AN35" i="5"/>
  <c r="AP35" i="5"/>
  <c r="I607" i="10"/>
  <c r="I606" i="10"/>
  <c r="I611" i="10"/>
  <c r="I610" i="10"/>
  <c r="I615" i="10"/>
  <c r="I614" i="10"/>
  <c r="I617" i="10"/>
  <c r="I619" i="10"/>
  <c r="I618" i="10"/>
  <c r="I622" i="10"/>
  <c r="I624" i="10"/>
  <c r="I623" i="10"/>
  <c r="I626" i="10"/>
  <c r="I627" i="10"/>
  <c r="I629" i="10"/>
  <c r="I630" i="10"/>
  <c r="I631" i="10"/>
  <c r="I636" i="10"/>
  <c r="I635" i="10"/>
  <c r="I634" i="10"/>
  <c r="I632" i="10"/>
  <c r="I546" i="10"/>
  <c r="I526" i="10"/>
  <c r="I534" i="10"/>
  <c r="I503" i="10"/>
  <c r="I567" i="10"/>
  <c r="I516" i="10"/>
  <c r="I515" i="10"/>
  <c r="I502" i="10"/>
  <c r="I566" i="10"/>
  <c r="I555" i="10"/>
  <c r="I554" i="10"/>
  <c r="I558" i="10"/>
  <c r="I507" i="10"/>
  <c r="I501" i="10"/>
  <c r="I573" i="10"/>
  <c r="I559" i="10"/>
  <c r="I511" i="10"/>
  <c r="I538" i="10"/>
  <c r="I561" i="10"/>
  <c r="I523" i="10"/>
  <c r="I539" i="10"/>
  <c r="I510" i="10"/>
  <c r="I522" i="10"/>
  <c r="I543" i="10"/>
  <c r="I535" i="10"/>
  <c r="I564" i="10"/>
  <c r="I500" i="10"/>
  <c r="I499" i="10"/>
  <c r="I551" i="10"/>
  <c r="I550" i="10"/>
  <c r="I570" i="10"/>
  <c r="I547" i="10"/>
  <c r="I514" i="10"/>
  <c r="I521" i="10"/>
  <c r="I532" i="10"/>
  <c r="I506" i="10"/>
  <c r="I542" i="10"/>
  <c r="I512" i="10"/>
  <c r="I518" i="10"/>
  <c r="I531" i="10"/>
  <c r="I530" i="10"/>
  <c r="I519" i="10"/>
  <c r="I527" i="10"/>
  <c r="I562" i="10"/>
  <c r="I505" i="10"/>
  <c r="I563" i="10"/>
  <c r="I571" i="10"/>
  <c r="I498" i="10"/>
  <c r="I497" i="10"/>
  <c r="I495" i="10"/>
  <c r="I494" i="10"/>
  <c r="I491" i="10"/>
  <c r="I490" i="10"/>
  <c r="I487" i="10"/>
  <c r="I486" i="10"/>
  <c r="I483" i="10"/>
  <c r="I482" i="10"/>
  <c r="I479" i="10"/>
  <c r="I478" i="10"/>
  <c r="I475" i="10"/>
  <c r="I474" i="10"/>
  <c r="I473" i="10"/>
  <c r="I471" i="10"/>
  <c r="I470" i="10"/>
  <c r="I467" i="10"/>
  <c r="I466" i="10"/>
  <c r="I465" i="10"/>
  <c r="I463" i="10"/>
  <c r="I462" i="10"/>
  <c r="I459" i="10"/>
  <c r="I458" i="10"/>
  <c r="I455" i="10"/>
  <c r="I454" i="10"/>
  <c r="I451" i="10"/>
  <c r="I450" i="10"/>
  <c r="I447" i="10"/>
  <c r="I446" i="10"/>
  <c r="I443" i="10"/>
  <c r="I442" i="10"/>
  <c r="I441" i="10"/>
  <c r="I439" i="10"/>
  <c r="I438" i="10"/>
  <c r="I435" i="10"/>
  <c r="I434" i="10"/>
  <c r="I433" i="10"/>
  <c r="I431" i="10"/>
  <c r="I430" i="10"/>
  <c r="I427" i="10"/>
  <c r="I426" i="10"/>
  <c r="I423" i="10"/>
  <c r="I422" i="10"/>
  <c r="I419" i="10"/>
  <c r="I418" i="10"/>
  <c r="I417" i="10"/>
  <c r="I414" i="10"/>
  <c r="I413" i="10"/>
  <c r="I411" i="10"/>
  <c r="I409" i="10"/>
  <c r="I408" i="10"/>
  <c r="I407" i="10"/>
  <c r="I405" i="10"/>
  <c r="I404" i="10"/>
  <c r="I403" i="10"/>
  <c r="I402" i="10"/>
  <c r="I399" i="10"/>
  <c r="I398" i="10"/>
  <c r="I395" i="10"/>
  <c r="I394" i="10"/>
  <c r="I393" i="10"/>
  <c r="I391" i="10"/>
  <c r="I390" i="10"/>
  <c r="I387" i="10"/>
  <c r="I386" i="10"/>
  <c r="I385" i="10"/>
  <c r="I383" i="10"/>
  <c r="I382" i="10"/>
  <c r="I379" i="10"/>
  <c r="I378" i="10"/>
  <c r="I375" i="10"/>
  <c r="I374" i="10"/>
  <c r="I371" i="10"/>
  <c r="I370" i="10"/>
  <c r="I367" i="10"/>
  <c r="I366" i="10"/>
  <c r="I363" i="10"/>
  <c r="I362" i="10"/>
  <c r="I361" i="10"/>
  <c r="I359" i="10"/>
  <c r="I358" i="10"/>
  <c r="I355" i="10"/>
  <c r="I354" i="10"/>
  <c r="I353" i="10"/>
  <c r="I350" i="10"/>
  <c r="I349" i="10"/>
  <c r="I346" i="10"/>
  <c r="I345" i="10"/>
  <c r="I344" i="10"/>
  <c r="I342" i="10"/>
  <c r="I341" i="10"/>
  <c r="I340" i="10"/>
  <c r="I338" i="10"/>
  <c r="I337" i="10"/>
  <c r="I334" i="10"/>
  <c r="I333" i="10"/>
  <c r="I332" i="10"/>
  <c r="I330" i="10"/>
  <c r="I329" i="10"/>
  <c r="I328" i="10"/>
  <c r="I326" i="10"/>
  <c r="I325" i="10"/>
  <c r="I324" i="10"/>
  <c r="I322" i="10"/>
  <c r="I321" i="10"/>
  <c r="I320" i="10"/>
  <c r="I319" i="10"/>
  <c r="I318" i="10"/>
  <c r="I317" i="10"/>
  <c r="I316" i="10"/>
  <c r="I315" i="10"/>
  <c r="I314" i="10"/>
  <c r="I313" i="10"/>
  <c r="I312" i="10"/>
  <c r="I311" i="10"/>
  <c r="I310" i="10"/>
  <c r="I309" i="10"/>
  <c r="I308" i="10"/>
  <c r="I307" i="10"/>
  <c r="I306" i="10"/>
  <c r="I305" i="10"/>
  <c r="I304" i="10"/>
  <c r="I303" i="10"/>
  <c r="I302" i="10"/>
  <c r="I301" i="10"/>
  <c r="I300" i="10"/>
  <c r="I299" i="10"/>
  <c r="I298" i="10"/>
  <c r="I297" i="10"/>
  <c r="I296" i="10"/>
  <c r="I295" i="10"/>
  <c r="I294" i="10"/>
  <c r="I293" i="10"/>
  <c r="I292" i="10"/>
  <c r="I291" i="10"/>
  <c r="I290" i="10"/>
  <c r="I289" i="10"/>
  <c r="I288" i="10"/>
  <c r="I287" i="10"/>
  <c r="I286" i="10"/>
  <c r="I285" i="10"/>
  <c r="I284" i="10"/>
  <c r="I283" i="10"/>
  <c r="I282" i="10"/>
  <c r="I281" i="10"/>
  <c r="I280" i="10"/>
  <c r="I279" i="10"/>
  <c r="I278" i="10"/>
  <c r="I277" i="10"/>
  <c r="I276" i="10"/>
  <c r="I275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B53" i="9"/>
  <c r="B52" i="9"/>
  <c r="B50" i="9"/>
  <c r="B49" i="9"/>
  <c r="B48" i="9"/>
  <c r="C32" i="9"/>
  <c r="C31" i="9"/>
  <c r="C25" i="9"/>
  <c r="C18" i="9"/>
  <c r="C16" i="9"/>
  <c r="C7" i="9"/>
  <c r="C6" i="9"/>
  <c r="B48" i="5"/>
  <c r="B47" i="5"/>
  <c r="B46" i="5"/>
  <c r="N45" i="5"/>
  <c r="B45" i="5"/>
  <c r="N44" i="5"/>
  <c r="B44" i="5"/>
  <c r="B43" i="5"/>
  <c r="R36" i="5"/>
  <c r="R37" i="5"/>
  <c r="P36" i="5"/>
  <c r="P37" i="5"/>
  <c r="N36" i="5"/>
  <c r="N37" i="5"/>
  <c r="L36" i="5"/>
  <c r="L37" i="5"/>
  <c r="J36" i="5"/>
  <c r="J37" i="5"/>
  <c r="H36" i="5"/>
  <c r="F36" i="5"/>
  <c r="D36" i="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5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5" i="5"/>
  <c r="AM3" i="5"/>
  <c r="AM4" i="5"/>
  <c r="AM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5" i="5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5" i="5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5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30" i="5"/>
  <c r="AG31" i="5"/>
  <c r="AG32" i="5"/>
  <c r="AG33" i="5"/>
  <c r="AG35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8" i="5"/>
  <c r="AE30" i="5"/>
  <c r="AE31" i="5"/>
  <c r="AE32" i="5"/>
  <c r="AE33" i="5"/>
  <c r="AE35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8" i="5"/>
  <c r="AC29" i="5"/>
  <c r="AC30" i="5"/>
  <c r="AC31" i="5"/>
  <c r="AC32" i="5"/>
  <c r="AC33" i="5"/>
  <c r="AC35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8" i="5"/>
  <c r="AA29" i="5"/>
  <c r="AA30" i="5"/>
  <c r="AA31" i="5"/>
  <c r="AA32" i="5"/>
  <c r="AA33" i="5"/>
  <c r="AA35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5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6" i="5"/>
  <c r="W28" i="5"/>
  <c r="W29" i="5"/>
  <c r="W30" i="5"/>
  <c r="W31" i="5"/>
  <c r="W33" i="5"/>
  <c r="W35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6" i="5"/>
  <c r="U28" i="5"/>
  <c r="U29" i="5"/>
  <c r="U30" i="5"/>
  <c r="U31" i="5"/>
  <c r="U33" i="5"/>
  <c r="U35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6" i="5"/>
  <c r="S27" i="5"/>
  <c r="S28" i="5"/>
  <c r="S29" i="5"/>
  <c r="S30" i="5"/>
  <c r="S31" i="5"/>
  <c r="S33" i="5"/>
  <c r="S35" i="5"/>
  <c r="Q3" i="5"/>
  <c r="Q4" i="5"/>
  <c r="Q5" i="5"/>
  <c r="Q6" i="5"/>
  <c r="Q7" i="5"/>
  <c r="Q8" i="5"/>
  <c r="Q9" i="5"/>
  <c r="Q10" i="5"/>
  <c r="Q11" i="5"/>
  <c r="Q12" i="5"/>
  <c r="Q13" i="5"/>
  <c r="Q15" i="5"/>
  <c r="Q16" i="5"/>
  <c r="Q17" i="5"/>
  <c r="Q18" i="5"/>
  <c r="Q19" i="5"/>
  <c r="Q20" i="5"/>
  <c r="Q21" i="5"/>
  <c r="Q22" i="5"/>
  <c r="Q23" i="5"/>
  <c r="Q24" i="5"/>
  <c r="Q26" i="5"/>
  <c r="Q27" i="5"/>
  <c r="Q28" i="5"/>
  <c r="Q29" i="5"/>
  <c r="Q30" i="5"/>
  <c r="Q31" i="5"/>
  <c r="Q32" i="5"/>
  <c r="Q33" i="5"/>
  <c r="Q35" i="5"/>
  <c r="O3" i="5"/>
  <c r="O4" i="5"/>
  <c r="O5" i="5"/>
  <c r="O6" i="5"/>
  <c r="O7" i="5"/>
  <c r="O8" i="5"/>
  <c r="O9" i="5"/>
  <c r="O10" i="5"/>
  <c r="O11" i="5"/>
  <c r="O12" i="5"/>
  <c r="O13" i="5"/>
  <c r="O15" i="5"/>
  <c r="O16" i="5"/>
  <c r="O17" i="5"/>
  <c r="O18" i="5"/>
  <c r="O19" i="5"/>
  <c r="O20" i="5"/>
  <c r="O21" i="5"/>
  <c r="O22" i="5"/>
  <c r="O23" i="5"/>
  <c r="O24" i="5"/>
  <c r="O25" i="5"/>
  <c r="O26" i="5"/>
  <c r="O28" i="5"/>
  <c r="O29" i="5"/>
  <c r="O30" i="5"/>
  <c r="O31" i="5"/>
  <c r="O32" i="5"/>
  <c r="O33" i="5"/>
  <c r="O35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8" i="5"/>
  <c r="M29" i="5"/>
  <c r="M30" i="5"/>
  <c r="M31" i="5"/>
  <c r="M32" i="5"/>
  <c r="M33" i="5"/>
  <c r="M35" i="5"/>
  <c r="K3" i="5"/>
  <c r="K4" i="5"/>
  <c r="K5" i="5"/>
  <c r="K6" i="5"/>
  <c r="K7" i="5"/>
  <c r="K8" i="5"/>
  <c r="K9" i="5"/>
  <c r="K10" i="5"/>
  <c r="K11" i="5"/>
  <c r="K12" i="5"/>
  <c r="K13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3" i="5"/>
  <c r="K35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8" i="5"/>
  <c r="I29" i="5"/>
  <c r="I30" i="5"/>
  <c r="I31" i="5"/>
  <c r="I32" i="5"/>
  <c r="I35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8" i="5"/>
  <c r="G29" i="5"/>
  <c r="G30" i="5"/>
  <c r="G31" i="5"/>
  <c r="G35" i="5"/>
  <c r="E3" i="5"/>
  <c r="E4" i="5"/>
  <c r="E5" i="5"/>
  <c r="E6" i="5"/>
  <c r="E7" i="5"/>
  <c r="E8" i="5"/>
  <c r="E9" i="5"/>
  <c r="E10" i="5"/>
  <c r="E11" i="5"/>
  <c r="E12" i="5"/>
  <c r="E13" i="5"/>
  <c r="E15" i="5"/>
  <c r="E16" i="5"/>
  <c r="E17" i="5"/>
  <c r="E18" i="5"/>
  <c r="E19" i="5"/>
  <c r="E20" i="5"/>
  <c r="E21" i="5"/>
  <c r="E22" i="5"/>
  <c r="E23" i="5"/>
  <c r="E24" i="5"/>
  <c r="E25" i="5"/>
  <c r="E26" i="5"/>
  <c r="E28" i="5"/>
  <c r="E29" i="5"/>
  <c r="E30" i="5"/>
  <c r="E31" i="5"/>
  <c r="E35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5" i="5"/>
  <c r="B33" i="5"/>
  <c r="B32" i="5"/>
  <c r="AL2" i="5"/>
  <c r="AN2" i="5"/>
  <c r="AP2" i="5"/>
  <c r="P50" i="1"/>
  <c r="P43" i="1"/>
  <c r="P31" i="1"/>
  <c r="P23" i="1"/>
  <c r="P16" i="1"/>
  <c r="P11" i="1"/>
  <c r="P52" i="1"/>
  <c r="Q46" i="1"/>
  <c r="Q47" i="1"/>
  <c r="Q48" i="1"/>
  <c r="Q50" i="1"/>
  <c r="AB49" i="1"/>
  <c r="Q42" i="1"/>
  <c r="R42" i="1"/>
  <c r="S42" i="1"/>
  <c r="T42" i="1"/>
  <c r="U42" i="1"/>
  <c r="V42" i="1"/>
  <c r="W42" i="1"/>
  <c r="X42" i="1"/>
  <c r="Y42" i="1"/>
  <c r="Z42" i="1"/>
  <c r="AA42" i="1"/>
  <c r="AB41" i="1"/>
  <c r="Q40" i="1"/>
  <c r="AB39" i="1"/>
  <c r="Q38" i="1"/>
  <c r="R38" i="1"/>
  <c r="Q43" i="1"/>
  <c r="AB37" i="1"/>
  <c r="AB36" i="1"/>
  <c r="AB34" i="1"/>
  <c r="Q30" i="1"/>
  <c r="R30" i="1"/>
  <c r="Q29" i="1"/>
  <c r="R29" i="1"/>
  <c r="D29" i="1"/>
  <c r="AE28" i="1"/>
  <c r="AF28" i="1"/>
  <c r="Q28" i="1"/>
  <c r="D28" i="1"/>
  <c r="Q27" i="1"/>
  <c r="R27" i="1"/>
  <c r="D27" i="1"/>
  <c r="AE26" i="1"/>
  <c r="Q26" i="1"/>
  <c r="R26" i="1"/>
  <c r="D26" i="1"/>
  <c r="D25" i="1"/>
  <c r="AA23" i="1"/>
  <c r="Z23" i="1"/>
  <c r="Y23" i="1"/>
  <c r="X23" i="1"/>
  <c r="W23" i="1"/>
  <c r="V23" i="1"/>
  <c r="U23" i="1"/>
  <c r="T23" i="1"/>
  <c r="S23" i="1"/>
  <c r="R23" i="1"/>
  <c r="Q23" i="1"/>
  <c r="AB22" i="1"/>
  <c r="E22" i="1"/>
  <c r="AB21" i="1"/>
  <c r="E21" i="1"/>
  <c r="E14" i="1"/>
  <c r="F14" i="1"/>
  <c r="B21" i="1"/>
  <c r="AB20" i="1"/>
  <c r="E20" i="1"/>
  <c r="AE19" i="1"/>
  <c r="AF19" i="1"/>
  <c r="AB19" i="1"/>
  <c r="E19" i="1"/>
  <c r="AD18" i="1"/>
  <c r="AE18" i="1"/>
  <c r="J11" i="1"/>
  <c r="H18" i="1"/>
  <c r="E18" i="1"/>
  <c r="Q15" i="1"/>
  <c r="R15" i="1"/>
  <c r="S15" i="1"/>
  <c r="T15" i="1"/>
  <c r="K15" i="1"/>
  <c r="J15" i="1"/>
  <c r="H22" i="1"/>
  <c r="E15" i="1"/>
  <c r="F15" i="1"/>
  <c r="B22" i="1"/>
  <c r="Q14" i="1"/>
  <c r="R14" i="1"/>
  <c r="Q16" i="1"/>
  <c r="K14" i="1"/>
  <c r="J14" i="1"/>
  <c r="H21" i="1"/>
  <c r="AE13" i="1"/>
  <c r="AB13" i="1"/>
  <c r="K13" i="1"/>
  <c r="J13" i="1"/>
  <c r="H20" i="1"/>
  <c r="E13" i="1"/>
  <c r="F13" i="1"/>
  <c r="B20" i="1"/>
  <c r="K12" i="1"/>
  <c r="J12" i="1"/>
  <c r="H19" i="1"/>
  <c r="E12" i="1"/>
  <c r="F12" i="1"/>
  <c r="B19" i="1"/>
  <c r="K11" i="1"/>
  <c r="E11" i="1"/>
  <c r="F11" i="1"/>
  <c r="B18" i="1"/>
  <c r="Q10" i="1"/>
  <c r="AE9" i="1"/>
  <c r="Q9" i="1"/>
  <c r="R9" i="1"/>
  <c r="S9" i="1"/>
  <c r="T9" i="1"/>
  <c r="U9" i="1"/>
  <c r="V9" i="1"/>
  <c r="W9" i="1"/>
  <c r="X9" i="1"/>
  <c r="Y9" i="1"/>
  <c r="Z9" i="1"/>
  <c r="AA9" i="1"/>
  <c r="Q8" i="1"/>
  <c r="R8" i="1"/>
  <c r="S8" i="1"/>
  <c r="T8" i="1"/>
  <c r="U8" i="1"/>
  <c r="V8" i="1"/>
  <c r="W8" i="1"/>
  <c r="X8" i="1"/>
  <c r="Y8" i="1"/>
  <c r="Z8" i="1"/>
  <c r="AA8" i="1"/>
  <c r="B8" i="1"/>
  <c r="D8" i="1"/>
  <c r="AE7" i="1"/>
  <c r="AB7" i="1"/>
  <c r="E7" i="1"/>
  <c r="AE6" i="1"/>
  <c r="Q6" i="1"/>
  <c r="R6" i="1"/>
  <c r="S6" i="1"/>
  <c r="T6" i="1"/>
  <c r="U6" i="1"/>
  <c r="V6" i="1"/>
  <c r="W6" i="1"/>
  <c r="X6" i="1"/>
  <c r="Y6" i="1"/>
  <c r="Z6" i="1"/>
  <c r="AA6" i="1"/>
  <c r="AB6" i="1"/>
  <c r="E6" i="1"/>
  <c r="Q5" i="1"/>
  <c r="E5" i="1"/>
  <c r="Q4" i="1"/>
  <c r="Q11" i="1"/>
  <c r="Q53" i="1"/>
  <c r="E4" i="1"/>
  <c r="E3" i="1"/>
  <c r="E8" i="1"/>
  <c r="Z2" i="13"/>
  <c r="X38" i="13"/>
  <c r="Y38" i="13" s="1"/>
  <c r="V38" i="13"/>
  <c r="W38" i="13" s="1"/>
  <c r="V37" i="13"/>
  <c r="W37" i="13" s="1"/>
  <c r="V57" i="13"/>
  <c r="V25" i="13"/>
  <c r="W25" i="13" s="1"/>
  <c r="V33" i="13"/>
  <c r="W33" i="13" s="1"/>
  <c r="V7" i="13"/>
  <c r="W7" i="13" s="1"/>
  <c r="V13" i="13"/>
  <c r="W13" i="13" s="1"/>
  <c r="V18" i="13"/>
  <c r="W18" i="13" s="1"/>
  <c r="V22" i="13"/>
  <c r="W22" i="13" s="1"/>
  <c r="V5" i="13"/>
  <c r="W5" i="13" s="1"/>
  <c r="V34" i="13"/>
  <c r="W34" i="13" s="1"/>
  <c r="V26" i="13"/>
  <c r="W26" i="13" s="1"/>
  <c r="V35" i="13"/>
  <c r="W35" i="13" s="1"/>
  <c r="V28" i="13"/>
  <c r="W28" i="13" s="1"/>
  <c r="V12" i="13"/>
  <c r="W12" i="13" s="1"/>
  <c r="V11" i="13"/>
  <c r="W11" i="13" s="1"/>
  <c r="V24" i="13"/>
  <c r="W24" i="13" s="1"/>
  <c r="V21" i="13"/>
  <c r="W21" i="13" s="1"/>
  <c r="R4" i="13"/>
  <c r="D4" i="13"/>
  <c r="E4" i="13" s="1"/>
  <c r="D61" i="13"/>
  <c r="F48" i="13"/>
  <c r="H15" i="6" s="1"/>
  <c r="F36" i="13"/>
  <c r="G36" i="13" s="1"/>
  <c r="D28" i="13"/>
  <c r="E28" i="13" s="1"/>
  <c r="D27" i="13"/>
  <c r="E27" i="13" s="1"/>
  <c r="D22" i="13"/>
  <c r="E22" i="13" s="1"/>
  <c r="F21" i="13"/>
  <c r="G21" i="13" s="1"/>
  <c r="F17" i="13"/>
  <c r="G17" i="13" s="1"/>
  <c r="F16" i="13"/>
  <c r="G16" i="13" s="1"/>
  <c r="D14" i="13"/>
  <c r="E14" i="13" s="1"/>
  <c r="D13" i="13"/>
  <c r="E13" i="13" s="1"/>
  <c r="D12" i="13"/>
  <c r="E12" i="13" s="1"/>
  <c r="F6" i="13"/>
  <c r="G6" i="13" s="1"/>
  <c r="F5" i="13"/>
  <c r="G5" i="13" s="1"/>
  <c r="F3" i="13"/>
  <c r="F34" i="13"/>
  <c r="G34" i="13" s="1"/>
  <c r="F30" i="13"/>
  <c r="G30" i="13" s="1"/>
  <c r="F23" i="13"/>
  <c r="G23" i="13" s="1"/>
  <c r="F15" i="13"/>
  <c r="G15" i="13" s="1"/>
  <c r="D9" i="13"/>
  <c r="E9" i="13" s="1"/>
  <c r="F7" i="13"/>
  <c r="G7" i="13" s="1"/>
  <c r="D3" i="13"/>
  <c r="L4" i="13"/>
  <c r="M4" i="13" s="1"/>
  <c r="F61" i="13"/>
  <c r="D34" i="13"/>
  <c r="E34" i="13" s="1"/>
  <c r="D29" i="13"/>
  <c r="E29" i="13" s="1"/>
  <c r="F27" i="13"/>
  <c r="G27" i="13" s="1"/>
  <c r="D24" i="13"/>
  <c r="E24" i="13" s="1"/>
  <c r="F22" i="13"/>
  <c r="G22" i="13" s="1"/>
  <c r="F20" i="13"/>
  <c r="G20" i="13" s="1"/>
  <c r="X4" i="13"/>
  <c r="P4" i="13"/>
  <c r="Q4" i="13" s="1"/>
  <c r="F60" i="13"/>
  <c r="F57" i="13"/>
  <c r="D56" i="13"/>
  <c r="D48" i="13"/>
  <c r="H14" i="6" s="1"/>
  <c r="F37" i="13"/>
  <c r="G37" i="13" s="1"/>
  <c r="D36" i="13"/>
  <c r="E36" i="13" s="1"/>
  <c r="F35" i="13"/>
  <c r="G35" i="13" s="1"/>
  <c r="F33" i="13"/>
  <c r="G33" i="13" s="1"/>
  <c r="D32" i="13"/>
  <c r="E32" i="13" s="1"/>
  <c r="D31" i="13"/>
  <c r="E31" i="13" s="1"/>
  <c r="D25" i="13"/>
  <c r="E25" i="13" s="1"/>
  <c r="D21" i="13"/>
  <c r="E21" i="13" s="1"/>
  <c r="D20" i="13"/>
  <c r="E20" i="13" s="1"/>
  <c r="D19" i="13"/>
  <c r="E19" i="13" s="1"/>
  <c r="D18" i="13"/>
  <c r="E18" i="13" s="1"/>
  <c r="D17" i="13"/>
  <c r="E17" i="13" s="1"/>
  <c r="D16" i="13"/>
  <c r="E16" i="13" s="1"/>
  <c r="D11" i="13"/>
  <c r="E11" i="13" s="1"/>
  <c r="F10" i="13"/>
  <c r="G10" i="13" s="1"/>
  <c r="F9" i="13"/>
  <c r="G9" i="13" s="1"/>
  <c r="D6" i="13"/>
  <c r="E6" i="13" s="1"/>
  <c r="D5" i="13"/>
  <c r="E5" i="13" s="1"/>
  <c r="V4" i="13"/>
  <c r="F4" i="13"/>
  <c r="G4" i="13" s="1"/>
  <c r="H61" i="13"/>
  <c r="D60" i="13"/>
  <c r="F58" i="13"/>
  <c r="D57" i="13"/>
  <c r="F39" i="13"/>
  <c r="G39" i="13" s="1"/>
  <c r="D37" i="13"/>
  <c r="E37" i="13" s="1"/>
  <c r="D33" i="13"/>
  <c r="E33" i="13" s="1"/>
  <c r="F29" i="13"/>
  <c r="G29" i="13" s="1"/>
  <c r="F26" i="13"/>
  <c r="G26" i="13" s="1"/>
  <c r="F24" i="13"/>
  <c r="G24" i="13" s="1"/>
  <c r="F14" i="13"/>
  <c r="G14" i="13" s="1"/>
  <c r="D10" i="13"/>
  <c r="E10" i="13" s="1"/>
  <c r="F8" i="13"/>
  <c r="G8" i="13" s="1"/>
  <c r="T4" i="13"/>
  <c r="F59" i="13"/>
  <c r="D58" i="13"/>
  <c r="D39" i="13"/>
  <c r="E39" i="13" s="1"/>
  <c r="D35" i="13"/>
  <c r="E35" i="13" s="1"/>
  <c r="D30" i="13"/>
  <c r="E30" i="13" s="1"/>
  <c r="F28" i="13"/>
  <c r="G28" i="13" s="1"/>
  <c r="D23" i="13"/>
  <c r="E23" i="13" s="1"/>
  <c r="D15" i="13"/>
  <c r="E15" i="13" s="1"/>
  <c r="F11" i="13"/>
  <c r="G11" i="13" s="1"/>
  <c r="D8" i="13"/>
  <c r="E8" i="13" s="1"/>
  <c r="D7" i="13"/>
  <c r="E7" i="13" s="1"/>
  <c r="F13" i="13"/>
  <c r="G13" i="13" s="1"/>
  <c r="F12" i="13"/>
  <c r="G12" i="13" s="1"/>
  <c r="H59" i="13"/>
  <c r="H58" i="13"/>
  <c r="H56" i="13"/>
  <c r="H57" i="13"/>
  <c r="H60" i="13"/>
  <c r="H48" i="13"/>
  <c r="H16" i="6" s="1"/>
  <c r="J59" i="13"/>
  <c r="J60" i="13"/>
  <c r="J61" i="13"/>
  <c r="J58" i="13"/>
  <c r="J48" i="13"/>
  <c r="H17" i="6" s="1"/>
  <c r="J57" i="13"/>
  <c r="J56" i="13"/>
  <c r="L60" i="13"/>
  <c r="L59" i="13"/>
  <c r="L58" i="13"/>
  <c r="L56" i="13"/>
  <c r="L57" i="13"/>
  <c r="L48" i="13"/>
  <c r="H18" i="6" s="1"/>
  <c r="L61" i="13"/>
  <c r="N56" i="13"/>
  <c r="N48" i="13"/>
  <c r="H19" i="6" s="1"/>
  <c r="N58" i="13"/>
  <c r="N60" i="13"/>
  <c r="N57" i="13"/>
  <c r="N61" i="13"/>
  <c r="N59" i="13"/>
  <c r="P61" i="13"/>
  <c r="P36" i="13"/>
  <c r="Q36" i="13" s="1"/>
  <c r="P19" i="13"/>
  <c r="Q19" i="13" s="1"/>
  <c r="P56" i="13"/>
  <c r="P26" i="13"/>
  <c r="Q26" i="13" s="1"/>
  <c r="P16" i="13"/>
  <c r="Q16" i="13" s="1"/>
  <c r="P18" i="13"/>
  <c r="Q18" i="13" s="1"/>
  <c r="P11" i="13"/>
  <c r="Q11" i="13" s="1"/>
  <c r="P3" i="13"/>
  <c r="Q3" i="13" s="1"/>
  <c r="P15" i="13"/>
  <c r="Q15" i="13" s="1"/>
  <c r="P5" i="13"/>
  <c r="Q5" i="13" s="1"/>
  <c r="P33" i="13"/>
  <c r="Q33" i="13" s="1"/>
  <c r="P34" i="13"/>
  <c r="Q34" i="13" s="1"/>
  <c r="P59" i="13"/>
  <c r="P39" i="13"/>
  <c r="Q39" i="13" s="1"/>
  <c r="P20" i="13"/>
  <c r="Q20" i="13" s="1"/>
  <c r="P60" i="13"/>
  <c r="P17" i="13"/>
  <c r="Q17" i="13" s="1"/>
  <c r="P10" i="13"/>
  <c r="Q10" i="13" s="1"/>
  <c r="P48" i="13"/>
  <c r="H20" i="6" s="1"/>
  <c r="P7" i="13"/>
  <c r="Q7" i="13" s="1"/>
  <c r="P9" i="13"/>
  <c r="Q9" i="13" s="1"/>
  <c r="P27" i="13"/>
  <c r="Q27" i="13" s="1"/>
  <c r="P57" i="13"/>
  <c r="P24" i="13"/>
  <c r="Q24" i="13" s="1"/>
  <c r="P6" i="13"/>
  <c r="Q6" i="13" s="1"/>
  <c r="P25" i="13"/>
  <c r="Q25" i="13" s="1"/>
  <c r="P31" i="13"/>
  <c r="Q31" i="13" s="1"/>
  <c r="P23" i="13"/>
  <c r="Q23" i="13" s="1"/>
  <c r="P58" i="13"/>
  <c r="P35" i="13"/>
  <c r="Q35" i="13" s="1"/>
  <c r="P14" i="13"/>
  <c r="Q14" i="13" s="1"/>
  <c r="P30" i="13"/>
  <c r="Q30" i="13" s="1"/>
  <c r="P13" i="13"/>
  <c r="Q13" i="13" s="1"/>
  <c r="P8" i="13"/>
  <c r="Q8" i="13" s="1"/>
  <c r="P28" i="13"/>
  <c r="Q28" i="13" s="1"/>
  <c r="P32" i="13"/>
  <c r="Q32" i="13" s="1"/>
  <c r="P21" i="13"/>
  <c r="Q21" i="13" s="1"/>
  <c r="P29" i="13"/>
  <c r="Q29" i="13" s="1"/>
  <c r="P37" i="13"/>
  <c r="Q37" i="13" s="1"/>
  <c r="P12" i="13"/>
  <c r="Q12" i="13" s="1"/>
  <c r="P22" i="13"/>
  <c r="Q22" i="13" s="1"/>
  <c r="R29" i="13"/>
  <c r="S29" i="13" s="1"/>
  <c r="R60" i="13"/>
  <c r="R30" i="13"/>
  <c r="S30" i="13" s="1"/>
  <c r="R26" i="13"/>
  <c r="S26" i="13" s="1"/>
  <c r="R12" i="13"/>
  <c r="S12" i="13" s="1"/>
  <c r="R6" i="13"/>
  <c r="S6" i="13" s="1"/>
  <c r="R19" i="13"/>
  <c r="S19" i="13" s="1"/>
  <c r="R25" i="13"/>
  <c r="S25" i="13" s="1"/>
  <c r="R34" i="13"/>
  <c r="S34" i="13" s="1"/>
  <c r="R32" i="13"/>
  <c r="S32" i="13" s="1"/>
  <c r="R13" i="13"/>
  <c r="S13" i="13" s="1"/>
  <c r="R21" i="13"/>
  <c r="S21" i="13" s="1"/>
  <c r="R36" i="13"/>
  <c r="S36" i="13" s="1"/>
  <c r="R59" i="13"/>
  <c r="R39" i="13"/>
  <c r="S39" i="13" s="1"/>
  <c r="R48" i="13"/>
  <c r="H21" i="6" s="1"/>
  <c r="R28" i="13"/>
  <c r="S28" i="13" s="1"/>
  <c r="R61" i="13"/>
  <c r="R17" i="13"/>
  <c r="S17" i="13" s="1"/>
  <c r="R11" i="13"/>
  <c r="S11" i="13" s="1"/>
  <c r="R5" i="13"/>
  <c r="S5" i="13" s="1"/>
  <c r="R7" i="13"/>
  <c r="S7" i="13" s="1"/>
  <c r="R16" i="13"/>
  <c r="S16" i="13" s="1"/>
  <c r="R18" i="13"/>
  <c r="S18" i="13" s="1"/>
  <c r="R27" i="13"/>
  <c r="S27" i="13" s="1"/>
  <c r="R8" i="13"/>
  <c r="S8" i="13" s="1"/>
  <c r="R14" i="13"/>
  <c r="S14" i="13" s="1"/>
  <c r="R35" i="13"/>
  <c r="S35" i="13" s="1"/>
  <c r="R58" i="13"/>
  <c r="R20" i="13"/>
  <c r="S20" i="13" s="1"/>
  <c r="R37" i="13"/>
  <c r="S37" i="13" s="1"/>
  <c r="R24" i="13"/>
  <c r="S24" i="13" s="1"/>
  <c r="R31" i="13"/>
  <c r="S31" i="13" s="1"/>
  <c r="R15" i="13"/>
  <c r="S15" i="13" s="1"/>
  <c r="R10" i="13"/>
  <c r="S10" i="13" s="1"/>
  <c r="R33" i="13"/>
  <c r="S33" i="13" s="1"/>
  <c r="R3" i="13"/>
  <c r="S3" i="13" s="1"/>
  <c r="R9" i="13"/>
  <c r="S9" i="13" s="1"/>
  <c r="R57" i="13"/>
  <c r="R22" i="13"/>
  <c r="S22" i="13" s="1"/>
  <c r="R23" i="13"/>
  <c r="S23" i="13" s="1"/>
  <c r="T39" i="13"/>
  <c r="U39" i="13" s="1"/>
  <c r="T32" i="13"/>
  <c r="U32" i="13" s="1"/>
  <c r="T24" i="13"/>
  <c r="U24" i="13" s="1"/>
  <c r="T61" i="13"/>
  <c r="T25" i="13"/>
  <c r="U25" i="13" s="1"/>
  <c r="T18" i="13"/>
  <c r="U18" i="13" s="1"/>
  <c r="T26" i="13"/>
  <c r="U26" i="13" s="1"/>
  <c r="T29" i="13"/>
  <c r="U29" i="13" s="1"/>
  <c r="T34" i="13"/>
  <c r="U34" i="13" s="1"/>
  <c r="T12" i="13"/>
  <c r="U12" i="13" s="1"/>
  <c r="T28" i="13"/>
  <c r="U28" i="13" s="1"/>
  <c r="T5" i="13"/>
  <c r="U5" i="13" s="1"/>
  <c r="T10" i="13"/>
  <c r="U10" i="13" s="1"/>
  <c r="T58" i="13"/>
  <c r="T60" i="13"/>
  <c r="T31" i="13"/>
  <c r="U31" i="13" s="1"/>
  <c r="T22" i="13"/>
  <c r="U22" i="13" s="1"/>
  <c r="T36" i="13"/>
  <c r="U36" i="13" s="1"/>
  <c r="T35" i="13"/>
  <c r="U35" i="13" s="1"/>
  <c r="T7" i="13"/>
  <c r="U7" i="13" s="1"/>
  <c r="T16" i="13"/>
  <c r="U16" i="13" s="1"/>
  <c r="T21" i="13"/>
  <c r="U21" i="13" s="1"/>
  <c r="T13" i="13"/>
  <c r="U13" i="13" s="1"/>
  <c r="T6" i="13"/>
  <c r="U6" i="13" s="1"/>
  <c r="T37" i="13"/>
  <c r="U37" i="13" s="1"/>
  <c r="T27" i="13"/>
  <c r="U27" i="13" s="1"/>
  <c r="T15" i="13"/>
  <c r="U15" i="13" s="1"/>
  <c r="T57" i="13"/>
  <c r="T48" i="13"/>
  <c r="H22" i="6" s="1"/>
  <c r="T30" i="13"/>
  <c r="U30" i="13" s="1"/>
  <c r="T17" i="13"/>
  <c r="U17" i="13" s="1"/>
  <c r="T33" i="13"/>
  <c r="U33" i="13" s="1"/>
  <c r="T23" i="13"/>
  <c r="U23" i="13" s="1"/>
  <c r="T3" i="13"/>
  <c r="U3" i="13" s="1"/>
  <c r="T9" i="13"/>
  <c r="U9" i="13" s="1"/>
  <c r="T20" i="13"/>
  <c r="U20" i="13" s="1"/>
  <c r="T11" i="13"/>
  <c r="U11" i="13" s="1"/>
  <c r="T8" i="13"/>
  <c r="U8" i="13" s="1"/>
  <c r="T56" i="13"/>
  <c r="T19" i="13"/>
  <c r="U19" i="13" s="1"/>
  <c r="T14" i="13"/>
  <c r="U14" i="13" s="1"/>
  <c r="V8" i="13"/>
  <c r="W8" i="13" s="1"/>
  <c r="V15" i="13"/>
  <c r="W15" i="13" s="1"/>
  <c r="V3" i="13"/>
  <c r="W3" i="13" s="1"/>
  <c r="V39" i="13"/>
  <c r="W39" i="13" s="1"/>
  <c r="V9" i="13"/>
  <c r="W9" i="13" s="1"/>
  <c r="V19" i="13"/>
  <c r="W19" i="13" s="1"/>
  <c r="V16" i="13"/>
  <c r="W16" i="13" s="1"/>
  <c r="V27" i="13"/>
  <c r="W27" i="13" s="1"/>
  <c r="V36" i="13"/>
  <c r="W36" i="13" s="1"/>
  <c r="V30" i="13"/>
  <c r="W30" i="13" s="1"/>
  <c r="V48" i="13"/>
  <c r="H23" i="6" s="1"/>
  <c r="V10" i="13"/>
  <c r="W10" i="13" s="1"/>
  <c r="V17" i="13"/>
  <c r="W17" i="13" s="1"/>
  <c r="V6" i="13"/>
  <c r="W6" i="13" s="1"/>
  <c r="V58" i="13"/>
  <c r="V14" i="13"/>
  <c r="W14" i="13" s="1"/>
  <c r="V20" i="13"/>
  <c r="W20" i="13" s="1"/>
  <c r="V23" i="13"/>
  <c r="W23" i="13" s="1"/>
  <c r="V29" i="13"/>
  <c r="W29" i="13" s="1"/>
  <c r="V61" i="13"/>
  <c r="V31" i="13"/>
  <c r="W31" i="13" s="1"/>
  <c r="V60" i="13"/>
  <c r="Z4" i="13"/>
  <c r="AA4" i="13" s="1"/>
  <c r="X61" i="13"/>
  <c r="X29" i="13"/>
  <c r="Y29" i="13" s="1"/>
  <c r="X27" i="13"/>
  <c r="Y27" i="13" s="1"/>
  <c r="X34" i="13"/>
  <c r="Y34" i="13" s="1"/>
  <c r="X21" i="13"/>
  <c r="Y21" i="13" s="1"/>
  <c r="X20" i="13"/>
  <c r="Y20" i="13" s="1"/>
  <c r="X19" i="13"/>
  <c r="Y19" i="13" s="1"/>
  <c r="X58" i="13"/>
  <c r="X57" i="13"/>
  <c r="X56" i="13"/>
  <c r="X39" i="13"/>
  <c r="Y39" i="13" s="1"/>
  <c r="X28" i="13"/>
  <c r="Y28" i="13" s="1"/>
  <c r="X18" i="13"/>
  <c r="Y18" i="13" s="1"/>
  <c r="X60" i="13"/>
  <c r="X33" i="13"/>
  <c r="Y33" i="13" s="1"/>
  <c r="X30" i="13"/>
  <c r="Y30" i="13" s="1"/>
  <c r="X22" i="13"/>
  <c r="Y22" i="13" s="1"/>
  <c r="X17" i="13"/>
  <c r="Y17" i="13" s="1"/>
  <c r="X16" i="13"/>
  <c r="Y16" i="13" s="1"/>
  <c r="X13" i="13"/>
  <c r="Y13" i="13" s="1"/>
  <c r="X6" i="13"/>
  <c r="Y6" i="13" s="1"/>
  <c r="X35" i="13"/>
  <c r="Y35" i="13" s="1"/>
  <c r="X31" i="13"/>
  <c r="Y31" i="13" s="1"/>
  <c r="X24" i="13"/>
  <c r="Y24" i="13" s="1"/>
  <c r="X23" i="13"/>
  <c r="Y23" i="13" s="1"/>
  <c r="X48" i="13"/>
  <c r="H24" i="6" s="1"/>
  <c r="X25" i="13"/>
  <c r="Y25" i="13" s="1"/>
  <c r="X15" i="13"/>
  <c r="Y15" i="13" s="1"/>
  <c r="X12" i="13"/>
  <c r="Y12" i="13" s="1"/>
  <c r="X10" i="13"/>
  <c r="Y10" i="13" s="1"/>
  <c r="X8" i="13"/>
  <c r="Y8" i="13" s="1"/>
  <c r="X7" i="13"/>
  <c r="Y7" i="13" s="1"/>
  <c r="X3" i="13"/>
  <c r="Y3" i="13" s="1"/>
  <c r="X37" i="13"/>
  <c r="Y37" i="13" s="1"/>
  <c r="X36" i="13"/>
  <c r="Y36" i="13" s="1"/>
  <c r="X32" i="13"/>
  <c r="Y32" i="13" s="1"/>
  <c r="X26" i="13"/>
  <c r="Y26" i="13" s="1"/>
  <c r="X14" i="13"/>
  <c r="Y14" i="13" s="1"/>
  <c r="X5" i="13"/>
  <c r="Y5" i="13" s="1"/>
  <c r="X9" i="13"/>
  <c r="Y9" i="13" s="1"/>
  <c r="X11" i="13"/>
  <c r="Y11" i="13" s="1"/>
  <c r="Z5" i="9"/>
  <c r="AA5" i="9" s="1"/>
  <c r="Z57" i="9"/>
  <c r="Z38" i="9"/>
  <c r="AA38" i="9" s="1"/>
  <c r="Z34" i="9"/>
  <c r="AA34" i="9" s="1"/>
  <c r="Z30" i="9"/>
  <c r="AA30" i="9" s="1"/>
  <c r="Z26" i="9"/>
  <c r="AA26" i="9" s="1"/>
  <c r="Z22" i="9"/>
  <c r="AA22" i="9" s="1"/>
  <c r="Z18" i="9"/>
  <c r="AA18" i="9" s="1"/>
  <c r="Z14" i="9"/>
  <c r="AA14" i="9" s="1"/>
  <c r="Z10" i="9"/>
  <c r="AA10" i="9" s="1"/>
  <c r="Z6" i="9"/>
  <c r="AA6" i="9" s="1"/>
  <c r="Z60" i="9"/>
  <c r="Z56" i="9"/>
  <c r="Z37" i="9"/>
  <c r="Z33" i="9"/>
  <c r="AA33" i="9" s="1"/>
  <c r="Z29" i="9"/>
  <c r="AA29" i="9" s="1"/>
  <c r="Z25" i="9"/>
  <c r="AA25" i="9" s="1"/>
  <c r="Z21" i="9"/>
  <c r="AA21" i="9" s="1"/>
  <c r="Z17" i="9"/>
  <c r="AA17" i="9" s="1"/>
  <c r="Z13" i="9"/>
  <c r="AA13" i="9" s="1"/>
  <c r="Z9" i="9"/>
  <c r="AA9" i="9" s="1"/>
  <c r="Z4" i="9"/>
  <c r="AA4" i="9" s="1"/>
  <c r="Z59" i="9"/>
  <c r="Z55" i="9"/>
  <c r="Z36" i="9"/>
  <c r="AA36" i="9" s="1"/>
  <c r="Z32" i="9"/>
  <c r="AA32" i="9" s="1"/>
  <c r="Z28" i="9"/>
  <c r="AA28" i="9" s="1"/>
  <c r="Z24" i="9"/>
  <c r="AA24" i="9" s="1"/>
  <c r="Z20" i="9"/>
  <c r="AA20" i="9" s="1"/>
  <c r="Z16" i="9"/>
  <c r="AA16" i="9" s="1"/>
  <c r="Z12" i="9"/>
  <c r="AA12" i="9" s="1"/>
  <c r="Z8" i="9"/>
  <c r="AA8" i="9" s="1"/>
  <c r="Z3" i="9"/>
  <c r="Z58" i="9"/>
  <c r="Z47" i="9"/>
  <c r="H13" i="6" s="1"/>
  <c r="Z35" i="9"/>
  <c r="AA35" i="9" s="1"/>
  <c r="Z31" i="9"/>
  <c r="AA31" i="9" s="1"/>
  <c r="Z27" i="9"/>
  <c r="AA27" i="9" s="1"/>
  <c r="Z23" i="9"/>
  <c r="AA23" i="9" s="1"/>
  <c r="Z19" i="9"/>
  <c r="AA19" i="9" s="1"/>
  <c r="Z15" i="9"/>
  <c r="AA15" i="9" s="1"/>
  <c r="Z11" i="9"/>
  <c r="AA11" i="9" s="1"/>
  <c r="Z7" i="9"/>
  <c r="AA7" i="9" s="1"/>
  <c r="X60" i="9"/>
  <c r="X58" i="9"/>
  <c r="X56" i="9"/>
  <c r="X47" i="9"/>
  <c r="H12" i="6" s="1"/>
  <c r="X34" i="9"/>
  <c r="Y34" i="9" s="1"/>
  <c r="X31" i="9"/>
  <c r="Y31" i="9" s="1"/>
  <c r="X26" i="9"/>
  <c r="Y26" i="9" s="1"/>
  <c r="X23" i="9"/>
  <c r="Y23" i="9" s="1"/>
  <c r="X18" i="9"/>
  <c r="Y18" i="9" s="1"/>
  <c r="X15" i="9"/>
  <c r="Y15" i="9" s="1"/>
  <c r="X10" i="9"/>
  <c r="Y10" i="9" s="1"/>
  <c r="X7" i="9"/>
  <c r="Y7" i="9" s="1"/>
  <c r="V37" i="9"/>
  <c r="V32" i="9"/>
  <c r="W32" i="9" s="1"/>
  <c r="V29" i="9"/>
  <c r="W29" i="9" s="1"/>
  <c r="V24" i="9"/>
  <c r="W24" i="9" s="1"/>
  <c r="V21" i="9"/>
  <c r="W21" i="9" s="1"/>
  <c r="V16" i="9"/>
  <c r="W16" i="9" s="1"/>
  <c r="V13" i="9"/>
  <c r="W13" i="9" s="1"/>
  <c r="V8" i="9"/>
  <c r="W8" i="9" s="1"/>
  <c r="V4" i="9"/>
  <c r="W4" i="9" s="1"/>
  <c r="V59" i="9"/>
  <c r="X37" i="9"/>
  <c r="X29" i="9"/>
  <c r="Y29" i="9" s="1"/>
  <c r="X13" i="9"/>
  <c r="Y13" i="9" s="1"/>
  <c r="V38" i="9"/>
  <c r="W38" i="9" s="1"/>
  <c r="V27" i="9"/>
  <c r="W27" i="9" s="1"/>
  <c r="V14" i="9"/>
  <c r="W14" i="9" s="1"/>
  <c r="V5" i="9"/>
  <c r="W5" i="9" s="1"/>
  <c r="V60" i="9"/>
  <c r="V58" i="9"/>
  <c r="V56" i="9"/>
  <c r="V47" i="9"/>
  <c r="H11" i="6" s="1"/>
  <c r="X36" i="9"/>
  <c r="Y36" i="9" s="1"/>
  <c r="X33" i="9"/>
  <c r="Y33" i="9" s="1"/>
  <c r="X28" i="9"/>
  <c r="Y28" i="9" s="1"/>
  <c r="X25" i="9"/>
  <c r="Y25" i="9" s="1"/>
  <c r="X20" i="9"/>
  <c r="Y20" i="9" s="1"/>
  <c r="X17" i="9"/>
  <c r="Y17" i="9" s="1"/>
  <c r="X12" i="9"/>
  <c r="Y12" i="9" s="1"/>
  <c r="X9" i="9"/>
  <c r="Y9" i="9" s="1"/>
  <c r="X4" i="9"/>
  <c r="Y4" i="9" s="1"/>
  <c r="V34" i="9"/>
  <c r="W34" i="9" s="1"/>
  <c r="V31" i="9"/>
  <c r="W31" i="9" s="1"/>
  <c r="V26" i="9"/>
  <c r="W26" i="9" s="1"/>
  <c r="V23" i="9"/>
  <c r="W23" i="9" s="1"/>
  <c r="V18" i="9"/>
  <c r="W18" i="9" s="1"/>
  <c r="V15" i="9"/>
  <c r="W15" i="9" s="1"/>
  <c r="V10" i="9"/>
  <c r="W10" i="9" s="1"/>
  <c r="V7" i="9"/>
  <c r="W7" i="9" s="1"/>
  <c r="V3" i="9"/>
  <c r="W3" i="9" s="1"/>
  <c r="V55" i="9"/>
  <c r="X21" i="9"/>
  <c r="Y21" i="9" s="1"/>
  <c r="X8" i="9"/>
  <c r="Y8" i="9" s="1"/>
  <c r="V35" i="9"/>
  <c r="W35" i="9" s="1"/>
  <c r="V22" i="9"/>
  <c r="W22" i="9" s="1"/>
  <c r="V11" i="9"/>
  <c r="W11" i="9" s="1"/>
  <c r="X59" i="9"/>
  <c r="X57" i="9"/>
  <c r="X55" i="9"/>
  <c r="X38" i="9"/>
  <c r="Y38" i="9" s="1"/>
  <c r="X35" i="9"/>
  <c r="Y35" i="9" s="1"/>
  <c r="X30" i="9"/>
  <c r="Y30" i="9" s="1"/>
  <c r="X27" i="9"/>
  <c r="Y27" i="9" s="1"/>
  <c r="X22" i="9"/>
  <c r="Y22" i="9" s="1"/>
  <c r="X19" i="9"/>
  <c r="Y19" i="9" s="1"/>
  <c r="X14" i="9"/>
  <c r="Y14" i="9" s="1"/>
  <c r="X11" i="9"/>
  <c r="Y11" i="9" s="1"/>
  <c r="X6" i="9"/>
  <c r="Y6" i="9" s="1"/>
  <c r="X3" i="9"/>
  <c r="Y3" i="9" s="1"/>
  <c r="V36" i="9"/>
  <c r="W36" i="9" s="1"/>
  <c r="V33" i="9"/>
  <c r="W33" i="9" s="1"/>
  <c r="V28" i="9"/>
  <c r="W28" i="9" s="1"/>
  <c r="V25" i="9"/>
  <c r="W25" i="9" s="1"/>
  <c r="V20" i="9"/>
  <c r="W20" i="9" s="1"/>
  <c r="V17" i="9"/>
  <c r="W17" i="9" s="1"/>
  <c r="V12" i="9"/>
  <c r="W12" i="9" s="1"/>
  <c r="V9" i="9"/>
  <c r="W9" i="9" s="1"/>
  <c r="V6" i="9"/>
  <c r="W6" i="9" s="1"/>
  <c r="V57" i="9"/>
  <c r="X32" i="9"/>
  <c r="Y32" i="9" s="1"/>
  <c r="X24" i="9"/>
  <c r="Y24" i="9" s="1"/>
  <c r="X16" i="9"/>
  <c r="Y16" i="9" s="1"/>
  <c r="X5" i="9"/>
  <c r="Y5" i="9" s="1"/>
  <c r="V30" i="9"/>
  <c r="W30" i="9" s="1"/>
  <c r="V19" i="9"/>
  <c r="W19" i="9" s="1"/>
  <c r="T58" i="9"/>
  <c r="T47" i="9"/>
  <c r="H10" i="6" s="1"/>
  <c r="T35" i="9"/>
  <c r="U35" i="9" s="1"/>
  <c r="T31" i="9"/>
  <c r="U31" i="9" s="1"/>
  <c r="T27" i="9"/>
  <c r="U27" i="9" s="1"/>
  <c r="T23" i="9"/>
  <c r="U23" i="9" s="1"/>
  <c r="T19" i="9"/>
  <c r="U19" i="9" s="1"/>
  <c r="T15" i="9"/>
  <c r="U15" i="9" s="1"/>
  <c r="T11" i="9"/>
  <c r="U11" i="9" s="1"/>
  <c r="T7" i="9"/>
  <c r="U7" i="9" s="1"/>
  <c r="T4" i="9"/>
  <c r="U4" i="9" s="1"/>
  <c r="T57" i="9"/>
  <c r="T38" i="9"/>
  <c r="U38" i="9" s="1"/>
  <c r="T34" i="9"/>
  <c r="U34" i="9" s="1"/>
  <c r="T30" i="9"/>
  <c r="U30" i="9" s="1"/>
  <c r="T26" i="9"/>
  <c r="U26" i="9" s="1"/>
  <c r="T22" i="9"/>
  <c r="U22" i="9" s="1"/>
  <c r="T18" i="9"/>
  <c r="U18" i="9" s="1"/>
  <c r="T14" i="9"/>
  <c r="U14" i="9" s="1"/>
  <c r="T10" i="9"/>
  <c r="U10" i="9" s="1"/>
  <c r="T6" i="9"/>
  <c r="U6" i="9" s="1"/>
  <c r="T60" i="9"/>
  <c r="T56" i="9"/>
  <c r="T37" i="9"/>
  <c r="T33" i="9"/>
  <c r="U33" i="9" s="1"/>
  <c r="T29" i="9"/>
  <c r="U29" i="9" s="1"/>
  <c r="T25" i="9"/>
  <c r="U25" i="9" s="1"/>
  <c r="T21" i="9"/>
  <c r="U21" i="9" s="1"/>
  <c r="T17" i="9"/>
  <c r="U17" i="9" s="1"/>
  <c r="T13" i="9"/>
  <c r="U13" i="9" s="1"/>
  <c r="T9" i="9"/>
  <c r="U9" i="9" s="1"/>
  <c r="T5" i="9"/>
  <c r="U5" i="9" s="1"/>
  <c r="T59" i="9"/>
  <c r="T55" i="9"/>
  <c r="T36" i="9"/>
  <c r="U36" i="9" s="1"/>
  <c r="T32" i="9"/>
  <c r="U32" i="9" s="1"/>
  <c r="T28" i="9"/>
  <c r="U28" i="9" s="1"/>
  <c r="T24" i="9"/>
  <c r="U24" i="9" s="1"/>
  <c r="T20" i="9"/>
  <c r="U20" i="9" s="1"/>
  <c r="T16" i="9"/>
  <c r="U16" i="9" s="1"/>
  <c r="T12" i="9"/>
  <c r="U12" i="9" s="1"/>
  <c r="T8" i="9"/>
  <c r="U8" i="9" s="1"/>
  <c r="T3" i="9"/>
  <c r="U15" i="1"/>
  <c r="V15" i="1"/>
  <c r="W15" i="1"/>
  <c r="X15" i="1"/>
  <c r="Y15" i="1"/>
  <c r="Z15" i="1"/>
  <c r="AA15" i="1"/>
  <c r="AB8" i="1"/>
  <c r="R4" i="1"/>
  <c r="L11" i="1"/>
  <c r="M11" i="1"/>
  <c r="R5" i="1"/>
  <c r="S5" i="1"/>
  <c r="T5" i="1"/>
  <c r="U5" i="1"/>
  <c r="V5" i="1"/>
  <c r="W5" i="1"/>
  <c r="X5" i="1"/>
  <c r="Y5" i="1"/>
  <c r="Z5" i="1"/>
  <c r="AA5" i="1"/>
  <c r="AB9" i="1"/>
  <c r="S14" i="1"/>
  <c r="R16" i="1"/>
  <c r="S27" i="1"/>
  <c r="T27" i="1"/>
  <c r="U27" i="1"/>
  <c r="V27" i="1"/>
  <c r="W27" i="1"/>
  <c r="X27" i="1"/>
  <c r="Y27" i="1"/>
  <c r="Z27" i="1"/>
  <c r="AA27" i="1"/>
  <c r="AB27" i="1"/>
  <c r="R28" i="1"/>
  <c r="S28" i="1"/>
  <c r="T28" i="1"/>
  <c r="U28" i="1"/>
  <c r="V28" i="1"/>
  <c r="W28" i="1"/>
  <c r="X28" i="1"/>
  <c r="Y28" i="1"/>
  <c r="Z28" i="1"/>
  <c r="AA28" i="1"/>
  <c r="Q31" i="1"/>
  <c r="Q52" i="1"/>
  <c r="R31" i="1"/>
  <c r="S38" i="1"/>
  <c r="R40" i="1"/>
  <c r="R43" i="1"/>
  <c r="S40" i="1"/>
  <c r="T40" i="1"/>
  <c r="U40" i="1"/>
  <c r="V40" i="1"/>
  <c r="W40" i="1"/>
  <c r="X40" i="1"/>
  <c r="Y40" i="1"/>
  <c r="Z40" i="1"/>
  <c r="AA40" i="1"/>
  <c r="AB40" i="1"/>
  <c r="AB42" i="1"/>
  <c r="R10" i="1"/>
  <c r="S10" i="1"/>
  <c r="T10" i="1"/>
  <c r="U10" i="1"/>
  <c r="V10" i="1"/>
  <c r="W10" i="1"/>
  <c r="X10" i="1"/>
  <c r="Y10" i="1"/>
  <c r="Z10" i="1"/>
  <c r="AA10" i="1"/>
  <c r="AB10" i="1"/>
  <c r="AB23" i="1"/>
  <c r="S29" i="1"/>
  <c r="T29" i="1"/>
  <c r="U29" i="1"/>
  <c r="V29" i="1"/>
  <c r="W29" i="1"/>
  <c r="X29" i="1"/>
  <c r="Y29" i="1"/>
  <c r="Z29" i="1"/>
  <c r="AA29" i="1"/>
  <c r="S30" i="1"/>
  <c r="T30" i="1"/>
  <c r="U30" i="1"/>
  <c r="V30" i="1"/>
  <c r="W30" i="1"/>
  <c r="X30" i="1"/>
  <c r="Y30" i="1"/>
  <c r="Z30" i="1"/>
  <c r="AA30" i="1"/>
  <c r="L12" i="1"/>
  <c r="M12" i="1"/>
  <c r="L15" i="1"/>
  <c r="M15" i="1"/>
  <c r="S26" i="1"/>
  <c r="R46" i="1"/>
  <c r="R47" i="1"/>
  <c r="S47" i="1"/>
  <c r="T47" i="1"/>
  <c r="U47" i="1"/>
  <c r="V47" i="1"/>
  <c r="W47" i="1"/>
  <c r="X47" i="1"/>
  <c r="Y47" i="1"/>
  <c r="Z47" i="1"/>
  <c r="AA47" i="1"/>
  <c r="R48" i="1"/>
  <c r="S48" i="1"/>
  <c r="T48" i="1"/>
  <c r="U48" i="1"/>
  <c r="V48" i="1"/>
  <c r="W48" i="1"/>
  <c r="X48" i="1"/>
  <c r="Y48" i="1"/>
  <c r="Z48" i="1"/>
  <c r="AA48" i="1"/>
  <c r="L13" i="1"/>
  <c r="M13" i="1"/>
  <c r="L14" i="1"/>
  <c r="M14" i="1"/>
  <c r="P53" i="1"/>
  <c r="C40" i="9"/>
  <c r="R58" i="9"/>
  <c r="R47" i="9"/>
  <c r="H9" i="6" s="1"/>
  <c r="R37" i="9"/>
  <c r="R33" i="9"/>
  <c r="S33" i="9" s="1"/>
  <c r="R29" i="9"/>
  <c r="S29" i="9" s="1"/>
  <c r="R25" i="9"/>
  <c r="S25" i="9" s="1"/>
  <c r="R21" i="9"/>
  <c r="S21" i="9" s="1"/>
  <c r="R17" i="9"/>
  <c r="S17" i="9" s="1"/>
  <c r="R13" i="9"/>
  <c r="S13" i="9" s="1"/>
  <c r="R9" i="9"/>
  <c r="S9" i="9" s="1"/>
  <c r="R5" i="9"/>
  <c r="S5" i="9" s="1"/>
  <c r="R57" i="9"/>
  <c r="R36" i="9"/>
  <c r="S36" i="9" s="1"/>
  <c r="R32" i="9"/>
  <c r="S32" i="9" s="1"/>
  <c r="R28" i="9"/>
  <c r="S28" i="9" s="1"/>
  <c r="R24" i="9"/>
  <c r="S24" i="9" s="1"/>
  <c r="R20" i="9"/>
  <c r="S20" i="9" s="1"/>
  <c r="R16" i="9"/>
  <c r="S16" i="9" s="1"/>
  <c r="R12" i="9"/>
  <c r="S12" i="9" s="1"/>
  <c r="R8" i="9"/>
  <c r="S8" i="9" s="1"/>
  <c r="R3" i="9"/>
  <c r="S3" i="9" s="1"/>
  <c r="R60" i="9"/>
  <c r="R56" i="9"/>
  <c r="R35" i="9"/>
  <c r="S35" i="9" s="1"/>
  <c r="R31" i="9"/>
  <c r="S31" i="9" s="1"/>
  <c r="R27" i="9"/>
  <c r="S27" i="9" s="1"/>
  <c r="R23" i="9"/>
  <c r="S23" i="9" s="1"/>
  <c r="R19" i="9"/>
  <c r="S19" i="9" s="1"/>
  <c r="R15" i="9"/>
  <c r="S15" i="9" s="1"/>
  <c r="R11" i="9"/>
  <c r="S11" i="9" s="1"/>
  <c r="R7" i="9"/>
  <c r="S7" i="9" s="1"/>
  <c r="R59" i="9"/>
  <c r="R55" i="9"/>
  <c r="R38" i="9"/>
  <c r="S38" i="9" s="1"/>
  <c r="R34" i="9"/>
  <c r="S34" i="9" s="1"/>
  <c r="R30" i="9"/>
  <c r="S30" i="9" s="1"/>
  <c r="R26" i="9"/>
  <c r="S26" i="9" s="1"/>
  <c r="R22" i="9"/>
  <c r="S22" i="9" s="1"/>
  <c r="R18" i="9"/>
  <c r="S18" i="9" s="1"/>
  <c r="R14" i="9"/>
  <c r="S14" i="9" s="1"/>
  <c r="R10" i="9"/>
  <c r="S10" i="9" s="1"/>
  <c r="R6" i="9"/>
  <c r="S6" i="9" s="1"/>
  <c r="P57" i="9"/>
  <c r="P58" i="9"/>
  <c r="P56" i="9"/>
  <c r="P55" i="9"/>
  <c r="P60" i="9"/>
  <c r="P59" i="9"/>
  <c r="P47" i="9"/>
  <c r="H8" i="6" s="1"/>
  <c r="P37" i="9"/>
  <c r="Q37" i="9" s="1"/>
  <c r="P33" i="9"/>
  <c r="Q33" i="9" s="1"/>
  <c r="P29" i="9"/>
  <c r="Q29" i="9" s="1"/>
  <c r="P25" i="9"/>
  <c r="Q25" i="9" s="1"/>
  <c r="P21" i="9"/>
  <c r="Q21" i="9" s="1"/>
  <c r="P17" i="9"/>
  <c r="Q17" i="9" s="1"/>
  <c r="P13" i="9"/>
  <c r="Q13" i="9" s="1"/>
  <c r="P9" i="9"/>
  <c r="Q9" i="9" s="1"/>
  <c r="P5" i="9"/>
  <c r="Q5" i="9" s="1"/>
  <c r="P36" i="9"/>
  <c r="Q36" i="9" s="1"/>
  <c r="P32" i="9"/>
  <c r="Q32" i="9" s="1"/>
  <c r="P28" i="9"/>
  <c r="Q28" i="9" s="1"/>
  <c r="P24" i="9"/>
  <c r="Q24" i="9" s="1"/>
  <c r="P20" i="9"/>
  <c r="Q20" i="9" s="1"/>
  <c r="P16" i="9"/>
  <c r="Q16" i="9" s="1"/>
  <c r="P12" i="9"/>
  <c r="Q12" i="9" s="1"/>
  <c r="P8" i="9"/>
  <c r="Q8" i="9" s="1"/>
  <c r="P3" i="9"/>
  <c r="P35" i="9"/>
  <c r="Q35" i="9" s="1"/>
  <c r="P31" i="9"/>
  <c r="Q31" i="9" s="1"/>
  <c r="P27" i="9"/>
  <c r="Q27" i="9" s="1"/>
  <c r="P23" i="9"/>
  <c r="Q23" i="9" s="1"/>
  <c r="P19" i="9"/>
  <c r="Q19" i="9" s="1"/>
  <c r="P15" i="9"/>
  <c r="Q15" i="9" s="1"/>
  <c r="P11" i="9"/>
  <c r="Q11" i="9" s="1"/>
  <c r="P7" i="9"/>
  <c r="Q7" i="9" s="1"/>
  <c r="P38" i="9"/>
  <c r="Q38" i="9" s="1"/>
  <c r="P34" i="9"/>
  <c r="Q34" i="9" s="1"/>
  <c r="P30" i="9"/>
  <c r="Q30" i="9" s="1"/>
  <c r="P26" i="9"/>
  <c r="Q26" i="9" s="1"/>
  <c r="P22" i="9"/>
  <c r="Q22" i="9" s="1"/>
  <c r="P18" i="9"/>
  <c r="Q18" i="9" s="1"/>
  <c r="P14" i="9"/>
  <c r="Q14" i="9" s="1"/>
  <c r="P10" i="9"/>
  <c r="Q10" i="9" s="1"/>
  <c r="P6" i="9"/>
  <c r="Q6" i="9" s="1"/>
  <c r="N58" i="9"/>
  <c r="N47" i="9"/>
  <c r="H7" i="6" s="1"/>
  <c r="N36" i="9"/>
  <c r="O36" i="9" s="1"/>
  <c r="N33" i="9"/>
  <c r="O33" i="9" s="1"/>
  <c r="N30" i="9"/>
  <c r="O30" i="9" s="1"/>
  <c r="N23" i="9"/>
  <c r="O23" i="9" s="1"/>
  <c r="N19" i="9"/>
  <c r="O19" i="9" s="1"/>
  <c r="N15" i="9"/>
  <c r="O15" i="9" s="1"/>
  <c r="N11" i="9"/>
  <c r="O11" i="9" s="1"/>
  <c r="N7" i="9"/>
  <c r="O7" i="9" s="1"/>
  <c r="L58" i="9"/>
  <c r="L47" i="9"/>
  <c r="H6" i="6" s="1"/>
  <c r="N57" i="9"/>
  <c r="N35" i="9"/>
  <c r="O35" i="9" s="1"/>
  <c r="N32" i="9"/>
  <c r="O32" i="9" s="1"/>
  <c r="N29" i="9"/>
  <c r="O29" i="9" s="1"/>
  <c r="N26" i="9"/>
  <c r="O26" i="9" s="1"/>
  <c r="N22" i="9"/>
  <c r="O22" i="9" s="1"/>
  <c r="N18" i="9"/>
  <c r="O18" i="9" s="1"/>
  <c r="N14" i="9"/>
  <c r="O14" i="9" s="1"/>
  <c r="N10" i="9"/>
  <c r="O10" i="9" s="1"/>
  <c r="N6" i="9"/>
  <c r="O6" i="9" s="1"/>
  <c r="L57" i="9"/>
  <c r="N60" i="9"/>
  <c r="N56" i="9"/>
  <c r="N38" i="9"/>
  <c r="O38" i="9" s="1"/>
  <c r="N31" i="9"/>
  <c r="O31" i="9" s="1"/>
  <c r="N28" i="9"/>
  <c r="O28" i="9" s="1"/>
  <c r="N25" i="9"/>
  <c r="O25" i="9" s="1"/>
  <c r="N21" i="9"/>
  <c r="O21" i="9" s="1"/>
  <c r="N17" i="9"/>
  <c r="O17" i="9" s="1"/>
  <c r="N13" i="9"/>
  <c r="O13" i="9" s="1"/>
  <c r="N9" i="9"/>
  <c r="O9" i="9" s="1"/>
  <c r="N5" i="9"/>
  <c r="O5" i="9" s="1"/>
  <c r="L60" i="9"/>
  <c r="L56" i="9"/>
  <c r="N59" i="9"/>
  <c r="N55" i="9"/>
  <c r="N37" i="9"/>
  <c r="O37" i="9" s="1"/>
  <c r="N34" i="9"/>
  <c r="O34" i="9" s="1"/>
  <c r="N27" i="9"/>
  <c r="O27" i="9" s="1"/>
  <c r="N24" i="9"/>
  <c r="O24" i="9" s="1"/>
  <c r="N20" i="9"/>
  <c r="O20" i="9" s="1"/>
  <c r="N16" i="9"/>
  <c r="O16" i="9" s="1"/>
  <c r="N12" i="9"/>
  <c r="O12" i="9" s="1"/>
  <c r="N8" i="9"/>
  <c r="O8" i="9" s="1"/>
  <c r="N3" i="9"/>
  <c r="O3" i="9" s="1"/>
  <c r="L59" i="9"/>
  <c r="L55" i="9"/>
  <c r="L15" i="9"/>
  <c r="M15" i="9" s="1"/>
  <c r="L34" i="9"/>
  <c r="M34" i="9" s="1"/>
  <c r="L30" i="9"/>
  <c r="M30" i="9" s="1"/>
  <c r="L31" i="9"/>
  <c r="M31" i="9" s="1"/>
  <c r="L32" i="9"/>
  <c r="M32" i="9" s="1"/>
  <c r="L24" i="9"/>
  <c r="M24" i="9" s="1"/>
  <c r="L17" i="9"/>
  <c r="M17" i="9" s="1"/>
  <c r="L12" i="9"/>
  <c r="M12" i="9" s="1"/>
  <c r="L6" i="9"/>
  <c r="M6" i="9" s="1"/>
  <c r="L37" i="9"/>
  <c r="M37" i="9" s="1"/>
  <c r="L29" i="9"/>
  <c r="M29" i="9" s="1"/>
  <c r="L21" i="9"/>
  <c r="M21" i="9" s="1"/>
  <c r="L16" i="9"/>
  <c r="M16" i="9" s="1"/>
  <c r="L10" i="9"/>
  <c r="M10" i="9" s="1"/>
  <c r="L5" i="9"/>
  <c r="M5" i="9" s="1"/>
  <c r="L36" i="9"/>
  <c r="M36" i="9" s="1"/>
  <c r="L28" i="9"/>
  <c r="M28" i="9" s="1"/>
  <c r="L20" i="9"/>
  <c r="M20" i="9" s="1"/>
  <c r="L14" i="9"/>
  <c r="M14" i="9" s="1"/>
  <c r="L9" i="9"/>
  <c r="M9" i="9" s="1"/>
  <c r="L3" i="9"/>
  <c r="M3" i="9" s="1"/>
  <c r="L33" i="9"/>
  <c r="M33" i="9" s="1"/>
  <c r="L25" i="9"/>
  <c r="M25" i="9" s="1"/>
  <c r="L18" i="9"/>
  <c r="M18" i="9" s="1"/>
  <c r="L13" i="9"/>
  <c r="M13" i="9" s="1"/>
  <c r="L8" i="9"/>
  <c r="M8" i="9" s="1"/>
  <c r="L27" i="9"/>
  <c r="M27" i="9" s="1"/>
  <c r="L11" i="9"/>
  <c r="M11" i="9" s="1"/>
  <c r="L23" i="9"/>
  <c r="M23" i="9" s="1"/>
  <c r="L7" i="9"/>
  <c r="M7" i="9" s="1"/>
  <c r="L26" i="9"/>
  <c r="M26" i="9" s="1"/>
  <c r="L35" i="9"/>
  <c r="M35" i="9" s="1"/>
  <c r="L19" i="9"/>
  <c r="M19" i="9" s="1"/>
  <c r="L38" i="9"/>
  <c r="M38" i="9" s="1"/>
  <c r="L22" i="9"/>
  <c r="M22" i="9" s="1"/>
  <c r="J27" i="9"/>
  <c r="K27" i="9" s="1"/>
  <c r="J19" i="9"/>
  <c r="K19" i="9" s="1"/>
  <c r="F37" i="9"/>
  <c r="G37" i="9" s="1"/>
  <c r="I2" i="10"/>
  <c r="H20" i="9"/>
  <c r="I20" i="9" s="1"/>
  <c r="F58" i="9"/>
  <c r="J18" i="9"/>
  <c r="K18" i="9" s="1"/>
  <c r="F34" i="9"/>
  <c r="G34" i="9" s="1"/>
  <c r="H21" i="9"/>
  <c r="I21" i="9" s="1"/>
  <c r="F3" i="9"/>
  <c r="G3" i="9" s="1"/>
  <c r="H13" i="9"/>
  <c r="I13" i="9" s="1"/>
  <c r="F15" i="9"/>
  <c r="G15" i="9" s="1"/>
  <c r="J20" i="9"/>
  <c r="K20" i="9" s="1"/>
  <c r="F22" i="9"/>
  <c r="G22" i="9" s="1"/>
  <c r="F24" i="9"/>
  <c r="G24" i="9" s="1"/>
  <c r="J60" i="9"/>
  <c r="D59" i="9"/>
  <c r="J58" i="9"/>
  <c r="J57" i="9"/>
  <c r="J56" i="9"/>
  <c r="J55" i="9"/>
  <c r="H38" i="9"/>
  <c r="I38" i="9" s="1"/>
  <c r="H37" i="9"/>
  <c r="I37" i="9" s="1"/>
  <c r="H36" i="9"/>
  <c r="I36" i="9" s="1"/>
  <c r="J35" i="9"/>
  <c r="K35" i="9" s="1"/>
  <c r="J34" i="9"/>
  <c r="K34" i="9" s="1"/>
  <c r="J33" i="9"/>
  <c r="K33" i="9" s="1"/>
  <c r="J32" i="9"/>
  <c r="K32" i="9" s="1"/>
  <c r="F30" i="9"/>
  <c r="G30" i="9" s="1"/>
  <c r="F29" i="9"/>
  <c r="G29" i="9" s="1"/>
  <c r="F28" i="9"/>
  <c r="G28" i="9" s="1"/>
  <c r="H27" i="9"/>
  <c r="I27" i="9" s="1"/>
  <c r="H26" i="9"/>
  <c r="I26" i="9" s="1"/>
  <c r="J59" i="9"/>
  <c r="D58" i="9"/>
  <c r="H57" i="9"/>
  <c r="D56" i="9"/>
  <c r="H55" i="9"/>
  <c r="H47" i="9"/>
  <c r="H4" i="6" s="1"/>
  <c r="J38" i="9"/>
  <c r="K38" i="9" s="1"/>
  <c r="H35" i="9"/>
  <c r="I35" i="9" s="1"/>
  <c r="H33" i="9"/>
  <c r="I33" i="9" s="1"/>
  <c r="J30" i="9"/>
  <c r="K30" i="9" s="1"/>
  <c r="J28" i="9"/>
  <c r="K28" i="9" s="1"/>
  <c r="F27" i="9"/>
  <c r="G27" i="9" s="1"/>
  <c r="J25" i="9"/>
  <c r="K25" i="9" s="1"/>
  <c r="F21" i="9"/>
  <c r="G21" i="9" s="1"/>
  <c r="F20" i="9"/>
  <c r="G20" i="9" s="1"/>
  <c r="H19" i="9"/>
  <c r="I19" i="9" s="1"/>
  <c r="H18" i="9"/>
  <c r="I18" i="9" s="1"/>
  <c r="J17" i="9"/>
  <c r="K17" i="9" s="1"/>
  <c r="J16" i="9"/>
  <c r="K16" i="9" s="1"/>
  <c r="F8" i="9"/>
  <c r="G8" i="9" s="1"/>
  <c r="F7" i="9"/>
  <c r="G7" i="9" s="1"/>
  <c r="H6" i="9"/>
  <c r="I6" i="9" s="1"/>
  <c r="J5" i="9"/>
  <c r="K5" i="9" s="1"/>
  <c r="J3" i="9"/>
  <c r="F19" i="9"/>
  <c r="G19" i="9" s="1"/>
  <c r="F18" i="9"/>
  <c r="G18" i="9" s="1"/>
  <c r="H17" i="9"/>
  <c r="I17" i="9" s="1"/>
  <c r="H16" i="9"/>
  <c r="I16" i="9" s="1"/>
  <c r="J15" i="9"/>
  <c r="K15" i="9" s="1"/>
  <c r="J14" i="9"/>
  <c r="K14" i="9" s="1"/>
  <c r="F13" i="9"/>
  <c r="G13" i="9" s="1"/>
  <c r="F6" i="9"/>
  <c r="G6" i="9" s="1"/>
  <c r="H5" i="9"/>
  <c r="I5" i="9" s="1"/>
  <c r="H3" i="9"/>
  <c r="I3" i="9" s="1"/>
  <c r="H60" i="9"/>
  <c r="H59" i="9"/>
  <c r="F57" i="9"/>
  <c r="F55" i="9"/>
  <c r="F47" i="9"/>
  <c r="F38" i="9"/>
  <c r="G38" i="9" s="1"/>
  <c r="J36" i="9"/>
  <c r="K36" i="9" s="1"/>
  <c r="F35" i="9"/>
  <c r="G35" i="9" s="1"/>
  <c r="F33" i="9"/>
  <c r="G33" i="9" s="1"/>
  <c r="J31" i="9"/>
  <c r="K31" i="9" s="1"/>
  <c r="H30" i="9"/>
  <c r="I30" i="9" s="1"/>
  <c r="H28" i="9"/>
  <c r="I28" i="9" s="1"/>
  <c r="J26" i="9"/>
  <c r="K26" i="9" s="1"/>
  <c r="H25" i="9"/>
  <c r="I25" i="9" s="1"/>
  <c r="J24" i="9"/>
  <c r="K24" i="9" s="1"/>
  <c r="J23" i="9"/>
  <c r="K23" i="9" s="1"/>
  <c r="J22" i="9"/>
  <c r="K22" i="9" s="1"/>
  <c r="J12" i="9"/>
  <c r="K12" i="9" s="1"/>
  <c r="J11" i="9"/>
  <c r="K11" i="9" s="1"/>
  <c r="J10" i="9"/>
  <c r="K10" i="9" s="1"/>
  <c r="J9" i="9"/>
  <c r="K9" i="9" s="1"/>
  <c r="F60" i="9"/>
  <c r="F59" i="9"/>
  <c r="H58" i="9"/>
  <c r="D57" i="9"/>
  <c r="H56" i="9"/>
  <c r="D55" i="9"/>
  <c r="J37" i="9"/>
  <c r="K37" i="9" s="1"/>
  <c r="F36" i="9"/>
  <c r="G36" i="9" s="1"/>
  <c r="H34" i="9"/>
  <c r="I34" i="9" s="1"/>
  <c r="H32" i="9"/>
  <c r="I32" i="9" s="1"/>
  <c r="H31" i="9"/>
  <c r="I31" i="9" s="1"/>
  <c r="J29" i="9"/>
  <c r="K29" i="9" s="1"/>
  <c r="F26" i="9"/>
  <c r="G26" i="9" s="1"/>
  <c r="F25" i="9"/>
  <c r="G25" i="9" s="1"/>
  <c r="H24" i="9"/>
  <c r="I24" i="9" s="1"/>
  <c r="J6" i="9"/>
  <c r="K6" i="9" s="1"/>
  <c r="H7" i="9"/>
  <c r="I7" i="9" s="1"/>
  <c r="H8" i="9"/>
  <c r="I8" i="9" s="1"/>
  <c r="F9" i="9"/>
  <c r="G9" i="9" s="1"/>
  <c r="F10" i="9"/>
  <c r="G10" i="9" s="1"/>
  <c r="F11" i="9"/>
  <c r="G11" i="9" s="1"/>
  <c r="F12" i="9"/>
  <c r="G12" i="9" s="1"/>
  <c r="J13" i="9"/>
  <c r="K13" i="9" s="1"/>
  <c r="H14" i="9"/>
  <c r="I14" i="9" s="1"/>
  <c r="H15" i="9"/>
  <c r="I15" i="9" s="1"/>
  <c r="H22" i="9"/>
  <c r="I22" i="9" s="1"/>
  <c r="H23" i="9"/>
  <c r="I23" i="9" s="1"/>
  <c r="F31" i="9"/>
  <c r="G31" i="9" s="1"/>
  <c r="J47" i="9"/>
  <c r="H5" i="6" s="1"/>
  <c r="F56" i="9"/>
  <c r="F5" i="9"/>
  <c r="G5" i="9" s="1"/>
  <c r="F14" i="9"/>
  <c r="G14" i="9" s="1"/>
  <c r="J21" i="9"/>
  <c r="K21" i="9" s="1"/>
  <c r="F23" i="9"/>
  <c r="G23" i="9" s="1"/>
  <c r="F32" i="9"/>
  <c r="G32" i="9" s="1"/>
  <c r="J7" i="9"/>
  <c r="K7" i="9" s="1"/>
  <c r="J8" i="9"/>
  <c r="K8" i="9" s="1"/>
  <c r="H9" i="9"/>
  <c r="I9" i="9" s="1"/>
  <c r="H10" i="9"/>
  <c r="I10" i="9" s="1"/>
  <c r="H11" i="9"/>
  <c r="I11" i="9" s="1"/>
  <c r="H12" i="9"/>
  <c r="I12" i="9" s="1"/>
  <c r="F16" i="9"/>
  <c r="G16" i="9" s="1"/>
  <c r="F17" i="9"/>
  <c r="G17" i="9" s="1"/>
  <c r="H29" i="9"/>
  <c r="I29" i="9" s="1"/>
  <c r="D60" i="9"/>
  <c r="G3" i="13"/>
  <c r="E3" i="13"/>
  <c r="X41" i="13"/>
  <c r="Z34" i="13"/>
  <c r="Z59" i="13"/>
  <c r="Z58" i="13"/>
  <c r="Z57" i="13"/>
  <c r="Z56" i="13"/>
  <c r="Z39" i="13"/>
  <c r="Z32" i="13"/>
  <c r="Z28" i="13"/>
  <c r="Z18" i="13"/>
  <c r="Z17" i="13"/>
  <c r="Z60" i="13"/>
  <c r="Z48" i="13"/>
  <c r="B48" i="13" s="1"/>
  <c r="Z37" i="13"/>
  <c r="Z36" i="13"/>
  <c r="Z35" i="13"/>
  <c r="Z33" i="13"/>
  <c r="Z31" i="13"/>
  <c r="Z30" i="13"/>
  <c r="Z29" i="13"/>
  <c r="Z24" i="13"/>
  <c r="Z23" i="13"/>
  <c r="Z22" i="13"/>
  <c r="Z25" i="13"/>
  <c r="Z15" i="13"/>
  <c r="Z12" i="13"/>
  <c r="Z10" i="13"/>
  <c r="Z8" i="13"/>
  <c r="Z7" i="13"/>
  <c r="Z3" i="13"/>
  <c r="Z5" i="13"/>
  <c r="Z61" i="13"/>
  <c r="Z16" i="13"/>
  <c r="Z13" i="13"/>
  <c r="Z26" i="13"/>
  <c r="Z21" i="13"/>
  <c r="Z20" i="13"/>
  <c r="Z14" i="13"/>
  <c r="Z11" i="13"/>
  <c r="Z19" i="13"/>
  <c r="Z9" i="13"/>
  <c r="Z27" i="13"/>
  <c r="Z6" i="13"/>
  <c r="Z40" i="9"/>
  <c r="D13" i="6" s="1"/>
  <c r="P13" i="6" s="1"/>
  <c r="AA3" i="9"/>
  <c r="O4" i="6"/>
  <c r="O11" i="6"/>
  <c r="O12" i="6"/>
  <c r="O10" i="6"/>
  <c r="U3" i="9"/>
  <c r="O5" i="6"/>
  <c r="O6" i="6"/>
  <c r="O3" i="6"/>
  <c r="O7" i="6"/>
  <c r="R50" i="1"/>
  <c r="S46" i="1"/>
  <c r="AB48" i="1"/>
  <c r="AB29" i="1"/>
  <c r="AB28" i="1"/>
  <c r="R11" i="1"/>
  <c r="S4" i="1"/>
  <c r="O9" i="6"/>
  <c r="O8" i="6"/>
  <c r="S31" i="1"/>
  <c r="T26" i="1"/>
  <c r="AB47" i="1"/>
  <c r="AB30" i="1"/>
  <c r="T38" i="1"/>
  <c r="S43" i="1"/>
  <c r="T14" i="1"/>
  <c r="S16" i="1"/>
  <c r="AB15" i="1"/>
  <c r="AB5" i="1"/>
  <c r="Q3" i="9"/>
  <c r="AA41" i="13"/>
  <c r="S11" i="1"/>
  <c r="S53" i="1"/>
  <c r="T4" i="1"/>
  <c r="T43" i="1"/>
  <c r="U38" i="1"/>
  <c r="R53" i="1"/>
  <c r="S50" i="1"/>
  <c r="S52" i="1"/>
  <c r="T46" i="1"/>
  <c r="R52" i="1"/>
  <c r="T16" i="1"/>
  <c r="U14" i="1"/>
  <c r="U26" i="1"/>
  <c r="T31" i="1"/>
  <c r="U46" i="1"/>
  <c r="T50" i="1"/>
  <c r="U16" i="1"/>
  <c r="V14" i="1"/>
  <c r="V26" i="1"/>
  <c r="U31" i="1"/>
  <c r="T11" i="1"/>
  <c r="T53" i="1"/>
  <c r="U4" i="1"/>
  <c r="U43" i="1"/>
  <c r="V38" i="1"/>
  <c r="V31" i="1"/>
  <c r="W26" i="1"/>
  <c r="T52" i="1"/>
  <c r="U11" i="1"/>
  <c r="V4" i="1"/>
  <c r="W14" i="1"/>
  <c r="V16" i="1"/>
  <c r="V46" i="1"/>
  <c r="U50" i="1"/>
  <c r="U52" i="1"/>
  <c r="W38" i="1"/>
  <c r="V43" i="1"/>
  <c r="V50" i="1"/>
  <c r="W46" i="1"/>
  <c r="V11" i="1"/>
  <c r="V53" i="1"/>
  <c r="W4" i="1"/>
  <c r="W31" i="1"/>
  <c r="X26" i="1"/>
  <c r="U53" i="1"/>
  <c r="X38" i="1"/>
  <c r="W43" i="1"/>
  <c r="X14" i="1"/>
  <c r="W16" i="1"/>
  <c r="X43" i="1"/>
  <c r="Y38" i="1"/>
  <c r="Y26" i="1"/>
  <c r="X31" i="1"/>
  <c r="W50" i="1"/>
  <c r="W11" i="1"/>
  <c r="W52" i="1"/>
  <c r="X46" i="1"/>
  <c r="X16" i="1"/>
  <c r="Y14" i="1"/>
  <c r="W53" i="1"/>
  <c r="X4" i="1"/>
  <c r="V52" i="1"/>
  <c r="Y16" i="1"/>
  <c r="Z14" i="1"/>
  <c r="Z26" i="1"/>
  <c r="Y31" i="1"/>
  <c r="X11" i="1"/>
  <c r="X53" i="1"/>
  <c r="Y4" i="1"/>
  <c r="Y46" i="1"/>
  <c r="X50" i="1"/>
  <c r="X52" i="1"/>
  <c r="Y43" i="1"/>
  <c r="Z38" i="1"/>
  <c r="Y11" i="1"/>
  <c r="Y53" i="1"/>
  <c r="Z4" i="1"/>
  <c r="Z46" i="1"/>
  <c r="Y50" i="1"/>
  <c r="AA38" i="1"/>
  <c r="Z43" i="1"/>
  <c r="Z31" i="1"/>
  <c r="AA26" i="1"/>
  <c r="AA14" i="1"/>
  <c r="Z16" i="1"/>
  <c r="AA31" i="1"/>
  <c r="AB31" i="1"/>
  <c r="AB26" i="1"/>
  <c r="Y52" i="1"/>
  <c r="AA16" i="1"/>
  <c r="AB14" i="1"/>
  <c r="AB16" i="1"/>
  <c r="AA43" i="1"/>
  <c r="AB43" i="1"/>
  <c r="AB38" i="1"/>
  <c r="Z50" i="1"/>
  <c r="AA46" i="1"/>
  <c r="AA4" i="1"/>
  <c r="Z11" i="1"/>
  <c r="Z53" i="1"/>
  <c r="AA50" i="1"/>
  <c r="AB46" i="1"/>
  <c r="Z52" i="1"/>
  <c r="AA11" i="1"/>
  <c r="AB4" i="1"/>
  <c r="AA52" i="1"/>
  <c r="AB50" i="1"/>
  <c r="AA53" i="1"/>
  <c r="AB53" i="1"/>
  <c r="AB11" i="1"/>
  <c r="AB52" i="1"/>
  <c r="C22" i="1"/>
  <c r="D22" i="1"/>
  <c r="F22" i="1"/>
  <c r="G22" i="1"/>
  <c r="I22" i="1"/>
  <c r="C21" i="1"/>
  <c r="D21" i="1"/>
  <c r="F21" i="1"/>
  <c r="G21" i="1"/>
  <c r="I21" i="1"/>
  <c r="C19" i="1"/>
  <c r="D19" i="1"/>
  <c r="F19" i="1"/>
  <c r="G19" i="1"/>
  <c r="I19" i="1"/>
  <c r="C18" i="1"/>
  <c r="D18" i="1"/>
  <c r="F18" i="1"/>
  <c r="G18" i="1"/>
  <c r="I18" i="1"/>
  <c r="C20" i="1"/>
  <c r="D20" i="1"/>
  <c r="F20" i="1"/>
  <c r="G20" i="1"/>
  <c r="I20" i="1"/>
  <c r="T40" i="9" l="1"/>
  <c r="T41" i="9" s="1"/>
  <c r="T42" i="9" s="1"/>
  <c r="T43" i="9" s="1"/>
  <c r="T44" i="9" s="1"/>
  <c r="X42" i="13"/>
  <c r="X43" i="13" s="1"/>
  <c r="X44" i="13" s="1"/>
  <c r="X45" i="13" s="1"/>
  <c r="D24" i="6"/>
  <c r="W4" i="13"/>
  <c r="Y4" i="13"/>
  <c r="Y41" i="13" s="1"/>
  <c r="U4" i="13"/>
  <c r="D59" i="13"/>
  <c r="F18" i="13"/>
  <c r="G18" i="13" s="1"/>
  <c r="F25" i="13"/>
  <c r="G25" i="13" s="1"/>
  <c r="F31" i="13"/>
  <c r="G31" i="13" s="1"/>
  <c r="F56" i="13"/>
  <c r="F19" i="13"/>
  <c r="G19" i="13" s="1"/>
  <c r="D26" i="13"/>
  <c r="E26" i="13" s="1"/>
  <c r="F32" i="13"/>
  <c r="G32" i="13" s="1"/>
  <c r="H11" i="13"/>
  <c r="I11" i="13" s="1"/>
  <c r="R38" i="13"/>
  <c r="S38" i="13" s="1"/>
  <c r="D38" i="13"/>
  <c r="D41" i="13" s="1"/>
  <c r="R56" i="13"/>
  <c r="S4" i="13"/>
  <c r="R41" i="13"/>
  <c r="E38" i="13"/>
  <c r="P38" i="13"/>
  <c r="I1321" i="10"/>
  <c r="J17" i="13"/>
  <c r="K17" i="13" s="1"/>
  <c r="H27" i="13"/>
  <c r="I27" i="13" s="1"/>
  <c r="D11" i="9"/>
  <c r="E11" i="9" s="1"/>
  <c r="B11" i="9" s="1"/>
  <c r="L13" i="13"/>
  <c r="M13" i="13" s="1"/>
  <c r="L31" i="13"/>
  <c r="M31" i="13" s="1"/>
  <c r="J25" i="13"/>
  <c r="K25" i="13" s="1"/>
  <c r="H35" i="13"/>
  <c r="I35" i="13" s="1"/>
  <c r="D27" i="9"/>
  <c r="E27" i="9" s="1"/>
  <c r="V32" i="13"/>
  <c r="T38" i="13"/>
  <c r="Z38" i="13"/>
  <c r="Z41" i="13" s="1"/>
  <c r="Z42" i="13" s="1"/>
  <c r="Z43" i="13" s="1"/>
  <c r="Z44" i="13" s="1"/>
  <c r="Z45" i="13" s="1"/>
  <c r="V56" i="13"/>
  <c r="F38" i="13"/>
  <c r="N21" i="13"/>
  <c r="O21" i="13" s="1"/>
  <c r="H3" i="13"/>
  <c r="I3" i="13" s="1"/>
  <c r="L37" i="13"/>
  <c r="M37" i="13" s="1"/>
  <c r="J33" i="13"/>
  <c r="K33" i="13" s="1"/>
  <c r="H19" i="13"/>
  <c r="I19" i="13" s="1"/>
  <c r="N5" i="13"/>
  <c r="O5" i="13" s="1"/>
  <c r="N37" i="13"/>
  <c r="O37" i="13" s="1"/>
  <c r="I1607" i="10"/>
  <c r="J3" i="13"/>
  <c r="K3" i="13" s="1"/>
  <c r="D23" i="9"/>
  <c r="E23" i="9" s="1"/>
  <c r="L10" i="13"/>
  <c r="M10" i="13" s="1"/>
  <c r="L7" i="13"/>
  <c r="M7" i="13" s="1"/>
  <c r="D7" i="9"/>
  <c r="E7" i="9" s="1"/>
  <c r="H15" i="13"/>
  <c r="I15" i="13" s="1"/>
  <c r="V40" i="9"/>
  <c r="V41" i="9" s="1"/>
  <c r="B4" i="9"/>
  <c r="D10" i="6"/>
  <c r="P10" i="6" s="1"/>
  <c r="X40" i="9"/>
  <c r="D12" i="6" s="1"/>
  <c r="P12" i="6" s="1"/>
  <c r="R40" i="9"/>
  <c r="R41" i="9" s="1"/>
  <c r="R42" i="9" s="1"/>
  <c r="R43" i="9" s="1"/>
  <c r="R44" i="9" s="1"/>
  <c r="J9" i="13"/>
  <c r="K9" i="13" s="1"/>
  <c r="D35" i="9"/>
  <c r="E35" i="9" s="1"/>
  <c r="B35" i="9" s="1"/>
  <c r="D19" i="9"/>
  <c r="E19" i="9" s="1"/>
  <c r="B19" i="9" s="1"/>
  <c r="N6" i="13"/>
  <c r="O6" i="13" s="1"/>
  <c r="N10" i="13"/>
  <c r="O10" i="13" s="1"/>
  <c r="N14" i="13"/>
  <c r="O14" i="13" s="1"/>
  <c r="N18" i="13"/>
  <c r="O18" i="13" s="1"/>
  <c r="N22" i="13"/>
  <c r="O22" i="13" s="1"/>
  <c r="N26" i="13"/>
  <c r="O26" i="13" s="1"/>
  <c r="N30" i="13"/>
  <c r="O30" i="13" s="1"/>
  <c r="N34" i="13"/>
  <c r="O34" i="13" s="1"/>
  <c r="N38" i="13"/>
  <c r="O38" i="13" s="1"/>
  <c r="D3" i="9"/>
  <c r="E3" i="9" s="1"/>
  <c r="D8" i="9"/>
  <c r="E8" i="9" s="1"/>
  <c r="D12" i="9"/>
  <c r="E12" i="9" s="1"/>
  <c r="B12" i="9" s="1"/>
  <c r="D16" i="9"/>
  <c r="E16" i="9" s="1"/>
  <c r="D20" i="9"/>
  <c r="E20" i="9" s="1"/>
  <c r="D24" i="9"/>
  <c r="E24" i="9" s="1"/>
  <c r="B24" i="9" s="1"/>
  <c r="D28" i="9"/>
  <c r="E28" i="9" s="1"/>
  <c r="B28" i="9" s="1"/>
  <c r="D32" i="9"/>
  <c r="E32" i="9" s="1"/>
  <c r="D36" i="9"/>
  <c r="E36" i="9" s="1"/>
  <c r="L5" i="13"/>
  <c r="M5" i="13" s="1"/>
  <c r="L11" i="13"/>
  <c r="M11" i="13" s="1"/>
  <c r="L19" i="13"/>
  <c r="M19" i="13" s="1"/>
  <c r="L22" i="13"/>
  <c r="M22" i="13" s="1"/>
  <c r="L25" i="13"/>
  <c r="M25" i="13" s="1"/>
  <c r="L28" i="13"/>
  <c r="M28" i="13" s="1"/>
  <c r="L34" i="13"/>
  <c r="M34" i="13" s="1"/>
  <c r="L38" i="13"/>
  <c r="M38" i="13" s="1"/>
  <c r="J6" i="13"/>
  <c r="K6" i="13" s="1"/>
  <c r="J10" i="13"/>
  <c r="K10" i="13" s="1"/>
  <c r="J14" i="13"/>
  <c r="K14" i="13" s="1"/>
  <c r="J18" i="13"/>
  <c r="K18" i="13" s="1"/>
  <c r="J22" i="13"/>
  <c r="K22" i="13" s="1"/>
  <c r="J26" i="13"/>
  <c r="K26" i="13" s="1"/>
  <c r="J30" i="13"/>
  <c r="K30" i="13" s="1"/>
  <c r="J34" i="13"/>
  <c r="K34" i="13" s="1"/>
  <c r="J38" i="13"/>
  <c r="K38" i="13" s="1"/>
  <c r="H4" i="13"/>
  <c r="I4" i="13" s="1"/>
  <c r="H8" i="13"/>
  <c r="I8" i="13" s="1"/>
  <c r="H12" i="13"/>
  <c r="I12" i="13" s="1"/>
  <c r="H16" i="13"/>
  <c r="I16" i="13" s="1"/>
  <c r="H20" i="13"/>
  <c r="I20" i="13" s="1"/>
  <c r="H24" i="13"/>
  <c r="I24" i="13" s="1"/>
  <c r="H28" i="13"/>
  <c r="I28" i="13" s="1"/>
  <c r="H32" i="13"/>
  <c r="I32" i="13" s="1"/>
  <c r="H36" i="13"/>
  <c r="I36" i="13" s="1"/>
  <c r="N7" i="13"/>
  <c r="O7" i="13" s="1"/>
  <c r="N11" i="13"/>
  <c r="O11" i="13" s="1"/>
  <c r="N15" i="13"/>
  <c r="O15" i="13" s="1"/>
  <c r="N19" i="13"/>
  <c r="O19" i="13" s="1"/>
  <c r="N23" i="13"/>
  <c r="O23" i="13" s="1"/>
  <c r="N27" i="13"/>
  <c r="O27" i="13" s="1"/>
  <c r="N31" i="13"/>
  <c r="O31" i="13" s="1"/>
  <c r="N35" i="13"/>
  <c r="O35" i="13" s="1"/>
  <c r="N39" i="13"/>
  <c r="O39" i="13" s="1"/>
  <c r="D5" i="9"/>
  <c r="E5" i="9" s="1"/>
  <c r="B5" i="9" s="1"/>
  <c r="D9" i="9"/>
  <c r="E9" i="9" s="1"/>
  <c r="B9" i="9" s="1"/>
  <c r="D13" i="9"/>
  <c r="E13" i="9" s="1"/>
  <c r="B13" i="9" s="1"/>
  <c r="D17" i="9"/>
  <c r="E17" i="9" s="1"/>
  <c r="B17" i="9" s="1"/>
  <c r="D21" i="9"/>
  <c r="E21" i="9" s="1"/>
  <c r="B21" i="9" s="1"/>
  <c r="D25" i="9"/>
  <c r="E25" i="9" s="1"/>
  <c r="B25" i="9" s="1"/>
  <c r="D29" i="9"/>
  <c r="E29" i="9" s="1"/>
  <c r="B29" i="9" s="1"/>
  <c r="D33" i="9"/>
  <c r="E33" i="9" s="1"/>
  <c r="B33" i="9" s="1"/>
  <c r="D37" i="9"/>
  <c r="E37" i="9" s="1"/>
  <c r="B37" i="9" s="1"/>
  <c r="L6" i="13"/>
  <c r="M6" i="13" s="1"/>
  <c r="L8" i="13"/>
  <c r="M8" i="13" s="1"/>
  <c r="L14" i="13"/>
  <c r="M14" i="13" s="1"/>
  <c r="L17" i="13"/>
  <c r="M17" i="13" s="1"/>
  <c r="L20" i="13"/>
  <c r="M20" i="13" s="1"/>
  <c r="L23" i="13"/>
  <c r="M23" i="13" s="1"/>
  <c r="L29" i="13"/>
  <c r="M29" i="13" s="1"/>
  <c r="L32" i="13"/>
  <c r="M32" i="13" s="1"/>
  <c r="L35" i="13"/>
  <c r="M35" i="13" s="1"/>
  <c r="L39" i="13"/>
  <c r="M39" i="13" s="1"/>
  <c r="J7" i="13"/>
  <c r="K7" i="13" s="1"/>
  <c r="J11" i="13"/>
  <c r="K11" i="13" s="1"/>
  <c r="J15" i="13"/>
  <c r="K15" i="13" s="1"/>
  <c r="J19" i="13"/>
  <c r="K19" i="13" s="1"/>
  <c r="J23" i="13"/>
  <c r="K23" i="13" s="1"/>
  <c r="J27" i="13"/>
  <c r="K27" i="13" s="1"/>
  <c r="J31" i="13"/>
  <c r="K31" i="13" s="1"/>
  <c r="J35" i="13"/>
  <c r="K35" i="13" s="1"/>
  <c r="J39" i="13"/>
  <c r="K39" i="13" s="1"/>
  <c r="H5" i="13"/>
  <c r="I5" i="13" s="1"/>
  <c r="H9" i="13"/>
  <c r="I9" i="13" s="1"/>
  <c r="H13" i="13"/>
  <c r="I13" i="13" s="1"/>
  <c r="H17" i="13"/>
  <c r="I17" i="13" s="1"/>
  <c r="H21" i="13"/>
  <c r="I21" i="13" s="1"/>
  <c r="H25" i="13"/>
  <c r="I25" i="13" s="1"/>
  <c r="H29" i="13"/>
  <c r="I29" i="13" s="1"/>
  <c r="H33" i="13"/>
  <c r="I33" i="13" s="1"/>
  <c r="H37" i="13"/>
  <c r="I37" i="13" s="1"/>
  <c r="N8" i="13"/>
  <c r="O8" i="13" s="1"/>
  <c r="N12" i="13"/>
  <c r="O12" i="13" s="1"/>
  <c r="N16" i="13"/>
  <c r="O16" i="13" s="1"/>
  <c r="N20" i="13"/>
  <c r="O20" i="13" s="1"/>
  <c r="N24" i="13"/>
  <c r="O24" i="13" s="1"/>
  <c r="N28" i="13"/>
  <c r="O28" i="13" s="1"/>
  <c r="N32" i="13"/>
  <c r="O32" i="13" s="1"/>
  <c r="N36" i="13"/>
  <c r="O36" i="13" s="1"/>
  <c r="N4" i="13"/>
  <c r="O4" i="13" s="1"/>
  <c r="D6" i="9"/>
  <c r="E6" i="9" s="1"/>
  <c r="B6" i="9" s="1"/>
  <c r="D10" i="9"/>
  <c r="E10" i="9" s="1"/>
  <c r="B10" i="9" s="1"/>
  <c r="D14" i="9"/>
  <c r="E14" i="9" s="1"/>
  <c r="B14" i="9" s="1"/>
  <c r="D18" i="9"/>
  <c r="E18" i="9" s="1"/>
  <c r="B18" i="9" s="1"/>
  <c r="D22" i="9"/>
  <c r="E22" i="9" s="1"/>
  <c r="B22" i="9" s="1"/>
  <c r="D26" i="9"/>
  <c r="E26" i="9" s="1"/>
  <c r="B26" i="9" s="1"/>
  <c r="D30" i="9"/>
  <c r="E30" i="9" s="1"/>
  <c r="B30" i="9" s="1"/>
  <c r="D34" i="9"/>
  <c r="E34" i="9" s="1"/>
  <c r="B34" i="9" s="1"/>
  <c r="D38" i="9"/>
  <c r="E38" i="9" s="1"/>
  <c r="B38" i="9" s="1"/>
  <c r="L9" i="13"/>
  <c r="M9" i="13" s="1"/>
  <c r="L12" i="13"/>
  <c r="M12" i="13" s="1"/>
  <c r="L15" i="13"/>
  <c r="M15" i="13" s="1"/>
  <c r="L18" i="13"/>
  <c r="M18" i="13" s="1"/>
  <c r="L21" i="13"/>
  <c r="M21" i="13" s="1"/>
  <c r="L26" i="13"/>
  <c r="M26" i="13" s="1"/>
  <c r="L30" i="13"/>
  <c r="M30" i="13" s="1"/>
  <c r="L36" i="13"/>
  <c r="M36" i="13" s="1"/>
  <c r="L3" i="13"/>
  <c r="J8" i="13"/>
  <c r="K8" i="13" s="1"/>
  <c r="J12" i="13"/>
  <c r="K12" i="13" s="1"/>
  <c r="J16" i="13"/>
  <c r="K16" i="13" s="1"/>
  <c r="J20" i="13"/>
  <c r="K20" i="13" s="1"/>
  <c r="J24" i="13"/>
  <c r="K24" i="13" s="1"/>
  <c r="J28" i="13"/>
  <c r="K28" i="13" s="1"/>
  <c r="J32" i="13"/>
  <c r="K32" i="13" s="1"/>
  <c r="J36" i="13"/>
  <c r="K36" i="13" s="1"/>
  <c r="J4" i="13"/>
  <c r="H6" i="13"/>
  <c r="I6" i="13" s="1"/>
  <c r="B6" i="13" s="1"/>
  <c r="H10" i="13"/>
  <c r="I10" i="13" s="1"/>
  <c r="B10" i="13" s="1"/>
  <c r="H14" i="13"/>
  <c r="I14" i="13" s="1"/>
  <c r="H18" i="13"/>
  <c r="I18" i="13" s="1"/>
  <c r="H22" i="13"/>
  <c r="I22" i="13" s="1"/>
  <c r="H26" i="13"/>
  <c r="I26" i="13" s="1"/>
  <c r="H30" i="13"/>
  <c r="I30" i="13" s="1"/>
  <c r="H34" i="13"/>
  <c r="I34" i="13" s="1"/>
  <c r="H38" i="13"/>
  <c r="I38" i="13" s="1"/>
  <c r="N29" i="13"/>
  <c r="O29" i="13" s="1"/>
  <c r="N13" i="13"/>
  <c r="O13" i="13" s="1"/>
  <c r="L40" i="9"/>
  <c r="L41" i="9" s="1"/>
  <c r="L42" i="9" s="1"/>
  <c r="L43" i="9" s="1"/>
  <c r="L44" i="9" s="1"/>
  <c r="H39" i="13"/>
  <c r="I39" i="13" s="1"/>
  <c r="H23" i="13"/>
  <c r="I23" i="13" s="1"/>
  <c r="H7" i="13"/>
  <c r="I7" i="13" s="1"/>
  <c r="B7" i="13" s="1"/>
  <c r="J37" i="13"/>
  <c r="K37" i="13" s="1"/>
  <c r="J21" i="13"/>
  <c r="K21" i="13" s="1"/>
  <c r="J5" i="13"/>
  <c r="K5" i="13" s="1"/>
  <c r="L24" i="13"/>
  <c r="M24" i="13" s="1"/>
  <c r="L16" i="13"/>
  <c r="M16" i="13" s="1"/>
  <c r="D31" i="9"/>
  <c r="E31" i="9" s="1"/>
  <c r="B31" i="9" s="1"/>
  <c r="D15" i="9"/>
  <c r="E15" i="9" s="1"/>
  <c r="B15" i="9" s="1"/>
  <c r="N3" i="13"/>
  <c r="N25" i="13"/>
  <c r="O25" i="13" s="1"/>
  <c r="N9" i="13"/>
  <c r="O9" i="13" s="1"/>
  <c r="Q40" i="9"/>
  <c r="D9" i="6"/>
  <c r="P9" i="6" s="1"/>
  <c r="P40" i="9"/>
  <c r="P41" i="9" s="1"/>
  <c r="P42" i="9" s="1"/>
  <c r="P43" i="9" s="1"/>
  <c r="P44" i="9" s="1"/>
  <c r="N40" i="9"/>
  <c r="O40" i="9"/>
  <c r="H31" i="13"/>
  <c r="I31" i="13" s="1"/>
  <c r="J29" i="13"/>
  <c r="K29" i="13" s="1"/>
  <c r="J13" i="13"/>
  <c r="K13" i="13" s="1"/>
  <c r="L33" i="13"/>
  <c r="M33" i="13" s="1"/>
  <c r="L27" i="13"/>
  <c r="M27" i="13" s="1"/>
  <c r="D47" i="9"/>
  <c r="H2" i="6" s="1"/>
  <c r="N33" i="13"/>
  <c r="O33" i="13" s="1"/>
  <c r="N17" i="13"/>
  <c r="O17" i="13" s="1"/>
  <c r="Y40" i="9"/>
  <c r="U40" i="9"/>
  <c r="B16" i="9"/>
  <c r="F40" i="9"/>
  <c r="W40" i="9"/>
  <c r="AA40" i="9"/>
  <c r="H40" i="9"/>
  <c r="S40" i="9"/>
  <c r="B23" i="9"/>
  <c r="B7" i="9"/>
  <c r="H3" i="6"/>
  <c r="K3" i="9"/>
  <c r="K40" i="9" s="1"/>
  <c r="J40" i="9"/>
  <c r="B8" i="9"/>
  <c r="Z41" i="9"/>
  <c r="Z42" i="9" s="1"/>
  <c r="Z43" i="9" s="1"/>
  <c r="Z44" i="9" s="1"/>
  <c r="E41" i="13"/>
  <c r="B32" i="9"/>
  <c r="D11" i="6"/>
  <c r="V42" i="9"/>
  <c r="V43" i="9" s="1"/>
  <c r="V44" i="9" s="1"/>
  <c r="B27" i="9"/>
  <c r="B20" i="9"/>
  <c r="I40" i="9"/>
  <c r="G40" i="9"/>
  <c r="B36" i="9"/>
  <c r="M40" i="9"/>
  <c r="J13" i="6"/>
  <c r="B27" i="13" l="1"/>
  <c r="R42" i="13"/>
  <c r="R43" i="13" s="1"/>
  <c r="R44" i="13" s="1"/>
  <c r="R45" i="13" s="1"/>
  <c r="D21" i="6"/>
  <c r="V41" i="13"/>
  <c r="W32" i="13"/>
  <c r="W41" i="13" s="1"/>
  <c r="T41" i="13"/>
  <c r="U38" i="13"/>
  <c r="U41" i="13" s="1"/>
  <c r="B11" i="13"/>
  <c r="J12" i="6"/>
  <c r="X41" i="9"/>
  <c r="X42" i="9" s="1"/>
  <c r="X43" i="9" s="1"/>
  <c r="X44" i="9" s="1"/>
  <c r="B22" i="13"/>
  <c r="B14" i="13"/>
  <c r="B19" i="13"/>
  <c r="D14" i="6"/>
  <c r="D42" i="13"/>
  <c r="D43" i="13" s="1"/>
  <c r="D44" i="13" s="1"/>
  <c r="B15" i="13"/>
  <c r="B31" i="13"/>
  <c r="B25" i="13"/>
  <c r="B23" i="13"/>
  <c r="S41" i="13"/>
  <c r="P41" i="13"/>
  <c r="Q38" i="13"/>
  <c r="Q41" i="13" s="1"/>
  <c r="G38" i="13"/>
  <c r="G41" i="13" s="1"/>
  <c r="F41" i="13"/>
  <c r="B17" i="13"/>
  <c r="B5" i="13"/>
  <c r="B35" i="13"/>
  <c r="B34" i="13"/>
  <c r="B20" i="13"/>
  <c r="B16" i="13"/>
  <c r="B18" i="13"/>
  <c r="B29" i="13"/>
  <c r="B21" i="13"/>
  <c r="B39" i="13"/>
  <c r="B28" i="13"/>
  <c r="B26" i="13"/>
  <c r="D8" i="6"/>
  <c r="P8" i="6" s="1"/>
  <c r="B24" i="13"/>
  <c r="B3" i="9"/>
  <c r="B40" i="9" s="1"/>
  <c r="B13" i="13"/>
  <c r="B36" i="13"/>
  <c r="I41" i="13"/>
  <c r="B33" i="13"/>
  <c r="B30" i="13"/>
  <c r="J10" i="6"/>
  <c r="M3" i="13"/>
  <c r="L41" i="13"/>
  <c r="B8" i="13"/>
  <c r="J9" i="6"/>
  <c r="O3" i="13"/>
  <c r="O41" i="13" s="1"/>
  <c r="N41" i="13"/>
  <c r="D40" i="9"/>
  <c r="D2" i="6" s="1"/>
  <c r="B32" i="13"/>
  <c r="B37" i="13"/>
  <c r="B12" i="13"/>
  <c r="E40" i="9"/>
  <c r="K4" i="13"/>
  <c r="J41" i="13"/>
  <c r="D6" i="6"/>
  <c r="J6" i="6" s="1"/>
  <c r="B47" i="9"/>
  <c r="H41" i="13"/>
  <c r="D7" i="6"/>
  <c r="N41" i="9"/>
  <c r="N42" i="9" s="1"/>
  <c r="N43" i="9" s="1"/>
  <c r="N44" i="9" s="1"/>
  <c r="B9" i="13"/>
  <c r="D4" i="6"/>
  <c r="H41" i="9"/>
  <c r="H42" i="9" s="1"/>
  <c r="H43" i="9" s="1"/>
  <c r="H44" i="9" s="1"/>
  <c r="D3" i="6"/>
  <c r="P3" i="6" s="1"/>
  <c r="F41" i="9"/>
  <c r="F42" i="9" s="1"/>
  <c r="F43" i="9" s="1"/>
  <c r="J41" i="9"/>
  <c r="J42" i="9" s="1"/>
  <c r="J43" i="9" s="1"/>
  <c r="J44" i="9" s="1"/>
  <c r="D5" i="6"/>
  <c r="J11" i="6"/>
  <c r="P11" i="6"/>
  <c r="P42" i="13" l="1"/>
  <c r="P43" i="13" s="1"/>
  <c r="P44" i="13" s="1"/>
  <c r="P45" i="13" s="1"/>
  <c r="D20" i="6"/>
  <c r="V42" i="13"/>
  <c r="D23" i="6"/>
  <c r="T42" i="13"/>
  <c r="T43" i="13" s="1"/>
  <c r="T44" i="13" s="1"/>
  <c r="T45" i="13" s="1"/>
  <c r="D22" i="6"/>
  <c r="V43" i="13"/>
  <c r="V44" i="13" s="1"/>
  <c r="V45" i="13" s="1"/>
  <c r="P14" i="6"/>
  <c r="J14" i="6"/>
  <c r="D15" i="6"/>
  <c r="F42" i="13"/>
  <c r="F43" i="13" s="1"/>
  <c r="F44" i="13" s="1"/>
  <c r="B38" i="13"/>
  <c r="P6" i="6"/>
  <c r="J8" i="6"/>
  <c r="D41" i="9"/>
  <c r="D42" i="9" s="1"/>
  <c r="D43" i="9" s="1"/>
  <c r="D16" i="6"/>
  <c r="H42" i="13"/>
  <c r="H43" i="13" s="1"/>
  <c r="H44" i="13" s="1"/>
  <c r="H45" i="13" s="1"/>
  <c r="D19" i="6"/>
  <c r="N42" i="13"/>
  <c r="N43" i="13" s="1"/>
  <c r="N44" i="13" s="1"/>
  <c r="N45" i="13" s="1"/>
  <c r="D18" i="6"/>
  <c r="L42" i="13"/>
  <c r="L43" i="13" s="1"/>
  <c r="L44" i="13" s="1"/>
  <c r="L45" i="13" s="1"/>
  <c r="B4" i="13"/>
  <c r="K41" i="13"/>
  <c r="J7" i="6"/>
  <c r="P7" i="6"/>
  <c r="D17" i="6"/>
  <c r="J42" i="13"/>
  <c r="J43" i="13" s="1"/>
  <c r="J44" i="13" s="1"/>
  <c r="J45" i="13" s="1"/>
  <c r="M41" i="13"/>
  <c r="B3" i="13"/>
  <c r="J4" i="6"/>
  <c r="P4" i="6"/>
  <c r="J3" i="6"/>
  <c r="P5" i="6"/>
  <c r="J5" i="6"/>
  <c r="P2" i="6"/>
  <c r="Q2" i="6" s="1"/>
  <c r="Q3" i="6" s="1"/>
  <c r="Q4" i="6" s="1"/>
  <c r="J2" i="6"/>
  <c r="L2" i="6" s="1"/>
  <c r="P15" i="6" l="1"/>
  <c r="J15" i="6"/>
  <c r="B41" i="13"/>
  <c r="P17" i="6"/>
  <c r="J17" i="6"/>
  <c r="P19" i="6"/>
  <c r="J19" i="6"/>
  <c r="P18" i="6"/>
  <c r="J18" i="6"/>
  <c r="P16" i="6"/>
  <c r="J16" i="6"/>
  <c r="Q5" i="6"/>
  <c r="Q6" i="6" s="1"/>
  <c r="Q7" i="6" s="1"/>
  <c r="Q8" i="6" s="1"/>
  <c r="Q9" i="6" s="1"/>
  <c r="Q10" i="6" s="1"/>
  <c r="Q11" i="6" s="1"/>
  <c r="Q12" i="6" s="1"/>
  <c r="Q13" i="6" s="1"/>
  <c r="Q14" i="6" s="1"/>
  <c r="M2" i="6"/>
  <c r="L3" i="6"/>
  <c r="Q15" i="6" l="1"/>
  <c r="Q16" i="6" s="1"/>
  <c r="Q17" i="6" s="1"/>
  <c r="Q18" i="6" s="1"/>
  <c r="Q19" i="6" s="1"/>
  <c r="M3" i="6"/>
  <c r="L4" i="6"/>
  <c r="M4" i="6" l="1"/>
  <c r="L5" i="6"/>
  <c r="L6" i="6" l="1"/>
  <c r="M5" i="6"/>
  <c r="L7" i="6" l="1"/>
  <c r="M6" i="6"/>
  <c r="L8" i="6" l="1"/>
  <c r="M7" i="6"/>
  <c r="M8" i="6" l="1"/>
  <c r="L9" i="6"/>
  <c r="M9" i="6" l="1"/>
  <c r="L10" i="6"/>
  <c r="M10" i="6" l="1"/>
  <c r="L11" i="6"/>
  <c r="L12" i="6" l="1"/>
  <c r="M11" i="6"/>
  <c r="M12" i="6" l="1"/>
  <c r="L13" i="6"/>
  <c r="M13" i="6" l="1"/>
  <c r="L14" i="6"/>
  <c r="M14" i="6" l="1"/>
  <c r="L15" i="6"/>
  <c r="L16" i="6" l="1"/>
  <c r="M15" i="6"/>
  <c r="M16" i="6" l="1"/>
  <c r="L17" i="6"/>
  <c r="M17" i="6" l="1"/>
  <c r="L18" i="6"/>
  <c r="M18" i="6" l="1"/>
  <c r="L19" i="6"/>
  <c r="M19" i="6" s="1"/>
</calcChain>
</file>

<file path=xl/comments1.xml><?xml version="1.0" encoding="utf-8"?>
<comments xmlns="http://schemas.openxmlformats.org/spreadsheetml/2006/main">
  <authors>
    <author>kevin</author>
  </authors>
  <commentList>
    <comment ref="AN4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mom health care comm cost a lot. Plus phone card</t>
        </r>
      </text>
    </comment>
    <comment ref="AP6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3M Conf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Equinox Gift </t>
        </r>
      </text>
    </comment>
    <comment ref="AL11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V-day with Patty</t>
        </r>
      </text>
    </comment>
    <comment ref="AN11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Mom Meds and Lee</t>
        </r>
      </text>
    </comment>
    <comment ref="AP11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Target gift for Kevin Chien's Baby</t>
        </r>
      </text>
    </comment>
    <comment ref="N30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New York hospital+taxes
</t>
        </r>
      </text>
    </comment>
    <comment ref="V30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mindy</t>
        </r>
      </text>
    </comment>
    <comment ref="AL30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postage
</t>
        </r>
      </text>
    </comment>
    <comment ref="AB33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clothes: cufflink
</t>
        </r>
      </text>
    </comment>
    <comment ref="AH33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Cole Hann Shoes</t>
        </r>
      </text>
    </comment>
    <comment ref="AL33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new clothes</t>
        </r>
      </text>
    </comment>
  </commentList>
</comments>
</file>

<file path=xl/comments2.xml><?xml version="1.0" encoding="utf-8"?>
<comments xmlns="http://schemas.openxmlformats.org/spreadsheetml/2006/main">
  <authors>
    <author>kevin</author>
  </authors>
  <commentList>
    <comment ref="E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F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G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J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K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L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M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N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O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P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Q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R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S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T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U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V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W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X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Y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Z38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AA38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</commentList>
</comments>
</file>

<file path=xl/comments3.xml><?xml version="1.0" encoding="utf-8"?>
<comments xmlns="http://schemas.openxmlformats.org/spreadsheetml/2006/main">
  <authors>
    <author>kevin</author>
  </authors>
  <commentList>
    <comment ref="E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F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G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I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J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K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L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M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N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O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P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R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T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U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V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W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X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Y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  <comment ref="Z39" authorId="0">
      <text>
        <r>
          <rPr>
            <b/>
            <sz val="9"/>
            <color indexed="81"/>
            <rFont val="Tahoma"/>
            <family val="2"/>
          </rPr>
          <t xml:space="preserve">kevin: pass port
</t>
        </r>
      </text>
    </comment>
    <comment ref="AA39" author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Engagement Jewery
</t>
        </r>
      </text>
    </comment>
  </commentList>
</comments>
</file>

<file path=xl/sharedStrings.xml><?xml version="1.0" encoding="utf-8"?>
<sst xmlns="http://schemas.openxmlformats.org/spreadsheetml/2006/main" count="14051" uniqueCount="1613">
  <si>
    <t>Financial Goals</t>
  </si>
  <si>
    <t>Buy a house</t>
  </si>
  <si>
    <t>Sum</t>
  </si>
  <si>
    <t>Time to Save (yrs)</t>
  </si>
  <si>
    <t>Return Assumption</t>
  </si>
  <si>
    <t>Monthly Saving</t>
  </si>
  <si>
    <t>Wedding</t>
  </si>
  <si>
    <t>Car</t>
  </si>
  <si>
    <t>Safety Cushion</t>
  </si>
  <si>
    <t>Total</t>
  </si>
  <si>
    <t>Goals</t>
  </si>
  <si>
    <t>Income</t>
  </si>
  <si>
    <t>Year</t>
  </si>
  <si>
    <t>Pretax</t>
  </si>
  <si>
    <t>Tax</t>
  </si>
  <si>
    <t>Deduction</t>
  </si>
  <si>
    <t>Disposable</t>
  </si>
  <si>
    <t>Monthly</t>
  </si>
  <si>
    <t>Mortgage/rent</t>
  </si>
  <si>
    <t>Utilities</t>
  </si>
  <si>
    <t>Cellular telephone</t>
  </si>
  <si>
    <t>Home</t>
  </si>
  <si>
    <r>
      <t>E</t>
    </r>
    <r>
      <rPr>
        <b/>
        <sz val="12"/>
        <rFont val="Tahoma"/>
        <family val="2"/>
      </rPr>
      <t>XPENSES</t>
    </r>
  </si>
  <si>
    <t>Home totals</t>
  </si>
  <si>
    <t>Daily living</t>
  </si>
  <si>
    <t xml:space="preserve">Groceries </t>
  </si>
  <si>
    <t>Daily living totals</t>
  </si>
  <si>
    <t>Transportation</t>
  </si>
  <si>
    <t>Public transportation</t>
  </si>
  <si>
    <t>Transportation totals</t>
  </si>
  <si>
    <t>Movies/plays</t>
  </si>
  <si>
    <t>Entertainment totals</t>
  </si>
  <si>
    <t>Gym fees</t>
  </si>
  <si>
    <t>Dues/subscriptions</t>
  </si>
  <si>
    <t>Magazines</t>
  </si>
  <si>
    <t>Newspapers</t>
  </si>
  <si>
    <t>Religious organizations</t>
  </si>
  <si>
    <t>Charity</t>
  </si>
  <si>
    <t>Dues/subscription totals</t>
  </si>
  <si>
    <t>Personal</t>
  </si>
  <si>
    <t>Gifts</t>
  </si>
  <si>
    <t>Salon/barber</t>
  </si>
  <si>
    <t>Books</t>
  </si>
  <si>
    <t>Financial obligations</t>
  </si>
  <si>
    <t>Financial obligation totals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</si>
  <si>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</si>
  <si>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</si>
  <si>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</si>
  <si>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</si>
  <si>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</si>
  <si>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</si>
  <si>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</si>
  <si>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</si>
  <si>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</si>
  <si>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</si>
  <si>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</si>
  <si>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</si>
  <si>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Internet</t>
  </si>
  <si>
    <t>Vacation Fund</t>
  </si>
  <si>
    <t>Taxi</t>
  </si>
  <si>
    <t>Student Loan</t>
  </si>
  <si>
    <t>Parent Support</t>
  </si>
  <si>
    <t>Total Expense</t>
  </si>
  <si>
    <t>Bonus</t>
  </si>
  <si>
    <t>Bonus Tax</t>
  </si>
  <si>
    <t>Bonus End</t>
  </si>
  <si>
    <t>Total Pretax</t>
  </si>
  <si>
    <t>Total After Tax</t>
  </si>
  <si>
    <t>Monthly After Tax</t>
  </si>
  <si>
    <t>Monthly Income</t>
  </si>
  <si>
    <t>Savable Income</t>
  </si>
  <si>
    <t>Saving Gap</t>
  </si>
  <si>
    <t>Living Expenses</t>
  </si>
  <si>
    <t>Saving Needs</t>
  </si>
  <si>
    <t>Annual Gap</t>
  </si>
  <si>
    <t>Year End Bonus</t>
  </si>
  <si>
    <t>Period</t>
  </si>
  <si>
    <t>Year 1 Monthly Saving</t>
  </si>
  <si>
    <t>Year 2 Monthly Saving</t>
  </si>
  <si>
    <t>Year 3 Monthly Saving</t>
  </si>
  <si>
    <t>Year 4 Monthly Saving</t>
  </si>
  <si>
    <t>Monthly Saving Target</t>
  </si>
  <si>
    <t>1 Y Sum</t>
  </si>
  <si>
    <t>2 Y Sum</t>
  </si>
  <si>
    <t>3 Y Sum</t>
  </si>
  <si>
    <t>4 Y Sum</t>
  </si>
  <si>
    <t>Year End Surplus</t>
  </si>
  <si>
    <t>Disposable Saving</t>
  </si>
  <si>
    <t>Bonus Saving Needs</t>
  </si>
  <si>
    <t>Grocery</t>
  </si>
  <si>
    <t>Public Transit</t>
  </si>
  <si>
    <t>Budget</t>
  </si>
  <si>
    <t>Taxi and rental</t>
  </si>
  <si>
    <t>Diff</t>
  </si>
  <si>
    <t>Mortgage Rent</t>
  </si>
  <si>
    <t>Utility</t>
  </si>
  <si>
    <t>Cell Phone</t>
  </si>
  <si>
    <t>Restaurant</t>
  </si>
  <si>
    <t>Coffee</t>
  </si>
  <si>
    <t>Fast Food</t>
  </si>
  <si>
    <t>Student Loan Principle</t>
  </si>
  <si>
    <t>Relocation-Gas</t>
  </si>
  <si>
    <t>Uncategorized</t>
  </si>
  <si>
    <t>Start</t>
  </si>
  <si>
    <t>End</t>
  </si>
  <si>
    <t>Normal Spending</t>
  </si>
  <si>
    <t>Reimbused</t>
  </si>
  <si>
    <t>Salary</t>
  </si>
  <si>
    <t>Surplus/Deficit</t>
  </si>
  <si>
    <t>Reimbursable Spending</t>
  </si>
  <si>
    <t>YTD Reimbursed Balance</t>
  </si>
  <si>
    <t>YTD Budget Balance</t>
  </si>
  <si>
    <t>Laundry</t>
  </si>
  <si>
    <t>Category</t>
  </si>
  <si>
    <t>Activities/Concerts</t>
  </si>
  <si>
    <t>Acumulative Budget Balance From 08/28/2012</t>
  </si>
  <si>
    <t>Reimbursement</t>
  </si>
  <si>
    <t>Gift</t>
  </si>
  <si>
    <t>Reimbursable`</t>
  </si>
  <si>
    <t>Spending Ex-housing</t>
  </si>
  <si>
    <t>Relocation (home improvement)</t>
  </si>
  <si>
    <t>z-New Asset</t>
  </si>
  <si>
    <t>Spending ex-new purchases</t>
  </si>
  <si>
    <t>Month</t>
  </si>
  <si>
    <t>YTD Balance</t>
  </si>
  <si>
    <t>Montly Balance Total (Normal Spending and Salary only)</t>
  </si>
  <si>
    <t>D-Activities</t>
  </si>
  <si>
    <t>D-Coffee</t>
  </si>
  <si>
    <t>D-Fast Food</t>
  </si>
  <si>
    <t>D-Restaurant</t>
  </si>
  <si>
    <t>D-Travel</t>
  </si>
  <si>
    <t xml:space="preserve">Too much spending on dinning. Need to only spend on dinning event that will serve for the long benefit. </t>
  </si>
  <si>
    <t>end of month</t>
  </si>
  <si>
    <t>Tax Rebate</t>
  </si>
  <si>
    <t>Match</t>
  </si>
  <si>
    <t xml:space="preserve">Cap </t>
  </si>
  <si>
    <t>Dollar Cap</t>
  </si>
  <si>
    <t>Annual Salary</t>
  </si>
  <si>
    <t>Contribution Rate</t>
  </si>
  <si>
    <t>Tax Rate</t>
  </si>
  <si>
    <t>Employee</t>
  </si>
  <si>
    <t>Employer</t>
  </si>
  <si>
    <t>Dollar Cap (bi week)</t>
  </si>
  <si>
    <t xml:space="preserve">Paycheck </t>
  </si>
  <si>
    <t xml:space="preserve">Year 1 </t>
  </si>
  <si>
    <t>Year 2</t>
  </si>
  <si>
    <t>Year 3</t>
  </si>
  <si>
    <t>Year 4</t>
  </si>
  <si>
    <t>Year 5</t>
  </si>
  <si>
    <t>Growth Rate</t>
  </si>
  <si>
    <t>Vested</t>
  </si>
  <si>
    <t>end MV</t>
  </si>
  <si>
    <t>Total Contribution</t>
  </si>
  <si>
    <t>Vested MV</t>
  </si>
  <si>
    <t>After Tax</t>
  </si>
  <si>
    <t>Panelty</t>
  </si>
  <si>
    <t>After Panelty</t>
  </si>
  <si>
    <t>End MV</t>
  </si>
  <si>
    <t>Jun</t>
  </si>
  <si>
    <t>Jul</t>
  </si>
  <si>
    <t>Health Care</t>
  </si>
  <si>
    <t>Travel</t>
  </si>
  <si>
    <t>Transfer to Brokerage</t>
  </si>
  <si>
    <t>Diffe</t>
  </si>
  <si>
    <t xml:space="preserve">Aug </t>
  </si>
  <si>
    <t>Sep</t>
  </si>
  <si>
    <t>Gas</t>
  </si>
  <si>
    <t>Movies/Software/Online Service</t>
  </si>
  <si>
    <t>Spending new house</t>
  </si>
  <si>
    <t>Finance Charges</t>
  </si>
  <si>
    <t>Parking</t>
  </si>
  <si>
    <t>Note</t>
  </si>
  <si>
    <t>House Purchase</t>
  </si>
  <si>
    <t>Home Equity</t>
  </si>
  <si>
    <t>Student/Home Loan Principle</t>
  </si>
  <si>
    <t>Home Insurance</t>
  </si>
  <si>
    <t>Car Insurance</t>
  </si>
  <si>
    <t>Property Tax</t>
  </si>
  <si>
    <t>Necessary Expense</t>
  </si>
  <si>
    <t>Mortgage/Rent</t>
  </si>
  <si>
    <t>Income Tax</t>
  </si>
  <si>
    <t>Home Maintainence</t>
  </si>
  <si>
    <t>Annual</t>
  </si>
  <si>
    <t>Home Maintainence/Improvement</t>
  </si>
  <si>
    <t>Relative Transfer</t>
  </si>
  <si>
    <t>Car Related</t>
  </si>
  <si>
    <t>Cash Withdrawal</t>
  </si>
  <si>
    <t>Amazon Web Services</t>
  </si>
  <si>
    <t>KINDLE-FINANCIALTI  xxx-xxx-107 N48J45KGD06 DIGITAL</t>
  </si>
  <si>
    <t>KELBER CATERING INC MINNEAPOLIS xxxxxxxxxxx xxxxxx6046</t>
  </si>
  <si>
    <t>Entertainment</t>
  </si>
  <si>
    <t>Farm Fresh</t>
  </si>
  <si>
    <t>Groceries</t>
  </si>
  <si>
    <t>Costco Wholesale</t>
  </si>
  <si>
    <t>Target</t>
  </si>
  <si>
    <t>Check</t>
  </si>
  <si>
    <t>Guy Thing</t>
  </si>
  <si>
    <t>xxxxxx6583HEALTHYCHOIC xxx-xxx6583  MD</t>
  </si>
  <si>
    <t>Farmers Insurance</t>
  </si>
  <si>
    <t>Insurance</t>
  </si>
  <si>
    <t>Interest</t>
  </si>
  <si>
    <t>Online scheduled payment to MTG 2714                        Confirmation# xxxxxx2008</t>
  </si>
  <si>
    <t>Mortgages</t>
  </si>
  <si>
    <t>Everyday Beijing</t>
  </si>
  <si>
    <t>Restaurants/Dining</t>
  </si>
  <si>
    <t>Chipotle</t>
  </si>
  <si>
    <t>NORTH INDIA RESTAURASAN FRANCIS xxxxxxxx    xxx-xxx-2400</t>
  </si>
  <si>
    <t>Airbnb, Inc.</t>
  </si>
  <si>
    <t>HELL'S KITCHEN x0100MINNEAPOLIS xxxxxxxxxxx xxx-xxx-4700</t>
  </si>
  <si>
    <t>Arby's</t>
  </si>
  <si>
    <t>Panera Bread</t>
  </si>
  <si>
    <t>Cowgirl Creamery</t>
  </si>
  <si>
    <t>Algiers Cafe        San Francis NJ2EXR      xxxxxx4551</t>
  </si>
  <si>
    <t>HUMPHRY SLOCOMBE    SAN FRANCIS xxxxxxxx    xxx-xxx-6971</t>
  </si>
  <si>
    <t>Peet's Coffee &amp; Tea</t>
  </si>
  <si>
    <t>Restaurants/Dining - Coffee</t>
  </si>
  <si>
    <t>CHECKCARD  0901 ORANGE TREE TANFORAN                        SAN BRUNO    CA xxxxxxxxxxxxxxxxxxx4818</t>
  </si>
  <si>
    <t>STARBUCKS RELOAD SVCxxx-xxx-728 xxxx6950GZE GIFT CARD</t>
  </si>
  <si>
    <t>MT HIAW TVM NICOLET MINNEAPOLIS xxxxxxxxx   xxx-xxx-3333</t>
  </si>
  <si>
    <t>LATE FEE FOR PAYMENT DUE 09/16</t>
  </si>
  <si>
    <t>Service Charges/Fees</t>
  </si>
  <si>
    <t>Federal Withholding</t>
  </si>
  <si>
    <t>Taxes</t>
  </si>
  <si>
    <t>AT&amp;T</t>
  </si>
  <si>
    <t>Telephone Services</t>
  </si>
  <si>
    <t>Keep The Change Transfer</t>
  </si>
  <si>
    <t>Transfers</t>
  </si>
  <si>
    <t>AMERICAN TRAVEL TAXIxxx-xxx-0890 xxxxxxxxxxxxxx-xxx-0890</t>
  </si>
  <si>
    <t>Travel - Taxi</t>
  </si>
  <si>
    <t>Pacific Gas and Electric Company</t>
  </si>
  <si>
    <t>CITY OF SAN BRUNO UTIL xxx-xxx7086  CA</t>
  </si>
  <si>
    <t>Status</t>
  </si>
  <si>
    <t>Date</t>
  </si>
  <si>
    <t>Original Description</t>
  </si>
  <si>
    <t>Currency</t>
  </si>
  <si>
    <t>Amount</t>
  </si>
  <si>
    <t>posted</t>
  </si>
  <si>
    <t>Tadich Grill</t>
  </si>
  <si>
    <t>$</t>
  </si>
  <si>
    <t>Transfer</t>
  </si>
  <si>
    <t>Starbucks #x5852 SanSan Francis RGUBVR      FAST FOOD RESTAURANT</t>
  </si>
  <si>
    <t>American Express</t>
  </si>
  <si>
    <t>Credit Card Payments</t>
  </si>
  <si>
    <t>AIRTRADE INTL INC   SAN JOSE    xx0109      AIRLINE/AIR CARRIER</t>
  </si>
  <si>
    <t>Algiers Cafe        San Francis RGZ3JR      xxxxxx4551</t>
  </si>
  <si>
    <t>Algiers Cafe        San Francis RGXZTF      xxxxxx4551</t>
  </si>
  <si>
    <t>SORABOL</t>
  </si>
  <si>
    <t>400  HOWARD AMFH4465SAN FRANCIS xxxxxxxxx   xxxxxx2222</t>
  </si>
  <si>
    <t>Payment Thank You</t>
  </si>
  <si>
    <t>Contribution</t>
  </si>
  <si>
    <t>Other Income</t>
  </si>
  <si>
    <t>E*TRADE Bank</t>
  </si>
  <si>
    <t>Safeway</t>
  </si>
  <si>
    <t>SAS SHOES           COLMA       xxxxxxxx    xxx-xxx-2330</t>
  </si>
  <si>
    <t>Nordstrom, Inc.</t>
  </si>
  <si>
    <t>Rewards</t>
  </si>
  <si>
    <t>Wire Income</t>
  </si>
  <si>
    <t>KINDLE-FINANCIALTI  xxx-xxx-107 VWJNT3AT08L DIGITAL</t>
  </si>
  <si>
    <t>FOREIGN TRANSACTION FEE NGONG PING 360 LIMITHONG KONG           HK</t>
  </si>
  <si>
    <t>NGONG PING 360 LIMITHONG KONG   xxxxxx7728  HTTP://WWW.NP360.COM.</t>
  </si>
  <si>
    <t>BLACKROCK        DES:DIRECT DEP ID:xxxxxxxxx7179SY           INDN:LIN,RONGKE              CO ID:xxxxxx1101 PPD</t>
  </si>
  <si>
    <t>Paychecks/Salary</t>
  </si>
  <si>
    <t>LATE FEE FOR PAYMENT DUE 10/16</t>
  </si>
  <si>
    <t>Retirement Contributions</t>
  </si>
  <si>
    <t>HEALTHY CHOICES THERAP xxx-xxx6583  MD</t>
  </si>
  <si>
    <t>Healthcare/Medical</t>
  </si>
  <si>
    <t>CHECKCARD  1024 MASS TRANSIT RAILWAY                        HONG KONG       xxxxxxxxxxxxxxxxxxx0128                     INTERNATIONAL TRANSACTION FEE</t>
  </si>
  <si>
    <t>CHECKCARD  1024 HK DRAGON AIRLINES L198                     HONG KONG       xxxxxxxxxxxxxxxxxxx6565                     INTERNATIONAL TRANSACTION FEE</t>
  </si>
  <si>
    <t>CHECKCARD  1024 HK DRAGON AIRLINES L198                     HONG KONG       xxxxxxxxxxxxxxxxxxx6565</t>
  </si>
  <si>
    <t>CHECKCARD  1024 MASS TRANSIT RAILWAY                        HONG KONG       xxxxxxxxxxxxxxxxxxx0128</t>
  </si>
  <si>
    <t>Keep The Change Credit</t>
  </si>
  <si>
    <t>Deposits</t>
  </si>
  <si>
    <t>Expedia Inc</t>
  </si>
  <si>
    <t>Online scheduled payment to MTG 2714                        Confirmation# xxxxxx1257</t>
  </si>
  <si>
    <t>BLACKROCK        DES:DIRECT DEP ID:xxxxxxxxx8969SY           INDN:LIN,RONGKE              CO ID:xxxxxx1101 PPD</t>
  </si>
  <si>
    <t>ONLINE PAYMENT FROM CHK 3</t>
  </si>
  <si>
    <t>CHECKCARD  1031 KTM BHD-E-TICKET (EC)                       KUALA LUMPUR    xxxxxxxxxxxxxxxxxxx1003                     INTERNATIONAL TRANSACTION FEE</t>
  </si>
  <si>
    <t>CHECKCARD  1031 KTM BHD-E-TICKET (EC)                       KUALA LUMPUR    xxxxxxxxxxxxxxxxxxx2282                     INTERNATIONAL TRANSACTION FEE</t>
  </si>
  <si>
    <t>Online Banking payment to CRD 7366                          Confirmation# xxxxxx5393</t>
  </si>
  <si>
    <t>CHECKCARD  1031 KTM BHD-E-TICKET (EC)                       KUALA LUMPUR    xxxxxxxxxxxxxxxxxxx2282</t>
  </si>
  <si>
    <t>CHECKCARD  1031 KTM BHD-E-TICKET (EC)                       KUALA LUMPUR    xxxxxxxxxxxxxxxxxxx1003</t>
  </si>
  <si>
    <t>FOTOMAX (F.E.) LTD. HONG KONG   xxxx0278    UNIT 1701,K.WAH CENTR</t>
  </si>
  <si>
    <t>FOREIGN TRANSACTION FEE FOTOMAX (F.E.) LTD. HONG KONG           HK</t>
  </si>
  <si>
    <t>CHOW TAI FOOK JEWELLCAUSEWAY BA JEWELRY/WATCH/SILVRWR</t>
  </si>
  <si>
    <t>FOREIGN TRANSACTION FEE CHOW TAI FOOK JEWELLCAUSEWAY BAY        HK</t>
  </si>
  <si>
    <t>KINDLE-FINANCIALTI  xxx-xxx-107 I8250CHNQ4D DIGITAL</t>
  </si>
  <si>
    <t>BLACKROCK        DES:DIRECT DEP ID:xxxxxxxxx5039SY           INDN:LIN,RONGKE              CO ID:xxxxxx1101 PPD</t>
  </si>
  <si>
    <t>MTRC - HK STATION   CENTRAL     HONG KONG STATION  CE</t>
  </si>
  <si>
    <t>FOREIGN TRANSACTION FEE MTRC - HK STATION   CENTRAL             HK</t>
  </si>
  <si>
    <t>Amazon.com</t>
  </si>
  <si>
    <t>CHECKCARD  1119 KTMB-KL SENTRAL                             KUALA LUMPUR    xxxxxxxxxxxxxxxxxxx0025                     INTERNATIONAL TRANSACTION FEE</t>
  </si>
  <si>
    <t>CITYOFSANBRUNO   DES:xxxxxx7086 ID:                          INDN:RONGKE LIN              CO ID:xxxxxx1461 WEB</t>
  </si>
  <si>
    <t>CHECKCARD  1119 KTMB-KL SENTRAL                             KUALA LUMPUR    xxxxxxxxxxxxxxxxxxx0025</t>
  </si>
  <si>
    <t>FOREIGN TRANSACTION FEE PREMIER TAXIS PTE LTSINGAPORE           SG</t>
  </si>
  <si>
    <t>FOREIGN TRANSACTION FEE STARBUCKS COFFEE (RCSINGAPORE           SG</t>
  </si>
  <si>
    <t>PREMIER TAXIS PTE LTSINGAPORE   xx0116      TAXICAB &amp; LIMOUSINE</t>
  </si>
  <si>
    <t>STARBUCKS COFFEE (RCSINGAPORE   xx0902      RESTAURANT</t>
  </si>
  <si>
    <t>Apple Inc</t>
  </si>
  <si>
    <t>Marriott</t>
  </si>
  <si>
    <t>Dates</t>
  </si>
  <si>
    <t>Category correct?</t>
  </si>
  <si>
    <t>Out</t>
  </si>
  <si>
    <t>In</t>
  </si>
  <si>
    <t>Blue Planet Charger</t>
  </si>
  <si>
    <t>Blue Planet Charger Car</t>
  </si>
  <si>
    <t>Shiro</t>
  </si>
  <si>
    <t>Koi Kei Bakery</t>
  </si>
  <si>
    <t>Brother's Computer</t>
  </si>
  <si>
    <t xml:space="preserve">BlackRock Direct </t>
  </si>
  <si>
    <t>CITY OF SAN FRANCISCO</t>
  </si>
  <si>
    <t>Costco Gas</t>
  </si>
  <si>
    <t>Gasoline/Fuel</t>
  </si>
  <si>
    <t>Samsonite</t>
  </si>
  <si>
    <t>Macy's</t>
  </si>
  <si>
    <t>Brooks Brothers</t>
  </si>
  <si>
    <t>BERRY BERRY xxxx2701LIVERMORE   xxxxxx2318  FAST FOOD RESTAURANT</t>
  </si>
  <si>
    <t>HONG KONG FLOWER 038MILLBRAE    xxxxxxxxxx  xxx-xxx-8108</t>
  </si>
  <si>
    <t>Shell</t>
  </si>
  <si>
    <t>Ace Parking Management, Inc</t>
  </si>
  <si>
    <t>Raley's</t>
  </si>
  <si>
    <t>Union Square Garage</t>
  </si>
  <si>
    <t>HEAVENLY LIFT TKTS/SSO LAKE TAH xxxx    xxx xxx-xxx-2326</t>
  </si>
  <si>
    <t>SO TAHOE PARKING GARSOUTH LAKE  xxxxxxx4357 PARKING LOT &amp; GARAGE</t>
  </si>
  <si>
    <t>Online Banking payment to CRD 2851                          Confirmation# xxxxxx0267</t>
  </si>
  <si>
    <t>PORT IPS PARKING METER</t>
  </si>
  <si>
    <t>ONLINE PAYMENT FROM CH</t>
  </si>
  <si>
    <t>Walgreens</t>
  </si>
  <si>
    <t>Big 5 Sporting Goods</t>
  </si>
  <si>
    <t>PAY*PAYPERBOOKING</t>
  </si>
  <si>
    <t>VRBO.COM</t>
  </si>
  <si>
    <t>PAY*MCKINNEY ASSOC</t>
  </si>
  <si>
    <t>INDIA RESTAURANT</t>
  </si>
  <si>
    <t>HomeAway.com</t>
  </si>
  <si>
    <t>USPS</t>
  </si>
  <si>
    <t>BART</t>
  </si>
  <si>
    <t>Portico Restaurant</t>
  </si>
  <si>
    <t>PEETS x3102         SAN FRANCIS xx1454      FAST FOOD RESTAURANT</t>
  </si>
  <si>
    <t>BLACK ROCK INC.  DES:PAYMENTS   ID:xxxxxx1909                INDN:LIN,RONGKE              CO ID:1323</t>
  </si>
  <si>
    <t>Algiers Cafe        San Francis RQHGCC      xxxxxx4551</t>
  </si>
  <si>
    <t>BlackRock, Inc</t>
  </si>
  <si>
    <t>SFO Parking</t>
  </si>
  <si>
    <t>Ikea</t>
  </si>
  <si>
    <t>Home Improvement</t>
  </si>
  <si>
    <t>BROADWAY GRILL x5000BURLINGAME  xxxxxxxxxxx xxxxxx9333</t>
  </si>
  <si>
    <t>PEETS x3102         SAN FRANCIS xx8832      FAST FOOD RESTAURANT</t>
  </si>
  <si>
    <t>LOCAL kitchen and WiSanFrancisc bdc6926a714 RESTAURANT</t>
  </si>
  <si>
    <t>HOG ISALAND COMPANY SAN FRANCIS xxxxx       1 FERRY BUILDING 11A</t>
  </si>
  <si>
    <t>PEETS x3102         SAN FRANCIS xx8791      FAST FOOD RESTAURANT</t>
  </si>
  <si>
    <t>ZEN PENINSULA       xxx-xxx-xxxx xxxxxxx4344             USFCx4030</t>
  </si>
  <si>
    <t>KINDLE-FINANCIALTI  xxx-xxx-107 OM9RP9DNFWH DIGITAL</t>
  </si>
  <si>
    <t>CHICKEN PHO YOU 0452MILLBRAE    xxxxxxxxxx  xxx-xxx-8865</t>
  </si>
  <si>
    <t>Lowe's</t>
  </si>
  <si>
    <t>In-N-Out Burger</t>
  </si>
  <si>
    <t>99 Ranch Market</t>
  </si>
  <si>
    <t>Specialty's Cafe &amp; Bakery</t>
  </si>
  <si>
    <t>Starbucks #x5852 SanSan Francis NRJMO2      FAST FOOD RESTAURANT</t>
  </si>
  <si>
    <t>Algiers Cafe        San Francis NRF2XX      xxxxxx4551</t>
  </si>
  <si>
    <t>CHECKCARD  1201 SQ *ALGIERS CAFE                            San FranciscoCA xxxxxxxxxxxxxxxxxxx5126</t>
  </si>
  <si>
    <t>CHECKCARD  1201 PEETS x3102                                 SAN FRANCISCOCA xxxxxxxxxxxxxxxxxxx6924</t>
  </si>
  <si>
    <t>CHECKCARD  1130 SHENGKEE BAKERY - DALY                      DAILY CITY   CA xxxxxxxxxxxxxxxxxxx8964</t>
  </si>
  <si>
    <t>CHECKCARD  1130 TSUI WAH RESTAURANT                         CHEK LAP KOK    xxxxxxxxxxxxxxxxxxx0025</t>
  </si>
  <si>
    <t>CHECKCARD  1129 KOI KEI BAKERY                              HK              xxxxxxxxxxxxxxxxxxx0348</t>
  </si>
  <si>
    <t>Shiro's</t>
  </si>
  <si>
    <t>T-Mobile</t>
  </si>
  <si>
    <t>Counter Credit</t>
  </si>
  <si>
    <t>Jeanne</t>
  </si>
  <si>
    <t>Online scheduled payment to MTG 2714                        Confirmation# xxxxxx9791</t>
  </si>
  <si>
    <t>Identified Category</t>
  </si>
  <si>
    <t>BOA Category</t>
  </si>
  <si>
    <t>Transfersz</t>
  </si>
  <si>
    <t>KAISER xxxx0355     S SAN FRAN  xxxxxx8629  KAISER</t>
  </si>
  <si>
    <t>KAISER 035 xxxxx4001SOUTH SAN F x7481       MEDICAL SERVICE</t>
  </si>
  <si>
    <t>CAFE VENUE 0000     SAN FRANCIS xxxxxxxx    xxx-xxx-1144</t>
  </si>
  <si>
    <t>Online scheduled payment to MTG 2714                        Confirmation# xxxxxx8171</t>
  </si>
  <si>
    <t>BLACKROCK        DES:DIRECT DEP ID:xxxxxxxxx1419SY           INDN:LIN,RONGKE              CO ID:9111</t>
  </si>
  <si>
    <t>Securities Trades</t>
  </si>
  <si>
    <t>NOAH'S BAGELS #2132 SAN FRANCIS xxxxxx0264  FAST FOOD RESTAURANT</t>
  </si>
  <si>
    <t>Portico             San Francis NWW25V      squareup.com/receipts</t>
  </si>
  <si>
    <t>EXPEDIA INC         BELLEVUE    xx2709      AIRLINE/AIR CARRIER</t>
  </si>
  <si>
    <t>EXPEDIA*xxxxxxxx2854EXPEDIA.COM ZZZHF1ZE00E TRAVEL AGENCY</t>
  </si>
  <si>
    <t>HAPPY SICHUAN RESTAURA</t>
  </si>
  <si>
    <t>BA.COM              HONG KONG   YG3YR8      www.ba.com</t>
  </si>
  <si>
    <t>FOREIGN TRANSACTION FEE BA.COM              HONG KONG           HK</t>
  </si>
  <si>
    <t>AT&amp;T BILL PAYMENT   xxx-xxx-202 1BFY4L57EPA AT&amp;T EZC PMT</t>
  </si>
  <si>
    <t>COSTCO WHSE #0422 00SOUTH SAN F xxxxxxxxx   xxxxxx2021</t>
  </si>
  <si>
    <t>General Merchandise</t>
  </si>
  <si>
    <t>HENRYS HUNAN RESTAURSAN FRANCIS xxxxxxx5025 RESTAURANT</t>
  </si>
  <si>
    <t>CHIPOTLE 0138</t>
  </si>
  <si>
    <t>PEETS x3102         SAN FRANCIS xx2569      FAST FOOD RESTAURANT</t>
  </si>
  <si>
    <t>SORABOL_RINCON CENTESAN FRANCIS xxxxxxxxxxx xxx-xxx-5959</t>
  </si>
  <si>
    <t>Check 0621</t>
  </si>
  <si>
    <t>Checks</t>
  </si>
  <si>
    <t>CITY OF SAN BRUNO UTIL</t>
  </si>
  <si>
    <t>SUBWAY        xx1574SAN FRANCIS xxxxxxxxx   xxx-xxx0742</t>
  </si>
  <si>
    <t>Algiers Cafe        San Francis RT3F2V      squareup.com/receipts</t>
  </si>
  <si>
    <t>COSTCO GAS #0475 000SAN FRANCIS xxxxxxxxx   xxxxxx3003</t>
  </si>
  <si>
    <t>TARGET T1054 1054   SAN BRUNO   xxxx8071    DISCOUNT STORE</t>
  </si>
  <si>
    <t>SAFEWAY  STORE  0985SAN FRANCIS GROCERY STORE</t>
  </si>
  <si>
    <t>SUBWAY        xxxx1574 SAN FRANCISCOCA</t>
  </si>
  <si>
    <t>AMAZON MKTPLACE PMTSAMZN.COM/BI TDUVO7ANGLG BOOK STORES</t>
  </si>
  <si>
    <t>TARGET T1054 1054   SAN BRUNO   xxxx7493    DISCOUNT STORE</t>
  </si>
  <si>
    <t>AMERICAN EXPRESS DES:ACH Pmt    ID:W1942                     INDN:rongke lin              CO ID:1133</t>
  </si>
  <si>
    <t>U.W. OUTPATIENT PHARMA xxx-xxx3754  WA</t>
  </si>
  <si>
    <t>BUDGET RENTACARTOLLSxxx-xxx-200 xxxxxxxxxxx xxx-xxx-2000</t>
  </si>
  <si>
    <t>PEETS x3102         SAN FRANCIS xx3036      FAST FOOD RESTAURANT</t>
  </si>
  <si>
    <t>Check 0622</t>
  </si>
  <si>
    <t>BLACKROCK        DES:DIRECT DEP ID:xxxxxxxxx3039SY           INDN:LIN,RONGKE              CO ID:9111</t>
  </si>
  <si>
    <t>SFO PARKINGCENTRAL-Q96 SAN FRANCISCOCA</t>
  </si>
  <si>
    <t>THE COFFEE BEAN &amp; TEA  SAN FRANCISCOCA</t>
  </si>
  <si>
    <t>KEEPTHECHANGE CREDIT FROM ACCT3856 EFFECTIVE 01/13</t>
  </si>
  <si>
    <t>CLIFF HOUSE BANQUET SAN FRANCIS xxxxxxxxxx  xxx-xxx-4024</t>
  </si>
  <si>
    <t>Dividend</t>
  </si>
  <si>
    <t>Interest Earned</t>
  </si>
  <si>
    <t>PGANDE           DES:WEB ONLINE ID:xxxxxxxxxx1215            INDN:RONGKE LIN              CO ID:5940</t>
  </si>
  <si>
    <t>WALGREENS 456   01/13 #xxxxx9496 PURCHASE                   WALGREENS 456 MIS  SAN FRANCISCO CA</t>
  </si>
  <si>
    <t>ECALLCHINA COM         xxx-xxx-1703 NV</t>
  </si>
  <si>
    <t>BKOFAMERICA MOBILE 01/12 xxxxxx0896 DEPOSIT                                    *MOBILE       CA</t>
  </si>
  <si>
    <t>99 RANCH #1775 x0009PLEASANTON  xxxxxxxx    xxxxxx8899</t>
  </si>
  <si>
    <t>PEETS x3102         SAN FRANCIS xx5126      FAST FOOD RESTAURANT</t>
  </si>
  <si>
    <t>KINDLE-FINANCIALTI  xxx-xxx-107 R79JXG1SQC3 DIGITAL</t>
  </si>
  <si>
    <t>STARBUCKS RELOAD SVCxxx-xxx-728 xxxx0853B4G GIFT CARD</t>
  </si>
  <si>
    <t>PAY*HOMEAWAY COM  xxxx xxx-xxx-3145 CA</t>
  </si>
  <si>
    <t>BUDGET RENT A CAR   S SAN FRAN  R/A# xxxxxxxxx   xxx-xxx-2844</t>
  </si>
  <si>
    <t>WALGREENS #0625 0000MILLBRAE    xxxxxxxxxxx xxxxxx2273</t>
  </si>
  <si>
    <t>COSTCO GAS #0422 000SO SAN FRAN xxxxxxxxx   xxxxxx2021</t>
  </si>
  <si>
    <t>SAFEWAY STORE     28MILLBRAE    GROCERY STORE</t>
  </si>
  <si>
    <t>PAY*VRBO COM  xxxxxx x xxx-xxx-3145 CA</t>
  </si>
  <si>
    <t>AMERICAN EXPRESS DES:ACH Pmt    ID:W3670                     INDN:RONGKE LIN              CO ID:1133</t>
  </si>
  <si>
    <t>AMERICAN EXPRESS DES:AM PMT     ID:A0192                     INDN:RONGKE LIN              CO ID:3133</t>
  </si>
  <si>
    <t>Check 0619</t>
  </si>
  <si>
    <t>Online Banking payment to CRD 2851                          Confirmation# xxxxxx8792</t>
  </si>
  <si>
    <t>OFFICE DEPOT #979      MILLBRAE     CA</t>
  </si>
  <si>
    <t>LUPA                   SAN FRANCISCOCA</t>
  </si>
  <si>
    <t>99 RANCH #1769 x0001DALY CITY   xxxxxxxx    xxxxxx8899</t>
  </si>
  <si>
    <t>IN-N-OUT BURGER #190MILLBRAE    xxxxxxxx    xxxxxx1000</t>
  </si>
  <si>
    <t>AUTOPAY PAYMENT - THANK YOU</t>
  </si>
  <si>
    <t>ONLINE PAYMENT - THANK YOU</t>
  </si>
  <si>
    <t>AMAZON.COM          AMZN.COM/BI XU4URWM6PVR MERCHANDISE</t>
  </si>
  <si>
    <t>AT&amp;T*BILL PAYMENT 95DALLAS      xxxxxxxx    xxx-xxx-0500</t>
  </si>
  <si>
    <t>Spending Ex-Wedding</t>
  </si>
  <si>
    <t>Spending Ex-housing, Wedding</t>
  </si>
  <si>
    <t>Spending ex-Housing, Wedding, Parent Suport</t>
  </si>
  <si>
    <t>AT&amp;T BILL PAYMENT   xxx-xxx-202 MCTK4M47EPA AT&amp;T EZC PMT</t>
  </si>
  <si>
    <t>COSTCO WHSE #0475 00S SAN FRANC xxxxxxxxx   xxxxxx3003</t>
  </si>
  <si>
    <t>TRAVEL AGENCY       SOUTHFIELD  xx2204      AIRLINE/AIR CARRIER</t>
  </si>
  <si>
    <t>PEETS x3102         SAN FRANCIS xx7139      FAST FOOD RESTAURANT</t>
  </si>
  <si>
    <t>EXPEDIA*xxxxxxxx5637EXPEDIA.COM ZZZH2W7LKKL TRAVEL AGENCY</t>
  </si>
  <si>
    <t>EXPEDIA*xxxxxxxx6662EXPEDIA.COM ZZZH2WAQBBQ TRAVEL AGENCY</t>
  </si>
  <si>
    <t>FOREIGN TRANSACTION FEE LE PALACE DE MENTHONMENTHON ST BERNARD  HT</t>
  </si>
  <si>
    <t>MGALLERY HOTEL ROYALLYON        xxxxxxxxxxx xxxxxx5731</t>
  </si>
  <si>
    <t>FOREIGN TRANSACTION FEE MGALLERY HOTEL ROYALLYON                RH</t>
  </si>
  <si>
    <t>LE PALACE DE MENTHONMENTHON ST  xxxxxxxxxxx xxxxxx8300</t>
  </si>
  <si>
    <t>BAY BADMINTON CENTERSOUTH SAN F xxxxxxx5047 SPORTING GOODS STORE</t>
  </si>
  <si>
    <t>Hobbies</t>
  </si>
  <si>
    <t>LOWE'S OF SAN BRUNO,SAN BRUNO   INV # xxxxx xxx-xxx-7800</t>
  </si>
  <si>
    <t>COSTCO WHSE #0017 00EUGENE      xxxxxxxxx   xxxxxx8126</t>
  </si>
  <si>
    <t>PLN*PRICELINE HOTELSHOTEL ROOM ARxxxxx1083HOTEL ROOM</t>
  </si>
  <si>
    <t>EXPEDIA*xxxxxxxx2854EXPEDIA.COM ZZZH5A2YPPY TRAVEL AGENCY</t>
  </si>
  <si>
    <t>BLACKROCK        DES:DIRECT DEP ID:xxxxxxxxx1509SY           INDN:LIN,RONGKE              CO ID:9111</t>
  </si>
  <si>
    <t>RABHE TAXI          DALY CITY   xxxxxxxx    xxx-xxx-7186</t>
  </si>
  <si>
    <t>Walla Walla Farms CaSeattle     NYL4RE      squareup.com/receipts</t>
  </si>
  <si>
    <t>Online Services</t>
  </si>
  <si>
    <t>SCOTTRADE        DES:MONEYDIRCT ID:xxxx6858                  INDN:YATIAN JIANG            CO ID:1330</t>
  </si>
  <si>
    <t>KEEPTHECHANGE CREDIT FROM ACCT3856 EFFECTIVE 02/11</t>
  </si>
  <si>
    <t>NUBI YOGURT MILLBRAEMILLBRAE    xxxxxxxxxxx xxxxxx3388</t>
  </si>
  <si>
    <t>KEEP THE CHANGE TRANSFER TO ACCT 3857 FOR 02/11/15</t>
  </si>
  <si>
    <t>E*TRADE          DES:ACH TRNSFR ID:xxxxxxx8749               INDN:xxxx6296                CO ID:1391</t>
  </si>
  <si>
    <t>USPS xxxxx7005  02/11 #xxxxx7184 PURCHASE                   USPS xxxxxx0052/1  SAN FRANCISCO CA</t>
  </si>
  <si>
    <t>Postage and Shipping</t>
  </si>
  <si>
    <t>SCOTTRADE        DES:MONEYDIRCT ID:xxxx1273                  INDN:YATIAN JIANG            CO ID:1330</t>
  </si>
  <si>
    <t>NOAH'S BAGELS #2132 SAN FRANCIS xxxxxx0071  FAST FOOD RESTAURANT</t>
  </si>
  <si>
    <t>BART-CLIPPER SAN BRUSAN BRUNO   xxxxxxxx    xxx-xxx-6979</t>
  </si>
  <si>
    <t>Preferred Rewards-Monthly Fee Waiver of $10</t>
  </si>
  <si>
    <t>PAYPAL           DES:INST XFER  ID:ONEFLORIST                INDN:RONGKE LIN              CO ID:PAYP</t>
  </si>
  <si>
    <t>Preferred Rewards-Monthly Fee Waiver of $12</t>
  </si>
  <si>
    <t>COMMUTER         DES:BENEFIT    ID:xxxx2799                  INDN:RONGKE LIN              CO ID:1943</t>
  </si>
  <si>
    <t>E*TRADE          DES:ACH TRNSFR ID:xxxxxxx5749               INDN:xxxx6296                CO ID:1391</t>
  </si>
  <si>
    <t>Online Banking transfer from SAV 3857                       Confirmation# xxxxxx7440</t>
  </si>
  <si>
    <t>Online Banking transfer to CHK 3856                         Confirmation# xxxxxx7440</t>
  </si>
  <si>
    <t>ZEN PENINSULA            MILLBRAE     CA</t>
  </si>
  <si>
    <t>CHIPOTLE xxxx 0090  SAN FRANCIS xxxxxxxxxx  xxx-xxx-0461</t>
  </si>
  <si>
    <t>USPS xxxxxxxxxxx6499SAN FRANCIS xxxxxxxxx   xxx-xxx8777</t>
  </si>
  <si>
    <t>BLACKROCK        DES:DIRECT DEP ID:xxxxxxxxx9179SY           INDN:LIN,RONGKE              CO ID:9111</t>
  </si>
  <si>
    <t>SQ *PORTICO              San FranciscoCA</t>
  </si>
  <si>
    <t>NORDSTROM xxx 426   SAN FRANCIS DEPARTMENT STORE</t>
  </si>
  <si>
    <t>KINDLE-FINANCIALTI  xxx-xxx-107 BWPS8UGSBEF DIGITAL</t>
  </si>
  <si>
    <t>GSNORCAL TROOP x2002ALAMEDA     xxxxxxx5040 CHARITABLE ORG</t>
  </si>
  <si>
    <t>BART-CLIPPER EMBARCASAN FRANCIS xxxxxxxx    xxx-xxx-6979</t>
  </si>
  <si>
    <t>KFC/AW #xxx 0492    MILLBRAE    xxxxxxxxxx  xxx-xxx-9860</t>
  </si>
  <si>
    <t>PEETS x3102         SAN FRANCIS xx3837      FAST FOOD RESTAURANT</t>
  </si>
  <si>
    <t>POPEYES # x0125 5429SAN BRUNO   xxxxxxxxx   xxxxxx5330</t>
  </si>
  <si>
    <t>Algiers Cafe        San Francis RVOHIP      squareup.com/receipts</t>
  </si>
  <si>
    <t>PEETS x3102         SAN FRANCIS xx7320      FAST FOOD RESTAURANT</t>
  </si>
  <si>
    <t>STARBUCKS RELOAD SVCxxx-xxx-728 xxxx3117S5O GIFT CARD</t>
  </si>
  <si>
    <t>Online Banking payment to CRD 2851                          Confirmation# xxxxxx5106</t>
  </si>
  <si>
    <t>PEETS x3102         SAN FRANCIS xx9386      FAST FOOD RESTAURANT</t>
  </si>
  <si>
    <t>Algiers Cafe        San Francis NXEPEU      squareup.com/receipts</t>
  </si>
  <si>
    <t>AMERICAN EXPRESS DES:AM PMT     ID:A0196                     INDN:RONGKE LIN              CO ID:3133</t>
  </si>
  <si>
    <t>BAY BADMINTON CENTERSOUTH SAN F xxxxxxx5032 SPORTING GOODS STORE</t>
  </si>
  <si>
    <t>FASTRAK VIOLATION CEOAKLAND     xxxxxxxx    xxx-xxx-8655</t>
  </si>
  <si>
    <t>Expenses</t>
  </si>
  <si>
    <t>Rongke</t>
  </si>
  <si>
    <t>Honeymoon flight</t>
  </si>
  <si>
    <t>Cliff House</t>
  </si>
  <si>
    <t>Honeymoon hotel</t>
  </si>
  <si>
    <t>Living</t>
  </si>
  <si>
    <t>Travel Cost (Jeanne, Parents, Myself)</t>
  </si>
  <si>
    <t>CA TLR cash withdrawal from CHK 3856                        Banking Ctr 50 CALIFORNIA            #00</t>
  </si>
  <si>
    <t>BLACKROCK        DES:DIRECT DEP ID:xxxxxxxxx9449SY           INDN:LIN,RONGKE              CO ID:9111</t>
  </si>
  <si>
    <t>PEETS x3102              SAN FRANCISCOCA</t>
  </si>
  <si>
    <t>SINGAPOREAI xxxxxxxxxx   xxxxxxx1922  CA</t>
  </si>
  <si>
    <t>AMAZON DIGITAL SVCS xxx-xxx-107 DSUK774R9UH DIGITAL</t>
  </si>
  <si>
    <t>BKOFAMERICA ATM 03/30 #xxxxx1469 DEPOSIT                    MILLBRAE           MILLBRAE      CA</t>
  </si>
  <si>
    <t>PP*CREAMSANMAT           SAN MATEO    CA</t>
  </si>
  <si>
    <t>MICHAELS STORES 9055     COLMA        CA</t>
  </si>
  <si>
    <t>PLN*PRICELINE HOTELS     xxx-xxx-9168 CT</t>
  </si>
  <si>
    <t>SINGAPOREAI xxxxxxx8150  UNITED STATESNY</t>
  </si>
  <si>
    <t>ALASKA AIR  xxxxxxxxx1381SEATTLE      WA</t>
  </si>
  <si>
    <t>ALASKA AIR  xxxxxxxxx1382SEATTLE      WA</t>
  </si>
  <si>
    <t>HONG KONG DRAGON AIRLINESSHENZHEN</t>
  </si>
  <si>
    <t>AIR CHINA   999YJA       SAN FRANCISCOCA</t>
  </si>
  <si>
    <t>PEETS x3102         SAN FRANCIS xx5812      FAST FOOD RESTAURANT</t>
  </si>
  <si>
    <t>AMAZON MKTPLACE PMTSAMZN.COM/BI R9QF6ISEOUM BOOK STORES</t>
  </si>
  <si>
    <t>AMAZON MKTPLACE PMTSAMZN.COM/BI NN7PHV7M91I BOOK STORES</t>
  </si>
  <si>
    <t>BART-CLIPPER SAN BRUNO   xxxxxx6979   CA</t>
  </si>
  <si>
    <t>SQ *RESTRANT ALGIERS CAFESan FranciscoCA</t>
  </si>
  <si>
    <t>AT&amp;T BILL PAYMENT   xxx-xxx-202 H8XB4N17EPA AT&amp;T EZC PMT</t>
  </si>
  <si>
    <t>AMAZON VIDEO ON DEMAxxx-xxx-107 V5S77SBZHVP DIGITAL</t>
  </si>
  <si>
    <t>CITY OF SAN BRUNO UTILITIxxx-xxx7086  CA</t>
  </si>
  <si>
    <t>MINIMUM INTEREST CHARGE</t>
  </si>
  <si>
    <t>PGANDE           DES:WEB ONLINE ID:xxxxxxxxxx1615            INDN:RONGKE LIN              CO ID:5940</t>
  </si>
  <si>
    <t>CA TLR cash withdrawal from CHK 3856                        Banking Ctr SAN BRUNO                #00</t>
  </si>
  <si>
    <t>AMAZON MKTPLACE PMTSAMZN.COM/BI NQVND917FIV BOOK STORES</t>
  </si>
  <si>
    <t>PAPYRUS #2197 xx0002SAN FRANCIS xxxxxxxx    xxxxxx7300</t>
  </si>
  <si>
    <t>AMAZON MKTPLACE PMTSAMZN.COM/BI WBOT2JDQE6N BOOK STORES</t>
  </si>
  <si>
    <t>BLACKROCK        DES:DIRECT DEP ID:xxxxxxxxx5039SY           INDN:LIN,RONGKE              CO ID:9111</t>
  </si>
  <si>
    <t>JULIES KITCHEN #x   xxx-xxx-xxxx xxxxxxx5072             USFCx4105</t>
  </si>
  <si>
    <t>BART-CLIPPER EMBARCADERO xxxxxx6979   CA</t>
  </si>
  <si>
    <t>STARBUCKS RELOAD SVCxxx-xxx-728 xxxx6253A6Y GIFT CARD</t>
  </si>
  <si>
    <t>KINDLE-FINANCIALTI  xxx-xxx-107 JJQ0XAABSTC DIGITAL</t>
  </si>
  <si>
    <t>PEETS x3102         SAN FRANCIS xx8972      FAST FOOD RESTAURANT</t>
  </si>
  <si>
    <t>Check 0651</t>
  </si>
  <si>
    <t>PEETS x3102         SAN FRANCIS xx4051      FAST FOOD RESTAURANT</t>
  </si>
  <si>
    <t>CONSULATE GEN CHINA SF   SAN FRANCISCOCA</t>
  </si>
  <si>
    <t>Starbucks #x5852 SanSan Francis N2IQ2A      San Francisco</t>
  </si>
  <si>
    <t>CHEVRON XTRA OIL COMSOUTH SAN F xxxxxxx     xxxxxx1591</t>
  </si>
  <si>
    <t>ECALLCHINA COM      xxxxxxxxxx  xxxx0846    TELECOM SERVICE</t>
  </si>
  <si>
    <t>Spending ex-Housing, wedding, Parent Suport, Tax/Gift</t>
  </si>
  <si>
    <t>BLACKROCK        DES:DIRECT DEP ID:xxxxxxxxx0379SY           INDN:LIN,RONGKE              CO ID:9111</t>
  </si>
  <si>
    <t>BLACKROCK        DES:DIRECT DEP ID:xxxxxxxxx0389SY           INDN:LIN,RONGKE              CO ID:9111</t>
  </si>
  <si>
    <t>AMAZON DIGITAL SVCS xxx-xxx-107 J95IG8EW9P4 DIGITAL</t>
  </si>
  <si>
    <t>MED STARS                HONG KONG</t>
  </si>
  <si>
    <t>ISLAND SHANGRI-LA   x7104HONG KONG</t>
  </si>
  <si>
    <t>UBER UBER           xxx-xxx-103 737F9XG     xxxxxx1039</t>
  </si>
  <si>
    <t>AT&amp;T BILL PAYMENT   xxx-xxx-202 QF1Q4P27EPA AT&amp;T EZC PMT</t>
  </si>
  <si>
    <t>Broadway Cinemas    1           PPxx7342A   1</t>
  </si>
  <si>
    <t>FOREIGN TRANSACTION FEE Broadway Cinemas    1                   HK</t>
  </si>
  <si>
    <t>Online payment from CHK 3</t>
  </si>
  <si>
    <t>Online Banking payment to CRD 2314                          Confirmation# xxxxxx6809</t>
  </si>
  <si>
    <t>TASTY (IFC) CONGEE &amp; NOODHONG KONG</t>
  </si>
  <si>
    <t>NYS TAX &amp; FINANC DES:PIT PYMT   ID:PHxxxxxx3594              INDN:PHxxxxxx3594            CO ID:0146</t>
  </si>
  <si>
    <t>BLACKROCK        DES:DIRECT DEP ID:xxxxxxxxx5449SY           INDN:LIN,RONGKE              CO ID:9111</t>
  </si>
  <si>
    <t>PGANDE           DES:WEB ONLINE ID:xxxxxxxxxx1315            INDN:RONGKE LIN              CO ID:5940</t>
  </si>
  <si>
    <t>SHARIS OF SAN BRUNO 250  SAN BRUNO    CA</t>
  </si>
  <si>
    <t>SMARTNFINALxxxxxxx4413   S SAN FRANCISCA</t>
  </si>
  <si>
    <t>SAFEWAY STORE xxxx8787   MILBRAE      CA</t>
  </si>
  <si>
    <t>TOURNEAU #32 R           SAN FRANCISCOCA</t>
  </si>
  <si>
    <t>USPS xxxxxxxxxxxxx6499   SAN FRANCISCOCA</t>
  </si>
  <si>
    <t>CORIANDER GOURMET THAI   SAN FRANCISCOCA</t>
  </si>
  <si>
    <t>YOPPI YOGURT - 20TH AV   SAN FRANCISCOCA</t>
  </si>
  <si>
    <t>KINDLE-FINANCIALTI  xxx-xxx-107 NOX5NM6JJOT DIGITAL</t>
  </si>
  <si>
    <t>CHEVRON xxxx5690         SAN BRUNO    CA</t>
  </si>
  <si>
    <t>RED HOT WOK              CUPERTINO    CA</t>
  </si>
  <si>
    <t>xx xxxx0386              SARATOGA     CA</t>
  </si>
  <si>
    <t>KEEPTHECHANGE CREDIT FROM ACCT3856 EFFECTIVE 04/06</t>
  </si>
  <si>
    <t>CAFE ALGIERS             SAN FRANCISCOCA</t>
  </si>
  <si>
    <t>KEEP THE CHANGE TRANSFER TO ACCT 3857 FOR 04/06/15</t>
  </si>
  <si>
    <t>SAN BRUNO ARCO  04/06 #xxxxx9366 PURCHASE                   SAN BRUNO ARCO     SAN BRUNO     CA</t>
  </si>
  <si>
    <t>NORDSTROM #0426          SAN FRANCISCOCA</t>
  </si>
  <si>
    <t>76                       SAN FRANCISCOCA</t>
  </si>
  <si>
    <t>SHAI LAI SEAFOOD REST    SAN FRANCISCOCA</t>
  </si>
  <si>
    <t>AMAZON MKTPLACE PMTSAMZN.COM/BI W6XHBJTPNIM BOOK STORES</t>
  </si>
  <si>
    <t>AMAZON MKTPLACE PMTSAMZN.COM/BI MCTMIWMYVN1 BOOK STORES</t>
  </si>
  <si>
    <t>99 RANCH #1769           DALY CITY    CA</t>
  </si>
  <si>
    <t>CCSF MTA PARKING METER P SAN FRANCISCOCA</t>
  </si>
  <si>
    <t>CCSF MTA IPS PRKNG METER SAN FRANCISCOCA</t>
  </si>
  <si>
    <t>AMAZON MKTPLACE PMTSAMZN.COM/BI Y5OYCB16UEJ BOOK STORES</t>
  </si>
  <si>
    <t>AMERICAN EXPRESS DES:AM PMT     ID:A0404                     INDN:RONGKE LIN              CO ID:3133</t>
  </si>
  <si>
    <t>FRANCHISE TAX BD DES:TAX-REFUND ID:xxxxx9950                 INDN:RONGKE LIN              CO ID:9282</t>
  </si>
  <si>
    <t>AMAZON MKTPLACE PMTSAMZN.COM/BI Y5OPGB8T28H BOOK STORES</t>
  </si>
  <si>
    <t>CTRIP SH HUACHENG TRAVEL SHANGHAI</t>
  </si>
  <si>
    <t>Bank of America  DES:MORTGAGE   ID:xxxxx9169                 INDN:Rongke Lin              CO ID:8172</t>
  </si>
  <si>
    <t>FTA - DDA CREDIT                                            FDES NNF xxxxxxx xx1291</t>
  </si>
  <si>
    <t>IRS  TREAS 310   DES:  TAX REF  ID:xxxxxxxxxxx0918           INDN:LIN, RONGKE             CO ID:9111</t>
  </si>
  <si>
    <t>AMPCO PARKING 400 HOWARD SAN FRANCISCOCA</t>
  </si>
  <si>
    <t>Preferred Rewards-Wire Fee Waiver of $15</t>
  </si>
  <si>
    <t>KEEP THE CHANGE TRANSFER TO ACCT 3857 FOR 06/30/15</t>
  </si>
  <si>
    <t>SAN BRUNO ARCO  06/30 #xxxxx3721 PURCHASE                   SAN BRUNO ARCO     SAN BRUNO     CA</t>
  </si>
  <si>
    <t>BLACKROCK        DES:DIRECT DEP ID:xxxxxxxxx1109SY           INDN:LIN,RONGKE              CO ID:9111</t>
  </si>
  <si>
    <t>AMAZON DIGITAL SVCS xxx-xxx-107 YFXOETZX16Z DIGITAL</t>
  </si>
  <si>
    <t>SQ *ALGIERS CAFE         San FranciscoCA</t>
  </si>
  <si>
    <t>PURE INT'L (HK) LTD-RE   HONG KONG</t>
  </si>
  <si>
    <t>AT&amp;T BILL PAYMENT   xxx-xxx-202 C06N4R07EPA AT&amp;T EZC PMT</t>
  </si>
  <si>
    <t>DE BEERS-LANDMARK   x0400HONG KONG</t>
  </si>
  <si>
    <t>PLN*PRICELINE HOTELSHOTEL ROOM ARxxxxx9013HOTEL ROOM</t>
  </si>
  <si>
    <t>PGANDE           DES:WEB ONLINE ID:xxxxxxxxxx1515            INDN:RONGKE LIN              CO ID:5940</t>
  </si>
  <si>
    <t>BLACKROCK        DES:DIRECT DEP ID:xxxxxxxxx0559SY           INDN:LIN,RONGKE              CO ID:9111</t>
  </si>
  <si>
    <t>AREA EMV PISTE  xxx6343  69BRON CEDEX</t>
  </si>
  <si>
    <t>STARBUCKS                HOUNSLOW</t>
  </si>
  <si>
    <t>Manor AG - 703/Food      Basel</t>
  </si>
  <si>
    <t>Check 0652</t>
  </si>
  <si>
    <t>KINDLE-FINANCIALTI  xxx-xxx-107 CZWCKAVUZ55 DIGITAL</t>
  </si>
  <si>
    <t>Molino Basel             Basel</t>
  </si>
  <si>
    <t>Online Banking payment to CRD 2851                          Confirmation# xxxxxx6122</t>
  </si>
  <si>
    <t>AMERICAN EXPRESS DES:AM PMT     ID:A8300                     INDN:RONGKE LIN              CO ID:3133</t>
  </si>
  <si>
    <t>CAFFE NERO HTW T3 AIRSIDEHUNSLOW</t>
  </si>
  <si>
    <t>Book</t>
  </si>
  <si>
    <t>Acumulative Budget Balance From YTD</t>
  </si>
  <si>
    <t>AMAZON DIGITAL SVCS xxx-xxx-107 R910RHYC7FW DIGITAL</t>
  </si>
  <si>
    <t>American Express Cards - TrueEarnings Business Card</t>
  </si>
  <si>
    <t>BLACKROCK        DES:DIRECT DEP ID:xxxxxxxxx7889SY           INDN:LIN,RONGKE              CO ID:9111</t>
  </si>
  <si>
    <t>Bank of America - Bank - Classic Interest Checking</t>
  </si>
  <si>
    <t>CR ADJ FOR BILLING INQUIR</t>
  </si>
  <si>
    <t>Other Bills</t>
  </si>
  <si>
    <t>AMAZON SERVICES-KINDxxx-xxx-885 YPF0UFCY0S7 DIGITAL</t>
  </si>
  <si>
    <t>AMERICAN EXPRESS DES:ACH Pmt    ID:W3916                     INDN:rongke lin              CO ID:1133</t>
  </si>
  <si>
    <t>Preferred Rewards-Intl Wire Fee Waiver of $16</t>
  </si>
  <si>
    <t>AT&amp;T BILL PAYMENT   xxx-xxx-202 WCN44Q17EPA AT&amp;T EZC PMT</t>
  </si>
  <si>
    <t>Bank of America - Bank - Money Market Savings</t>
  </si>
  <si>
    <t>FARMERS INS BILLING      xxx-xxx-7551 CA</t>
  </si>
  <si>
    <t>Bank of America - Credit Card - BankAmericard Travel Rewards Signature V</t>
  </si>
  <si>
    <t>Bank of America - Credit Card - BankAmericard Gold Visa</t>
  </si>
  <si>
    <t>Merrill Lynch Benefits Online - Investments - BlackRock Retirement Savings Plan</t>
  </si>
  <si>
    <t>Online Banking payment to CRD 2314                          Confirmation# xxxxxx2106</t>
  </si>
  <si>
    <t>PGANDE           DES:WEB ONLINE ID:xxxxxxxxxx1415            INDN:RONGKE LIN              CO ID:5940</t>
  </si>
  <si>
    <t>BLACKROCK        DES:DIRECT DEP ID:xxxxxxxxx1379SY           INDN:LIN,RONGKE              CO ID:9111</t>
  </si>
  <si>
    <t>ALASKA AIR  xxxxxxxxx6675SEATTLE      WA</t>
  </si>
  <si>
    <t>ALASKA AIR  xxxxxxxxx6674SEATTLE      WA</t>
  </si>
  <si>
    <t>KINDLE-FINANCIALTI  xxx-xxx-107 PC5KYIE9J9A DIGITAL</t>
  </si>
  <si>
    <t>The Ritz Carlton HK LoungKowloon</t>
  </si>
  <si>
    <t>RIGBY AND PELLER-THE LANDHONG KONG</t>
  </si>
  <si>
    <t>AMERICAN EXPRESS DES:AM PMT     ID:A6674                     INDN:RONGKE LIN              CO ID:3133</t>
  </si>
  <si>
    <t>Take Home Pay</t>
  </si>
  <si>
    <t>CHECKCARD  0729 GOAT HILL PIZZA                             SAN FRANCISCOCA xxxxxxxxxxxxxxxxxxx6080</t>
  </si>
  <si>
    <t>BLACKROCK        DES:DIRECT DEP ID:xxxxxxxxx7899SY           INDN:LIN,RONGKE              CO ID:9111</t>
  </si>
  <si>
    <t>AMAZON DIGITAL SVCS xxx-xxx-107 CT62WS4TJOK DIGITAL</t>
  </si>
  <si>
    <t>T-MOBILE RECURRING PMT   xxx-xxx-8997 WA</t>
  </si>
  <si>
    <t>BUDGET RENT-A-CAR        SAN FRANCISCOCA</t>
  </si>
  <si>
    <t>WALGREENS #2939          SAN BRUNO    CA</t>
  </si>
  <si>
    <t>Bank of America - Credit Card - BankAmericard Cash Rewards Signature Vis</t>
  </si>
  <si>
    <t>STARBUCKS CARD RELOAD    xxx-xxx-7282 WA</t>
  </si>
  <si>
    <t>USCIS                    xxx-xxx-5283 DC</t>
  </si>
  <si>
    <t>PERSON &amp; COVEY INC       GLENDALE     CA</t>
  </si>
  <si>
    <t>MELODY TOYOTA            SAN BRUNO    CA</t>
  </si>
  <si>
    <t>BART EZ RIDER PARKIQPS   xxx-xxx-6474 CA</t>
  </si>
  <si>
    <t>BART EZ RIDER HANGTQPS   xxx-xxx-6474 CA</t>
  </si>
  <si>
    <t>SQ *BLUE BOTTLE COFFEE, FSan FranciscoCA</t>
  </si>
  <si>
    <t>UBER UBER           xxx-xxx-103 34HT74G     xxxxxx1039</t>
  </si>
  <si>
    <t>BUDGET RENT A CAR   SAN FRANCIS R/A# xxxxxxxxx   xxx-xxx-2844</t>
  </si>
  <si>
    <t>UBER UBER           xxx-xxx-103 3ZFWJF2     xxxxxx1039</t>
  </si>
  <si>
    <t>AMAZON VIDEO ON DEMAxxx-xxx-107 BSEIOIGV7II DIGITAL</t>
  </si>
  <si>
    <t>KEEPTHECHANGE CREDIT FROM ACCT3856 EFFECTIVE 07/23</t>
  </si>
  <si>
    <t>PEPE'S TAQUERIA     Q85  SAN FRANCISCOCA</t>
  </si>
  <si>
    <t>THE UPS STORE 0546       SAN FRANCISCOCA</t>
  </si>
  <si>
    <t>AT&amp;T BILL PAYMENT   xxx-xxx-202 X7274RZ7EPA AT&amp;T EZC PMT</t>
  </si>
  <si>
    <t>KEEP THE CHANGE TRANSFER TO ACCT 3857 FOR 07/23/15</t>
  </si>
  <si>
    <t>USPS xxxxx2001  07/23 #xxxxx0751 PURCHASE                   USPS xxxxxx0019    SAN FRANCISCO CA</t>
  </si>
  <si>
    <t>UBER UBER           xxx-xxx-103 H32XK5M     xxxxxx1039</t>
  </si>
  <si>
    <t>COPENHAGEN BAKERY &amp; BURLINGAME  475         RESTAURANT</t>
  </si>
  <si>
    <t>MCDONALD'S Fx2995 00SAN FRANCIS xxxxxxxxx   xxxxxx3172</t>
  </si>
  <si>
    <t>PEETS x3102         SAN FRANCIS xx3123      FAST FOOD RESTAURANT</t>
  </si>
  <si>
    <t>OSHA THAI EMBARCADERSAN FRANCIS xxxxxx      xxx-xxx-0042</t>
  </si>
  <si>
    <t>ALGIERS CAFE        San Francis OLJ2R2      squareup.com/receipts</t>
  </si>
  <si>
    <t>CITYOFSANBRUNO   DES:xxxxxx7086 ID:                          INDN:RONGKE LIN              CO ID:2141</t>
  </si>
  <si>
    <t>Agent Assisted transfer to CHK 9142                         Confirmation# xxxxxx6630</t>
  </si>
  <si>
    <t>Bank of America - Bank - Bofa Interest Checking</t>
  </si>
  <si>
    <t>Bank of America - Bank - REWARDS MONEY MARKET SAV</t>
  </si>
  <si>
    <t>Deposit</t>
  </si>
  <si>
    <t>Agent Assisted transfer from CHK 9242                       Confirmation# xxxxxx6630</t>
  </si>
  <si>
    <t>CART/STROLL/LKR SCIVEN   ST PAUL      MN</t>
  </si>
  <si>
    <t>GROUP HEALTH MEMBERSHIP  xxx-xxx4636  WA</t>
  </si>
  <si>
    <t>SORABOL_RINCON CENTER    SAN FRANCISCOCA</t>
  </si>
  <si>
    <t>SFO PARKING IT-G LEQ96   SAN FRANCISCOCA</t>
  </si>
  <si>
    <t>SFO PARKINGCENTRAL-Q96   SAN FRANCISCOCA</t>
  </si>
  <si>
    <t>BLACKROCK        DES:DIRECT DEP ID:xxxxxxxxx7449SY           INDN:LIN,RONGKE              CO ID:9111</t>
  </si>
  <si>
    <t>SUBWAY        xxxx1574   SAN FRANCISCOCA</t>
  </si>
  <si>
    <t>FRAUD DISPUTE</t>
  </si>
  <si>
    <t>IKEA EAST PALO ALTO      PALO ALTO    CA</t>
  </si>
  <si>
    <t>EXPEDIA*xxxxxxxxx2033    EXPEDIA.COM  NV</t>
  </si>
  <si>
    <t>EXPEDIA*SA*SALES FINAL   xxx-xxx-7304 WA</t>
  </si>
  <si>
    <t>UBER UBER           xxx-xxx-103 MWTDX9M     xxxxxx1039</t>
  </si>
  <si>
    <t>AMAZON SERVICES-KINDxxx-xxx-885 JBVAXRREZJZ DIGITAL</t>
  </si>
  <si>
    <t>Online Banking payment to CRD 4413                          Confirmation# xxxxxx9373</t>
  </si>
  <si>
    <t>SAFEWAY  STORExxxx9688   VALLEJO      CA</t>
  </si>
  <si>
    <t>CASPERS-RICHMOND         RICHMOND     CA</t>
  </si>
  <si>
    <t>BJERS MODERN &amp; CLASS     MOUNT SHASTA CA</t>
  </si>
  <si>
    <t>SF COUNTY CLERK          xxx-xxx-4955 CA</t>
  </si>
  <si>
    <t>ISSHIN RAMEN             RICHMOND     CA</t>
  </si>
  <si>
    <t>IKEA EAST PALO ALTO      E PALO ALTO  CA</t>
  </si>
  <si>
    <t>UBER UBER           xxx-xxx-103 FX3TSCW     xxxxxx1039</t>
  </si>
  <si>
    <t>COSTCO GAS #0694 000VACAVILLE   xxxxxxxxx   xxxxxx7361</t>
  </si>
  <si>
    <t>SHELL OIL xxxxxx1230REDDING     xxx1142     AUTO FUEL DISPENSER</t>
  </si>
  <si>
    <t>COSTCO WHSE #0694 00VACAVILLE   xxxxxxxxx   xxxxxx7361</t>
  </si>
  <si>
    <t>TRAVEL CREDIT</t>
  </si>
  <si>
    <t>T MOBILE 7814            SAN BRUNO    CA</t>
  </si>
  <si>
    <t>BUDGET.COM PREPAY RESERV xxxxxx2844   NJ</t>
  </si>
  <si>
    <t>KINDLE-FINANCIALTI  xxx-xxx-107 S9CJZWN9RXU DIGITAL</t>
  </si>
  <si>
    <t>CHIPOTLE 0138            SAN FRANCISCOCA</t>
  </si>
  <si>
    <t>BLACK ANGUS SPOKANE      xxx-xxx-1177 WA</t>
  </si>
  <si>
    <t>Black Angus</t>
  </si>
  <si>
    <t>KEEPTHECHANGE CREDIT FROM ACCT3856 EFFECTIVE 07/03</t>
  </si>
  <si>
    <t>SAFEWAY  STORExxxx7400   CHENEY       WA</t>
  </si>
  <si>
    <t>DELTA AIR   xxxxxxxxx1136DELTA.COM    CA</t>
  </si>
  <si>
    <t>Delta Air Lines</t>
  </si>
  <si>
    <t>DELTA AIR   xxxxxxxxx1137DELTA.COM    CA</t>
  </si>
  <si>
    <t>Budget car rental</t>
  </si>
  <si>
    <t>LATE FEE FOR PAYMENT DUE</t>
  </si>
  <si>
    <t>KEEP THE CHANGE TRANSFER TO ACCT 3857 FOR 07/03/15</t>
  </si>
  <si>
    <t>SAN BRUNO ARCO  07/03 #xxxxx6758 PURCHASE                   SAN BRUNO ARCO     SAN BRUNO     CA</t>
  </si>
  <si>
    <t>Arco</t>
  </si>
  <si>
    <t>AMERICAN EXPRESS DES:AM PMT     ID:A0216                     INDN:RONGKE LIN              CO ID:3133</t>
  </si>
  <si>
    <t>MCDONALD'S F2057         REDDING      CA</t>
  </si>
  <si>
    <t>McDonald's</t>
  </si>
  <si>
    <t>Bank of America</t>
  </si>
  <si>
    <t>KEEPTHECHANGE CREDIT FROM ACCT3856 EFFECTIVE 06/30</t>
  </si>
  <si>
    <t>BUDGET RENT-A-CAR        REDDING      CA</t>
  </si>
  <si>
    <t>CHEVRON xxxx2652         REDDING      CA</t>
  </si>
  <si>
    <t>Chevron</t>
  </si>
  <si>
    <t>CHEVRON xxxx6846         CASTELLA     CA</t>
  </si>
  <si>
    <t>STARBUCKS #x4463 FAIRFIELFairfield    CA</t>
  </si>
  <si>
    <t>JIFFY LUBE #1779         REDDING      CA</t>
  </si>
  <si>
    <t>Jiffy Lube</t>
  </si>
  <si>
    <t>BLACKROCK        DES:DIRECT DEP ID:xxxxxxxxx9159SY           INDN:LIN,RONGKE              CO ID:9111</t>
  </si>
  <si>
    <t>WIRE TYPE:INTL IN DATE:xx0831 TIME:0543 ET                  TRN:xxxxxxxxxxxx3246 SEQ:532ORxxxx4479/2</t>
  </si>
  <si>
    <t>RICHMOND NEW MAY WA      SAN FRANCISCOCA</t>
  </si>
  <si>
    <t>AMAZON DIGITAL SVCS xxx-xxx-107 FXFJL4TPRFM DIGITAL</t>
  </si>
  <si>
    <t>Investment Income</t>
  </si>
  <si>
    <t>VIRGIN AMER 9xxxxxxxx0787LOS ANGELES  CA</t>
  </si>
  <si>
    <t>T3 STARBUCKS Lxxxx1531   LOS ANGELES  CA</t>
  </si>
  <si>
    <t>SHELL OIL xxxxxxx7603    SAN BRUNO    CA</t>
  </si>
  <si>
    <t>BUDGET RENT-A-CAR        LOS ANGELES  CA</t>
  </si>
  <si>
    <t>TARGET        xxxx2949   NORTH HOLLYWOCA</t>
  </si>
  <si>
    <t>BURGER KING #6260 00SAN BRUNO xxxxxxxx    xxx-xxx-5894</t>
  </si>
  <si>
    <t>CHINA GRILL              MANHATTAN BEACA</t>
  </si>
  <si>
    <t>WESTERN GAS              LOS ANGELES  CA</t>
  </si>
  <si>
    <t>Preferred Rewards-Safe Box Fee Discount of  $43.00</t>
  </si>
  <si>
    <t>GINAS PIZZA              LAGUNA BEACH CA</t>
  </si>
  <si>
    <t>ATT*BILL PAYMENT         xxx-xxx-2020 TX</t>
  </si>
  <si>
    <t>KEEP THE CHANGE TRANSFER TO ACCT 3857 FOR 08/24/15</t>
  </si>
  <si>
    <t>ARCO AMPM 8281  08/23 #xxxxx5777 PURCHASE                   ARCO AMPM x2813    MANHATTAN BEA CA</t>
  </si>
  <si>
    <t>HUNT LIB CAFE xxxx5431   SAN MARINO   CA</t>
  </si>
  <si>
    <t>FRESH &amp; EASY #1445       ROSEMEAD     CA</t>
  </si>
  <si>
    <t>SHELL OIL xxxxxxx6600    SAN BRUNO    CA</t>
  </si>
  <si>
    <t>VIRGIN AMER 9xxxxxxxx4095LAS VEGAS    NV</t>
  </si>
  <si>
    <t>STARBUCKS COFFEE         LAS VEGAS    NV</t>
  </si>
  <si>
    <t>BURGER KING LAxxxx2051   LAS VEGAS    NV</t>
  </si>
  <si>
    <t>WHOLEFDS OCN #x0432      SAN FRANCISCOCA</t>
  </si>
  <si>
    <t>PEPE'S TAQUERIA     SAN FRANCIS xxxxxxxx    xxx-xxx-7802</t>
  </si>
  <si>
    <t>ALGIERS CAFE        San Francis SORMOT      squareup.com/receipts</t>
  </si>
  <si>
    <t>VIRGIN AMER 9xxxxxxxx7264SAN FRANCISCOCA</t>
  </si>
  <si>
    <t>VIRGIN AMER 9xxxxxxxx7262SAN FRANCISCOCA</t>
  </si>
  <si>
    <t>VIRGIN AMER 9xxxxxxxx8943SAN FRANCISCOCA</t>
  </si>
  <si>
    <t>VIRGIN AMER 9xxxxxxxx7263SAN FRANCISCOCA</t>
  </si>
  <si>
    <t>364 PBC  LAS VAGAS NV    LAS VEGAS    NV</t>
  </si>
  <si>
    <t>WA VEHICLE LICENSING     xxx-xxx-7470 WA</t>
  </si>
  <si>
    <t>TROPICANA  ROOMS         LAS VEGAS    NV</t>
  </si>
  <si>
    <t>CLEMENT SEAFOOD CENTER   SAN FRANCISCOCA</t>
  </si>
  <si>
    <t>NEWS EXPRESS Sxxxx6036   SAN FRANCISCOCA</t>
  </si>
  <si>
    <t>IN-N-OUT BURGER #190     MILLBRAE     CA</t>
  </si>
  <si>
    <t>SFO PARKING IT-A LEQ96   SAN FRANCISCOCA</t>
  </si>
  <si>
    <t>KAMEI HOUSEWARES &amp;       SAN FRANCISCOCA</t>
  </si>
  <si>
    <t>HONG KONG FLOWER LOUNGE  MILLBRAE     CA</t>
  </si>
  <si>
    <t>BKOFAMERICA MOBILE 08/14 xxxxxx1550 DEPOSIT                                    *MOBILE       CA</t>
  </si>
  <si>
    <t>WIRE TYPE:WIRE IN DATE: xx0814 TIME:1609 ET                 TRN:xxxxxxxxxxxx7343 SEQ:Sxxx2261Ex3001/</t>
  </si>
  <si>
    <t>BLACKROCK        DES:DIRECT DEP ID:xxxxxxxxx2149SY           INDN:LIN,RONGKE              CO ID:9111</t>
  </si>
  <si>
    <t>MANILA ORIENTAL MARKET   DALY CITY    CA</t>
  </si>
  <si>
    <t>TOKYO EXPRESS            SAN FRANCISCOCA</t>
  </si>
  <si>
    <t>BKOFAMERICA MOBILE 08/14 xxxxxx8018 DEPOSIT                                    *MOBILE       CA</t>
  </si>
  <si>
    <t>AMAZON MKTPLACE PMTSAMZN.COM/BI JZZQII2EJ0G BOOK STORES</t>
  </si>
  <si>
    <t>Online Banking payment to CRD 3186                          Confirmation# xxxxxx4581</t>
  </si>
  <si>
    <t>Online payment from SAV 9</t>
  </si>
  <si>
    <t>BKOFAMERICA ATM 08/09 #xxxxx8731 WITHDRWL                   SAN BRUNO          SAN BRUNO     CA</t>
  </si>
  <si>
    <t>PARIS BAGUETTE #24       MILLBRAE     CA</t>
  </si>
  <si>
    <t>COCOON URBAN DAY SPA O   SAN FRANCISCOCA</t>
  </si>
  <si>
    <t>TRADER JOE'S #170  QPS   MILLBRAE     CA</t>
  </si>
  <si>
    <t>AMAZON VIDEO ON DEMAxxx-xxx-107 NXKS7CF56WO DIGITAL</t>
  </si>
  <si>
    <t>KINDLE-FINANCIALTI  xxx-xxx-107 YI697YS7HNQ DIGITAL</t>
  </si>
  <si>
    <t>ZAP*ZAPPOS INSIGHTS      xxx-xxx-7671 NV</t>
  </si>
  <si>
    <t>AMOURA SFO               SAN FRANCISCOCA</t>
  </si>
  <si>
    <t>BED BATH &amp; BEYOND #315   DALY CITY    CA</t>
  </si>
  <si>
    <t>AMERICAN EXPRESS DES:AM PMT     ID:A9666                     INDN:RONGKE LIN              CO ID:3133</t>
  </si>
  <si>
    <t>Online Banking payment to CRD 4413                          Confirmation# xxxxxx9848</t>
  </si>
  <si>
    <t>MILLBRAE MARKET &amp; GASOLINMILLBRAE     CA</t>
  </si>
  <si>
    <t>VIRGIN AMER 9xxxxxxxx5605BELLEVUE     WA</t>
  </si>
  <si>
    <t>VIRGIN AMER 9xxxxxxxx3270BELLEVUE     WA</t>
  </si>
  <si>
    <t>VIRGIN AMER 9xxxxxxxx3271BELLEVUE     WA</t>
  </si>
  <si>
    <t>VIRGIN AMER 9xxxxxxxx8100BELLEVUE     WA</t>
  </si>
  <si>
    <t>VIRGIN AMER 9xxxxxxxx5606BELLEVUE     WA</t>
  </si>
  <si>
    <t>VIRGIN AMER 9xxxxxxxx8099BELLEVUE     WA</t>
  </si>
  <si>
    <t>DELTA AIR   0xxxxxxxx4204BELLEVUE     WA</t>
  </si>
  <si>
    <t>EXPEDIA*xxxxxxxxx6896    EXPEDIA.COM  NV</t>
  </si>
  <si>
    <t>EXPEDIA*xxxxxxxxx7385    EXPEDIA.COM  NV</t>
  </si>
  <si>
    <t>RICHARDS AUTO REPAIR     SAN BRUNO    CA</t>
  </si>
  <si>
    <t>Bank of America - Bank - Adv Tiered Interest Chkg</t>
  </si>
  <si>
    <t>SUBWAY</t>
  </si>
  <si>
    <t>Amazon Digital Services, Inc</t>
  </si>
  <si>
    <t>Virgin America, Inc</t>
  </si>
  <si>
    <t>Burger King Corporation</t>
  </si>
  <si>
    <t>China Grill Management, Inc</t>
  </si>
  <si>
    <t>Fresh &amp; Easy Neighborhood Market</t>
  </si>
  <si>
    <t>Whole Foods</t>
  </si>
  <si>
    <t>Taquería</t>
  </si>
  <si>
    <t>Tropicana Products</t>
  </si>
  <si>
    <t>Seafood Center</t>
  </si>
  <si>
    <t>Express</t>
  </si>
  <si>
    <t>Kamei House Wares</t>
  </si>
  <si>
    <t>Manila Oriental Market</t>
  </si>
  <si>
    <t>Paris Baguette</t>
  </si>
  <si>
    <t>Day Spas</t>
  </si>
  <si>
    <t>Trader Joe's</t>
  </si>
  <si>
    <t>Zappos.com</t>
  </si>
  <si>
    <t>Amoura Cafe</t>
  </si>
  <si>
    <t>Bed Bath &amp; Beyond Inc</t>
  </si>
  <si>
    <t>Millbrae Market &amp; Gasoline</t>
  </si>
  <si>
    <t>Delta Air Lines, Inc</t>
  </si>
  <si>
    <t>Give Parent $100</t>
  </si>
  <si>
    <t>BLACKROCK        DES:DIRECT DEP ID:xxxxxxxxx8649SY           INDN:LIN,RONGKE              CO ID:9111</t>
  </si>
  <si>
    <t>CINDY'S RESTAURANT       EAGLE ROCK   CA</t>
  </si>
  <si>
    <t>RALPHS #0032             LOS ANGELES  CA</t>
  </si>
  <si>
    <t>AMAZON DIGITAL SVCS xxx-xxx-107 IDFUCUL53R6 DIGITAL</t>
  </si>
  <si>
    <t>PHO VALENCIA             VALENCIA     CA</t>
  </si>
  <si>
    <t>EXXONMOBIL    xxxx0053   BUTTONWILLOW CA</t>
  </si>
  <si>
    <t>MCDONALD'S Fx8367        LOS ANGELES  CA</t>
  </si>
  <si>
    <t>LA CITY METERED PARKING  LOS ANGELES  CA</t>
  </si>
  <si>
    <t>7-ELEVEN x9985           EAGLE ROCK   CA</t>
  </si>
  <si>
    <t>Check 1001</t>
  </si>
  <si>
    <t>PACIFIC SUPERMARKET -    DALY CITY    CA</t>
  </si>
  <si>
    <t>ONE HOUR DRY CLEANING    SAN BRUNO    CA</t>
  </si>
  <si>
    <t>LUPA                     SAN FRANCISCOCA</t>
  </si>
  <si>
    <t>PETRO #346 SANTA NELLA   SANTA NELLA  CA</t>
  </si>
  <si>
    <t>MIXBOOK                  xxx-xxx-2665 CA</t>
  </si>
  <si>
    <t>Check 653</t>
  </si>
  <si>
    <t>OFFICE DEPOT #979        MILLBRAE     CA</t>
  </si>
  <si>
    <t>Online Banking payment to CRD 3186                          Confirmation# xxxxxx9971</t>
  </si>
  <si>
    <t>ALASKA AIR  0xxxxxxxx5940SEATTLE      WA</t>
  </si>
  <si>
    <t>Online payment from CHK 9</t>
  </si>
  <si>
    <t>EB BEN BERNANKE FORME    xxx-xxx-2063 CA</t>
  </si>
  <si>
    <t>WALGREENS #0625          MILLBRAE     CA</t>
  </si>
  <si>
    <t>THE HOME DEPOT 639       COLMA        CA</t>
  </si>
  <si>
    <t>LOWES #xx019*            SAN BRUNO    CA</t>
  </si>
  <si>
    <t>STARBUCKS RELOAD SVCxxx-xxx-728 1xxxx0037EQ GIFT CARD</t>
  </si>
  <si>
    <t>TADICH GRILL             SAN FRANCISCOCA</t>
  </si>
  <si>
    <t>We Are Church            xxx-xxx-7337 CA</t>
  </si>
  <si>
    <t>GOLDEN GATE TOLL INVOI   xxx-xxx-8655 CA</t>
  </si>
  <si>
    <t>BLACKROCK        DES:DIRECT DEP ID:xxxxxxxxx4209SY           INDN:LIN,RONGKE              CO ID:9111</t>
  </si>
  <si>
    <t>MAGIC DESIGN HAIR SALON  SAN FRANCISCOCA</t>
  </si>
  <si>
    <t>EB ELIZABETH HOLMES C    xxx-xxx-2063 CA</t>
  </si>
  <si>
    <t>VESPUCCI                 SAN MATEO    CA</t>
  </si>
  <si>
    <t>99 RANCH #1782           FOSTER CITY  CA</t>
  </si>
  <si>
    <t>KINDLE-FINANCIALTI  xxx-xxx-107 N69B792HEK0 DIGITAL</t>
  </si>
  <si>
    <t>UBER UBER           xxx-xxx-103 3CG5QZM     xxxxxx1039</t>
  </si>
  <si>
    <t>T.M.C.C          DES:LOAN PMT   ID:xxxxxxxxxx0001            INDN:Rongke lin              CO ID:4953</t>
  </si>
  <si>
    <t>LILY KAI CHINESE CUISINE PETALUMA     CA</t>
  </si>
  <si>
    <t>CITY OF SAN FRANCISCO PORSAN FRANCISCOCA</t>
  </si>
  <si>
    <t>COMBOINK INK TONER       xxx-xxx-1266 CA</t>
  </si>
  <si>
    <t>CASTELLO DI AMOROS       CALISTOGA    CA</t>
  </si>
  <si>
    <t>AMZ*MAGAZINE EXPRESSxxx-xxx-857 IA9UFXM4ZI2 MAGAZINE</t>
  </si>
  <si>
    <t>BART SAN BRUNO STA QSAN BRUNO   xxxxxxxx    xxx-xxx-6979</t>
  </si>
  <si>
    <t>AMERICAN EXPRESS DES:AM PMT     ID:A5140                     INDN:RONGKE LIN              CO ID:3133</t>
  </si>
  <si>
    <t>Online Banking payment to CRD 4413                          Confirmation# xxxxxx3132</t>
  </si>
  <si>
    <t>Online Banking payment to CRD 3186                          Confirmation# xxxxxx3962</t>
  </si>
  <si>
    <t>COPENHAGEN BAKERY AND CAFBURLINGAME   CA</t>
  </si>
  <si>
    <t>BKOFAMERICA ATM 09/01 #xxxxx5605 WITHDRWL                   MILLBRAE           MILLBRAE      CA</t>
  </si>
  <si>
    <t>JAPAN CAFE               LIVERMORE    CA</t>
  </si>
  <si>
    <t>COSTCO #x           x-xxx-x74-2 COSTCO MEMBER RENEWAL</t>
  </si>
  <si>
    <t>Business Expense</t>
  </si>
  <si>
    <t>GNC #x3428               SAN MATEO    CA</t>
  </si>
  <si>
    <t>General Nutrition Centers, Inc</t>
  </si>
  <si>
    <t>THE CHEESECAKE FACTORY-HDSAN MATEO    CA</t>
  </si>
  <si>
    <t>The Cheesecake Factory</t>
  </si>
  <si>
    <t>NORDSTROM #0420          SAN MATEO    CA</t>
  </si>
  <si>
    <t>SEARS ROEBUCK   1199     SAN MATEO    CA</t>
  </si>
  <si>
    <t>Sears</t>
  </si>
  <si>
    <t>MACY*S .COM #xxxx        xxx-xxx-6229 OH</t>
  </si>
  <si>
    <t>MACY'S EAST #429         SAN MATEO    CA</t>
  </si>
  <si>
    <t>PACIFIC SUPERMARKET -    SOUTH SAN FRACA</t>
  </si>
  <si>
    <t>Pacific Supermarket</t>
  </si>
  <si>
    <t>CAFE VENUE               SAN FRANCISCOCA</t>
  </si>
  <si>
    <t>CAFE VENUE</t>
  </si>
  <si>
    <t>SQ *T4MILL               Millbrae     CA</t>
  </si>
  <si>
    <t>GREAT EASTERN RESTAURANT SAN FRANCISCOCA</t>
  </si>
  <si>
    <t>Great Eastern Restaurant</t>
  </si>
  <si>
    <t>COSTCO GAS          SOUTH SAN F xxxxxxxxx   xxxxxx3003</t>
  </si>
  <si>
    <t>STARBUCKS #x5852 SAN FRANSan FranciscoCA</t>
  </si>
  <si>
    <t>NETFLIX.COM              NETFLIX.COM  CA</t>
  </si>
  <si>
    <t>Netflix</t>
  </si>
  <si>
    <t>COSTCO WHOLESALE    SAN FRANCIS xxxxxxxxx   xxxxxx4388</t>
  </si>
  <si>
    <t>BARNES &amp; NOBLE #2208     SAN BRUNO    CA</t>
  </si>
  <si>
    <t>Barnes &amp; Noble</t>
  </si>
  <si>
    <t>SAFEWAY  STORExxxx9704   SAN MATEO    CA</t>
  </si>
  <si>
    <t>COSTCO GAS          SOUTH SAN F xxxxxxxxx   xxxxxx2021</t>
  </si>
  <si>
    <t>SORABOL SF CENTER        SAN FRANCISCOCA</t>
  </si>
  <si>
    <t>HARD ROCK SAN FRANCISCO MSAN FRANCISCOCA</t>
  </si>
  <si>
    <t>Hard Rock</t>
  </si>
  <si>
    <t>CITY-OF-SAN-BRUNO-PMNT   xxx-xxx-7086 CA</t>
  </si>
  <si>
    <t>GOOD2GO-INTERNET         xxx-xxx-8246 WA</t>
  </si>
  <si>
    <t>BLUE BOTTLE COFFEE</t>
  </si>
  <si>
    <t>LUNGOMARE                OAKLAND      CA</t>
  </si>
  <si>
    <t>LEVI'S OUTLET 244        LIVERMORE    CA</t>
  </si>
  <si>
    <t>Levi's</t>
  </si>
  <si>
    <t>PORT JLS PARKING         OAKLAND      CA</t>
  </si>
  <si>
    <t>BART-CLIPPER SAN BRUNO   xxxxxx6474   CA</t>
  </si>
  <si>
    <t>COSTCO WHOLESALE    SOUTH SAN F xxxxxxxxx   xxxxxx3003</t>
  </si>
  <si>
    <t>AT&amp;T S192 x0667          SAN FRANCISCOCA</t>
  </si>
  <si>
    <t>DON PICOS                SAN BRUNO    CA</t>
  </si>
  <si>
    <t>TARGET        xxxx0546   SAN BRUNO    CA</t>
  </si>
  <si>
    <t>BLACKROCK        DES:DIRECT DEP ID:xxxxxxxxx2069SY           INDN:LIN,RONGKE              CO ID:9111</t>
  </si>
  <si>
    <t>COSTCO WHOLESALE    SOUTH SAN F xxxxxxxxx   xxxxxx2021</t>
  </si>
  <si>
    <t>PGANDE           DES:WEB ONLINE ID:xxxxxxxxxx1015            INDN:RONGKE LIN              CO ID:5940</t>
  </si>
  <si>
    <t>ANDERSEN BAKERY - MARKET SAN FRANCISCOCA</t>
  </si>
  <si>
    <t>ANDERSEN BAKERY</t>
  </si>
  <si>
    <t>THE HABIT-DALY CITY #103 DALY CITY    CA</t>
  </si>
  <si>
    <t>The Habit Burger Grill</t>
  </si>
  <si>
    <t>MOKUTANYA                BURLINGAME   CA</t>
  </si>
  <si>
    <t>FARALLON                 SAN FRANCISCOCA</t>
  </si>
  <si>
    <t>UNION SQUARE GARAGE      SAN FRANCISCOCA</t>
  </si>
  <si>
    <t>ALASKA AIR  0xxxxxxxx4178SEATTLE      WA</t>
  </si>
  <si>
    <t>Alaska Airlines</t>
  </si>
  <si>
    <t>ALASKA AIR  0xxxxxxxx4179SEATTLE      WA</t>
  </si>
  <si>
    <t>Online Banking payment to CRD 4413                          Confirmation# xxxxxx3605</t>
  </si>
  <si>
    <t>Online Banking payment to CRD 3186                          Confirmation# xxxxxx7033</t>
  </si>
  <si>
    <t>WIRE TYPE:INTL IN DATE:xx1109 TIME:0523 ET                  TRN:xxxxxxxxxxxx0906 SEQ:xxxx1109TBS0453</t>
  </si>
  <si>
    <t>KINDLE-FINANCIALTI  xxx-xxx-107 WJWF49WSDAA DIGITAL</t>
  </si>
  <si>
    <t>ICHIBAN KAN - SAN BRUN   SAN BRUNO    CA</t>
  </si>
  <si>
    <t>Ichiban Kan</t>
  </si>
  <si>
    <t>PEETS COFFETEA      SAN FRANCIS xx0048      FAST FOOD RESTAURANT</t>
  </si>
  <si>
    <t>STEVE'S HALLMARK #11     SAN BRUNO    CA</t>
  </si>
  <si>
    <t>Steve's Hallmark</t>
  </si>
  <si>
    <t>UBER UBER           xxx-xxx-103 787YK86     xxxxxx1039</t>
  </si>
  <si>
    <t>Uber Technologies Ltd</t>
  </si>
  <si>
    <t>T M C C</t>
  </si>
  <si>
    <t>x-800-FLOWERS.COM,INC.   xxx-xxx-1141 NY</t>
  </si>
  <si>
    <t>flowers.com</t>
  </si>
  <si>
    <t>AMERICAN EXPRESS DES:AM PMT     ID:A7362                     INDN:RONGKE LIN              CO ID:3133</t>
  </si>
  <si>
    <t>IN *CLEMENT NURSERY LLC  xxx-xxx3990  CA</t>
  </si>
  <si>
    <t>WHOLEFDS FRK x0044       SAN FRANCISCOCA</t>
  </si>
  <si>
    <t>HEALTHY PRODUCE          SAN FRANCISCOCA</t>
  </si>
  <si>
    <t>BLACKROCK        DES:DIRECT DEP ID:xxxxxxxxx8389SY           INDN:LIN,RONGKE              CO ID:9111</t>
  </si>
  <si>
    <t>ARABI                    SAN FRANCISCOCA</t>
  </si>
  <si>
    <t>THE KOREA HOUSE          BOTHELL      WA</t>
  </si>
  <si>
    <t>Korean House</t>
  </si>
  <si>
    <t>FRED M FUEL #xxxx xxxxxxxxxxxx xxxxxxxxxxxxxxxxx9202</t>
  </si>
  <si>
    <t>Fred M Fuel</t>
  </si>
  <si>
    <t>COSTCO WHOLESALE    WILSONVILLE xxxxxxxxx   xxxxxx4003</t>
  </si>
  <si>
    <t>COSTCO GAS          WILSONVILLE xxxxxxxxx   xxxxxx4004</t>
  </si>
  <si>
    <t>COSTCO GAS          VACAVILLE xxxxxxxxx   xxxxxx7361</t>
  </si>
  <si>
    <t>IN-N-OUT BURGER #137     REDDING      CA</t>
  </si>
  <si>
    <t>COSTCO GAS          SALEM xxxxxxxxx   xxxxxx0483</t>
  </si>
  <si>
    <t>COSTCO GAS          WOODINVILLE xxxxxxxxx   xxxxxx9999</t>
  </si>
  <si>
    <t>COSTCO WHOLESALE    SALEM xxxxxxxxx   xxxxxx0483</t>
  </si>
  <si>
    <t>Priceline.com</t>
  </si>
  <si>
    <t>FARMERS INS BILLING      xxx-xxx-6392 CA</t>
  </si>
  <si>
    <t>TARTINE LP               SAN FRANCISCOCA</t>
  </si>
  <si>
    <t>UBER UBER           xxx-xxx-103 6SZY4CM     xxxxxx1039</t>
  </si>
  <si>
    <t>PAYPAL           DES:INST XFER  ID:MICHAELYIH1               INDN:RONGKE LIN              CO ID:PAYP</t>
  </si>
  <si>
    <t>PayPal</t>
  </si>
  <si>
    <t>WENDY'S #878             SAN BRUNO    CA</t>
  </si>
  <si>
    <t>Wendy's</t>
  </si>
  <si>
    <t>HOME DEPOT       DES:AUTO PYMT  ID:xxxxxxxxxxx0304           INDN:RONGKE LIN              CO ID:CITI</t>
  </si>
  <si>
    <t>Home Depot</t>
  </si>
  <si>
    <t>MADERA                   MENLO PARK   CA</t>
  </si>
  <si>
    <t>HONG KONG LOUNGE II      SAN FRANCISCOCA</t>
  </si>
  <si>
    <t>SUSHI KEI                MILLBRAE     CA</t>
  </si>
  <si>
    <t>GOURMET VILLAGE RESTAURANMILLBRAE     CA</t>
  </si>
  <si>
    <t>GOURMET VILLAGE</t>
  </si>
  <si>
    <t>USPS xxxxxxxxxxxxx2367   SAN FRANCISCOCA</t>
  </si>
  <si>
    <t>Online Banking payment to CRD 3186                          Confirmation# xxxxxx5026</t>
  </si>
  <si>
    <t>BLACKROCK        DES:DIRECT DEP ID:xxxxxxxxx1659SY           INDN:LIN,RONGKE              CO ID:9111</t>
  </si>
  <si>
    <t>CHURN CREEK VALERO       REDDING      CA</t>
  </si>
  <si>
    <t>Valero</t>
  </si>
  <si>
    <t>BOUCHON BAKERY           YOUNTVILLE   CA</t>
  </si>
  <si>
    <t>Yountville</t>
  </si>
  <si>
    <t>BETHEL EAGLES NEST       REDDING      CA</t>
  </si>
  <si>
    <t>Eagle's Nest</t>
  </si>
  <si>
    <t>TURTLE BAY EXPLORA       REDDING      CA</t>
  </si>
  <si>
    <t>CASH REWARDS STATEMENT CREDIT</t>
  </si>
  <si>
    <t>Statement Credit</t>
  </si>
  <si>
    <t>MILLBRAE PANCAKE HOUSE   MILLBRAE     CA</t>
  </si>
  <si>
    <t>LITTLE SHEEP MONGOLIAN H SAN FRANCISCOCA</t>
  </si>
  <si>
    <t>Little Sheep Mongolian Hot Pot Restaurant</t>
  </si>
  <si>
    <t>USPS xxxxxxxxxxxxx3264   MILLBRAE     CA</t>
  </si>
  <si>
    <t>PAYPAL           DES:INST XFER  ID:KCHIEN                    INDN:RONGKE LIN              CO ID:PAYP</t>
  </si>
  <si>
    <t>MIT ALUMNI CLUB OF NOR   xxx-xxx0378  MA</t>
  </si>
  <si>
    <t>KINDLE-FINANCIALTI  xxx-xxx-107 RXWMLDTLH7D DIGITAL</t>
  </si>
  <si>
    <t>AIRBNB INC               xxx-xxx-5959 CA</t>
  </si>
  <si>
    <t>Online Banking transfer to BRK 1532                         Confirmation# xxxxxx1122</t>
  </si>
  <si>
    <t>IN-N-OUT BURGER #183     ROSEVILLE    CA</t>
  </si>
  <si>
    <t>Check 1002</t>
  </si>
  <si>
    <t>COSTCO GAS #0029 000ROSEVILLE xxxxxxxxx   xxxxxx9999</t>
  </si>
  <si>
    <t>COSTCO WHOLESALE    VACAVILLE xxxxxxxxx   xxxxxx7361</t>
  </si>
  <si>
    <t>AMERICAN EXPRESS DES:AM PMT     ID:A6420                     INDN:RONGKE LIN              CO ID:3133</t>
  </si>
  <si>
    <t>IN-N-OUT BURGER #74      HUNTINGTON PACA</t>
  </si>
  <si>
    <t>Parent support</t>
  </si>
  <si>
    <t>Jen's reunion</t>
  </si>
  <si>
    <t>BLACKROCK        DES:DIRECT DEP ID:xxxxxxxxx2899SY           INDN:LIN,RONGKE              CO ID:9111</t>
  </si>
  <si>
    <t>FLAHERTYS SEAFOOD GRILL  CARMEL       CA</t>
  </si>
  <si>
    <t>Seafood Grill</t>
  </si>
  <si>
    <t>GIANNI'S PIZZA           MONTEREY     CA</t>
  </si>
  <si>
    <t>JOCKEY LIVERMORE CA      LIVERMORE    CA</t>
  </si>
  <si>
    <t>JOCKEY</t>
  </si>
  <si>
    <t>LE CREUSET STORE 107     LIVERMORE    CA</t>
  </si>
  <si>
    <t>Le Creuset</t>
  </si>
  <si>
    <t>BROOKS BROTHERS x6710    LIVERMORE    CA</t>
  </si>
  <si>
    <t>BETTY BURGERS            SANTA CRUZ   CA</t>
  </si>
  <si>
    <t>CATHAYPACAIRxxxxxxxxxxxxxxxx-xxx2233  CA</t>
  </si>
  <si>
    <t>CATHAY PAC AIR</t>
  </si>
  <si>
    <t>Fund Transfer</t>
  </si>
  <si>
    <t>EXPEDIA*xxxxxxxxx5444    EXPEDIA.COM  WA</t>
  </si>
  <si>
    <t>BOUDIN 430 HILLSDAL      SAN MATEO    CA</t>
  </si>
  <si>
    <t>Online Banking payment to CRD 4413                          Confirmation# xxxxxx8336</t>
  </si>
  <si>
    <t>Online Banking payment to CRD 3186                          Confirmation# xxxxxx4475</t>
  </si>
  <si>
    <t>CASH REWARDS     DES:CASHREWARD ID:LIN                       INDN:xxxxxxxxxxxxxxxxxx0000  CO ID:2002</t>
  </si>
  <si>
    <t>Cash Reward</t>
  </si>
  <si>
    <t>EXPEDIA*xxxxxxxxx3574    EXPEDIA.COM  WA</t>
  </si>
  <si>
    <t>C&amp;C SMART FOODxxxx5861   SAN FRANCISCOCA</t>
  </si>
  <si>
    <t>VIP COFFEE AND CAKE SHOP SAN FRANCISCOCA</t>
  </si>
  <si>
    <t>CakeShop.com</t>
  </si>
  <si>
    <t>GROUPON INC              xxx-xxx-7858 IL</t>
  </si>
  <si>
    <t>Groupon Inc.</t>
  </si>
  <si>
    <t>BART-CLIPPER MONTGOMERY  xxxxxx6474   CA</t>
  </si>
  <si>
    <t>EXPEDIA*xxxxxxxxx9380    EXPEDIA.COM  WA</t>
  </si>
  <si>
    <t>CARL'S JR 716            SAN BRUNO    CA</t>
  </si>
  <si>
    <t>Carl's Jr.</t>
  </si>
  <si>
    <t>BLACKROCK        DES:DIRECT DEP ID:xxxxxxxxx5419SY           INDN:LIN,RONGKE              CO ID:9111</t>
  </si>
  <si>
    <t>BLACK ROCK INC.  DES:PAYMENTS   ID:x1999                     INDN:Lin, Rongke (Kevin)     CO ID:1323</t>
  </si>
  <si>
    <t>BART-CLIPPER EMBARCADERO xxxxxx6474   CA</t>
  </si>
  <si>
    <t>Embarcadero Center</t>
  </si>
  <si>
    <t>OSHA THAI 2ND STREET IN  SAN FRANCISCOCA</t>
  </si>
  <si>
    <t>Osha Thai</t>
  </si>
  <si>
    <t>KEEPTHECHANGE CREDIT FROM ACCT3856 EFFECTIVE 12/10</t>
  </si>
  <si>
    <t>NORDSTROM-RACK #0428     COLMA        CA</t>
  </si>
  <si>
    <t>KEEP THE CHANGE TRANSFER TO ACCT 3857 FOR 12/10/15</t>
  </si>
  <si>
    <t>CHECKCARD  1209 SQ *ALGIERS CAFE                            San FranciscoCA xxxxxxxxxxxxxxxxxxx3515</t>
  </si>
  <si>
    <t>MACY'S EAST #431         DALY CITY    CA</t>
  </si>
  <si>
    <t>KINDLE-FINANCIALTI  xxx-xxx-107 QXFWUXE9AH9 DIGITAL</t>
  </si>
  <si>
    <t>Scottrade</t>
  </si>
  <si>
    <t>CHA AM THAI RESTAURANT   SAN FRANCISCOCA</t>
  </si>
  <si>
    <t>MCDONALD'S Fx3001        MILLBRAE     CA</t>
  </si>
  <si>
    <t>AMERICAN EXPRESS DES:AM PMT     ID:A3730                     INDN:RONGKE LIN              CO ID:3133</t>
  </si>
  <si>
    <t>Check 654</t>
  </si>
  <si>
    <t>Cash Rebate</t>
  </si>
  <si>
    <t>Public Transportation</t>
  </si>
  <si>
    <t>COSTCO WHSE #0  01/29 #xxxxx3604 PURCHASE                   COSTCO WHSE #0422  SOUTH SAN FRA CA</t>
  </si>
  <si>
    <t>Online Banking payment to CRD 4413                          Confirmation# xxxxxx2839</t>
  </si>
  <si>
    <t>Online Banking payment to CRD 3186                          Confirmation# xxxxxx9739</t>
  </si>
  <si>
    <t>BLACKROCK        DES:DIRECT DEP ID:xxxxxxxxx1429SY           INDN:LIN,RONGKE              CO ID:9111</t>
  </si>
  <si>
    <t>USPS 0xxxxxxxxxx6499SAN FRANCIS xxxxxxxxx   xxx-xxx8777</t>
  </si>
  <si>
    <t>COSTCO WHSE #0  01/28 #xxxxx9305 PURCHASE                   COSTCO WHSE #0422  SOUTH SAN FRA CA</t>
  </si>
  <si>
    <t>IN *THE HARVEST BOOKSTORExxx-xxx0252  CA</t>
  </si>
  <si>
    <t>AMTRAK .COM 0xxxxxxxx2557WASHINGTON   DC</t>
  </si>
  <si>
    <t>AMTRAK</t>
  </si>
  <si>
    <t>UNITED      xxxxxxxxxxxxxxxx-xxx-2732 TX</t>
  </si>
  <si>
    <t>SAIWAII RAMEN            SAN FRANCISCOCA</t>
  </si>
  <si>
    <t>SQ *ALGIERS CAFE         SAN FRANCISCOCA</t>
  </si>
  <si>
    <t>WPY*Tia NanaAunt Irene Fuxxx-xxx-3729 CA</t>
  </si>
  <si>
    <t>BLACKROCK        DES:DIRECT DEP ID:xxxxxxxxx5809SY           INDN:LIN,RONGKE              CO ID:9111</t>
  </si>
  <si>
    <t>CHECKCARD  0112 MIT ALUMNI ASSOCIATION                      xxx-xxx0000  MA xxxxxxxxxxxxxxxxxxx2474</t>
  </si>
  <si>
    <t>PGANDE           DES:WEB ONLINE ID:xxxxxxxxxx1116            INDN:RONGKE LIN              CO ID:5940</t>
  </si>
  <si>
    <t>ALGIERS CAFE        San Francis TDT7D7      squareup.com/receipts</t>
  </si>
  <si>
    <t>Online Banking payment to CRD 3186                          Confirmation# xxxxxx3566</t>
  </si>
  <si>
    <t>KINDLE-FINANCIALTI  xxx-xxx-107 EQHDNAV1RPA DIGITAL</t>
  </si>
  <si>
    <t>TIN VIETNAMESE           SAN FRANCISCOCA</t>
  </si>
  <si>
    <t>AMERICAN EXPRESS DES:ACH Pmt    ID:W3314                     INDN:rongke lin              CO ID:1133</t>
  </si>
  <si>
    <t>Mobile/Email Transfer Conf# 47bfjdegp;                      JIANG, YATIAN</t>
  </si>
  <si>
    <t>AMERICAN EXPRESS DES:AM PMT     ID:A2806                     INDN:RONGKE LIN              CO ID:3133</t>
  </si>
  <si>
    <t>CAFE BORRONE             MENLO PARK   CA</t>
  </si>
  <si>
    <t>CAFE BORRONE</t>
  </si>
  <si>
    <t>PAYPAL           DES:INST XFER  ID:CARVALHOBEN               INDN:RONGKE LIN              CO ID:PAYP</t>
  </si>
  <si>
    <t>CRAZY LOVE MINIS DES:4NJD       ID:4NJD 15                   INDN:JEANNE LIN              CO ID:1364</t>
  </si>
  <si>
    <t>MIFUNE RESTAURANT        SAN FRANCISCOCA</t>
  </si>
  <si>
    <t>Mifune Restaurant</t>
  </si>
  <si>
    <t>LAZ PKG OAKLAND          OAKLAND      CA</t>
  </si>
  <si>
    <t>SFO PARK #13             SAN FRANCISCOCA</t>
  </si>
  <si>
    <t>HENRYS HOUSE OF COFFEE   SAN FRANCISCOCA</t>
  </si>
  <si>
    <t>House of Coffee</t>
  </si>
  <si>
    <t>Online Banking payment to CRD 4413                          Confirmation# xxxxxx5956</t>
  </si>
  <si>
    <t>Online Banking payment to CRD 5360                          Confirmation# xxxxxx4205</t>
  </si>
  <si>
    <t>KEEPTHECHANGE CREDIT FROM ACCT3856 EFFECTIVE 03/25</t>
  </si>
  <si>
    <t>KAISER xxxx0314          SAN FRANCISCOCA</t>
  </si>
  <si>
    <t>INTUIT *TURBOTAX         xxx-xxx-8848 CA</t>
  </si>
  <si>
    <t>Intuit Turbotax</t>
  </si>
  <si>
    <t>BOFA NA HOME LOANS       xxx-xxx-6607 CA</t>
  </si>
  <si>
    <t>BAGEL ST CAFE            MILLBRAE     CA</t>
  </si>
  <si>
    <t>Bagel St Cafe</t>
  </si>
  <si>
    <t>AMAZON DIGITAL SVCS xxx-xxx-107 T2N7Q2ON9CZ DIGITAL</t>
  </si>
  <si>
    <t>KEEP THE CHANGE TRANSFER TO ACCT 3857 FOR 03/25/16</t>
  </si>
  <si>
    <t>COSTCO WHSE #0  03/25 #xxxxx6122 PURCHASE                   COSTCO WHSE #0422  SOUTH SAN FRA CA</t>
  </si>
  <si>
    <t>CIRCULAR QUAY C/RAIL     SYDNEY</t>
  </si>
  <si>
    <t>Heinemann Duty Free      Mascot</t>
  </si>
  <si>
    <t>CIRCUMTEC                MENTONE</t>
  </si>
  <si>
    <t>IPPUDO AUSTRALIA PTY     SYDNEY</t>
  </si>
  <si>
    <t>Neptune Palace           Sydney</t>
  </si>
  <si>
    <t>7-ELEVEN x3342           SAN FRANCISCOCA</t>
  </si>
  <si>
    <t>CHEVRON xxx5690          SAN BRUNO    CA</t>
  </si>
  <si>
    <t>COCA COLA AMATIL         Sydney</t>
  </si>
  <si>
    <t>RAILCORP INTERNATIONA    MASCOT</t>
  </si>
  <si>
    <t>RENDEZVOUS HOTEL AUCKLANDAUCKLAND</t>
  </si>
  <si>
    <t>Palace Restaurant        Sydney</t>
  </si>
  <si>
    <t>CAPTAIN COOK CRUISES     SYDNEY</t>
  </si>
  <si>
    <t>Uber BV                  help.uber.com</t>
  </si>
  <si>
    <t>ESPRESSO WORKSHOP BRITO  AUCKLAND</t>
  </si>
  <si>
    <t>Espresso</t>
  </si>
  <si>
    <t>SCENIC HOTEL AUCKLAND    AUCKLAND</t>
  </si>
  <si>
    <t>NEW ZEALAND FABRICS &amp; Y  AUCKLAND</t>
  </si>
  <si>
    <t>MCDONALDS DOWNTOWN       AUCKLAND</t>
  </si>
  <si>
    <t>MINATO SUSHI             AUCKLAND NZ</t>
  </si>
  <si>
    <t>FOREIGN TRANSACTION FEE</t>
  </si>
  <si>
    <t>TOMODACHI                SYDNEY</t>
  </si>
  <si>
    <t>GM CABS PTY. LTD.        MASCOT</t>
  </si>
  <si>
    <t>GRAND HARBOUR CHINESE R  AUCKLAND</t>
  </si>
  <si>
    <t>K-GRILL AND TOFU HOUSE   SAN BRUNO    CA</t>
  </si>
  <si>
    <t>Tofu House</t>
  </si>
  <si>
    <t>HARBOUR CITY FERRIES     SYDNEY</t>
  </si>
  <si>
    <t>SKYBUS                   AUCKLAND</t>
  </si>
  <si>
    <t>JAMBA JUICE-#104         MILLBRAE     CA</t>
  </si>
  <si>
    <t>Jamba Juice</t>
  </si>
  <si>
    <t>MCDONALDS SYDNEY GATE    CIRCULAR QUAY</t>
  </si>
  <si>
    <t>MADANG RESTAURANT        SYDNEY</t>
  </si>
  <si>
    <t>AIR NEW ZEA              SYDNEY</t>
  </si>
  <si>
    <t>PGANDE           DES:WEB ONLINE ID:xxxxxxxxxx1416            INDN:RONGKE LIN              CO ID:5940</t>
  </si>
  <si>
    <t>BLACKROCK        DES:DIRECT DEP ID:xxxxxxxxx0189SY           INDN:LIN,RONGKE              CO ID:9111</t>
  </si>
  <si>
    <t>TKTS / THEATER TIX       NEW YORK     NY</t>
  </si>
  <si>
    <t>FAMOUS RAY'S PIZZA       NEW YORK     NY</t>
  </si>
  <si>
    <t>Famous Ray's Pizza</t>
  </si>
  <si>
    <t>UPTOWN SWIRL             NEW YORK     NY</t>
  </si>
  <si>
    <t>Uptown</t>
  </si>
  <si>
    <t>SHAKE SHACK 1121         CAMBRIDGE    MA</t>
  </si>
  <si>
    <t>Shake Shack</t>
  </si>
  <si>
    <t>SQ *BANGKOK B.A.R        NEW YORK     NY</t>
  </si>
  <si>
    <t>UBER UBER           xxx-xxx-103 MYKZFGD     xxxxxx1039</t>
  </si>
  <si>
    <t>UBER UBER           xxx-xxx-103 N9Z5698     xxxxxx1039</t>
  </si>
  <si>
    <t>UBER UBER           xxx-xxx-103 7TW5C6D     xxxxxx1039</t>
  </si>
  <si>
    <t>MTA MVM*Rxx2-51 ST       NEW YORK     NY</t>
  </si>
  <si>
    <t>MTA</t>
  </si>
  <si>
    <t>ARAMARK MIT SLOAN        CAMBRIDGE    MA</t>
  </si>
  <si>
    <t>ARAMARK</t>
  </si>
  <si>
    <t>Wire Transfer Fee</t>
  </si>
  <si>
    <t>WIRE TYPE:WIRE OUT DATE:xx0309 TIME:1528 ET                 TRN:xxxxxxxxxxxx3558 SERVICE REF:xx9603</t>
  </si>
  <si>
    <t>Wire Transfer</t>
  </si>
  <si>
    <t>KINDLE-FINANCIALTI  xxx-xxx-107 HML7P32TOTE DIGITAL</t>
  </si>
  <si>
    <t>SEES CANDIES 522         BURLINGAME   CA</t>
  </si>
  <si>
    <t>see's Candies</t>
  </si>
  <si>
    <t>UBER UBER           xxx-xxx-103 CR8PX44     xxxxxx1039</t>
  </si>
  <si>
    <t>BKOFAMERICA ATM 03/05 #xxxxx2710 DEPOSIT                    MILLBRAE           MILLBRAE      CA</t>
  </si>
  <si>
    <t>U.W. OUTPATIENT PHARMACY SEATTLE      WA</t>
  </si>
  <si>
    <t>TOYOTA FINANCIAL DES:RETAIL_PAY ID:xxxxxxxxxx0516            INDN:RONGKE LIN              CO ID:1953</t>
  </si>
  <si>
    <t>Toyota Financial Services</t>
  </si>
  <si>
    <t>ATHENA NAILS &amp; SPA       xxx-xxx0105  MD</t>
  </si>
  <si>
    <t>Bank of America  DES:CASHREWARD ID:LIN                       INDN:xxxxxxxxxxxxxxxxxx0000  CO ID:2002</t>
  </si>
  <si>
    <t>SPECIALTYS CAFE BAKEPLEASANTON xxxxxxxxx   xxxxxx2052</t>
  </si>
  <si>
    <t>SUNGLASS HUT 2868        LIVERMORE    CA</t>
  </si>
  <si>
    <t>Sunglass Hut</t>
  </si>
  <si>
    <t>AMERICAN EXPRESS DES:AM PMT     ID:A1062                     INDN:RONGKE LIN              CO ID:3133</t>
  </si>
  <si>
    <t>Online Banking payment to CRD 5360                          Confirmation# xxxxxx3489</t>
  </si>
  <si>
    <t>Online Banking payment to CRD 4413                          Confirmation# xxxxxx6499</t>
  </si>
  <si>
    <t>BLACKROCK        DES:DIRECT DEP ID:xxxxxxxxx2619SY           INDN:LIN,RONGKE              CO ID:9111</t>
  </si>
  <si>
    <t>YI YUAN SZECHUAN RESTAURAMILLBRAE     CA</t>
  </si>
  <si>
    <t>SFO PARKING IT-A LEQSAN FRANCIS xx3008      PARKING LOT &amp; GARAGE</t>
  </si>
  <si>
    <t>SAFEWAY             MILLBRAE GROCERY STORE</t>
  </si>
  <si>
    <t>Travel - Public Transportation</t>
  </si>
  <si>
    <t>eDreams                  xxx-xxx3958  FL</t>
  </si>
  <si>
    <t>PAYPAL *AMOMA.COM        xxxxxxx9001</t>
  </si>
  <si>
    <t>IVISA SERVICES           NORTH SYDNEY</t>
  </si>
  <si>
    <t>UBER UBER           xxx-xxx-103 D8M5G8D     xxxxxx1039</t>
  </si>
  <si>
    <t>UWMC GIFT SHOP           SEATTLE      WA</t>
  </si>
  <si>
    <t>Online Banking payment to CRD 5360                          Confirmation# xxxxxx0566</t>
  </si>
  <si>
    <t>Online Banking payment to CRD 4413                          Confirmation# xxxxxx1649</t>
  </si>
  <si>
    <t>STARBUCKS #x9854 CHECheney TIJVOB      Cheney</t>
  </si>
  <si>
    <t>COSTCO WHOLESALE    SPOKANE xxxxxxxxx   xxxxxx9668</t>
  </si>
  <si>
    <t>DELTA AIR   Seat Fees    DELTA.COM    CA</t>
  </si>
  <si>
    <t>DELTA AIR   0xxxxxxxx2729DELTA.COM    CA</t>
  </si>
  <si>
    <t>MCDONALD'S F1697         SEATTLE      WA</t>
  </si>
  <si>
    <t>KFC/TB #343              SEATTLE      WA</t>
  </si>
  <si>
    <t>KFC</t>
  </si>
  <si>
    <t>BLACKROCK        DES:DIRECT DEP ID:xxxxxxxxx6399SY           INDN:LIN,RONGKE              CO ID:9111</t>
  </si>
  <si>
    <t>UBER UBER           xxx-xxx-103 F3WGPPY     xxxxxx1039</t>
  </si>
  <si>
    <t>UBER UBER           xxx-xxx-103 DHD8HN8     xxxxxx1039</t>
  </si>
  <si>
    <t>PAK LOH CHIU CHOW REST   TUNG CHUNG</t>
  </si>
  <si>
    <t>DEPT. OF IMMIGRATION     BELCONNEN</t>
  </si>
  <si>
    <t>KINDLE-FINANCIALTI  xxx-xxx-107 F2WQGKIWPOW DIGITAL</t>
  </si>
  <si>
    <t>PLN*PRICELINE.COM AIR    xxx-xxx-0575 CT</t>
  </si>
  <si>
    <t>IMMIGRATION IGMS         WELLINGTON</t>
  </si>
  <si>
    <t>BLACKROCK        DES:DIRECT DEP ID:xxxxxxxxx9679SY           INDN:LIN,RONGKE              CO ID:9111</t>
  </si>
  <si>
    <t>ALGIERS CAFE        San Francis PETEJF      squareup.com/receipts</t>
  </si>
  <si>
    <t>TOYOTA FINANCIAL DES:RETAIL_PAY ID:xxxxxxxxxxx2476           INDN:RONGKE LIN              CO ID:1953</t>
  </si>
  <si>
    <t>QANTAS AIR  xxxxxxx3410  LOS ANGELES  CA</t>
  </si>
  <si>
    <t>Qatar Airways</t>
  </si>
  <si>
    <t>CHIPOTLE xxxx 0090  SAN FRANCIS xxxxxxxxxx  xxx-xxx-8113</t>
  </si>
  <si>
    <t>Check 655</t>
  </si>
  <si>
    <t>AMERICAN EXPRESS DES:AM PMT     ID:A7000                     INDN:RONGKE LIN              CO ID:3133</t>
  </si>
  <si>
    <t>SOUTHWES    xxxxxxxxxxxxxxxx-xxx-9792 TX</t>
  </si>
  <si>
    <t>Southwest Airlines</t>
  </si>
  <si>
    <t>RIVERSIDE SEAFOOD RESTAURSAN FRANCISCOCA</t>
  </si>
  <si>
    <t>Restaurants San Francisco</t>
  </si>
  <si>
    <t>KFC/TB #155              SAN FRANCISCOCA</t>
  </si>
  <si>
    <t>Dues and Subscriptions</t>
  </si>
  <si>
    <t>Taxi and Rental</t>
  </si>
  <si>
    <t>Seattle House</t>
  </si>
  <si>
    <t>TMOBILE*AUTO PAY         xxx-xxx-8997 WA</t>
  </si>
  <si>
    <t>REPUBLIC PARKING xx 134  SEATTLE      WA</t>
  </si>
  <si>
    <t>BLACKROCK        DES:DIRECT DEP ID:xxxxxxxxx2999SY           INDN:LIN,RONGKE              CO ID:9111</t>
  </si>
  <si>
    <t>THAI ONE ON              SEATTLE      WA</t>
  </si>
  <si>
    <t>KUKJE SUPER MARKET       DALY CITY    CA</t>
  </si>
  <si>
    <t>SAM OH JUNG              LYNNWOOD     WA</t>
  </si>
  <si>
    <t>ORCA KCM ONLINE SALES xx xxx-xxx7277  WA</t>
  </si>
  <si>
    <t>COSTCO WHSE #0  04/28 #xxxxx5333 PURCHASE                   COSTCO WHSE #0422  SOUTH SAN FRA CA</t>
  </si>
  <si>
    <t>COSTCO WHSE #0  04/28 #xxxxx7809 PURCHASE                   COSTCO WHSE #0422  SOUTH SAN FRA CA</t>
  </si>
  <si>
    <t>MOD PIZZA DNTOWN SEATTLE SEATTLE      WA</t>
  </si>
  <si>
    <t>COSTCO GAS #04  04/27 #xxxxx3943 PURCHASE                   COSTCO GAS #0422   SO SAN FRANC  CA</t>
  </si>
  <si>
    <t>BEST BUY      xxxx4705   SEATTLE      WA</t>
  </si>
  <si>
    <t>Electronics</t>
  </si>
  <si>
    <t>Best Buy</t>
  </si>
  <si>
    <t>PACIFIC SUPERMARKET -    S SAN FRAN   CA</t>
  </si>
  <si>
    <t>NETFLIX.COM              xxx-xxx-7172 CA</t>
  </si>
  <si>
    <t>THE FISH MARKET PA       PALO ALTO    CA</t>
  </si>
  <si>
    <t>Fish Market Restaurants</t>
  </si>
  <si>
    <t>ABM PARKING 400 HOWARD   SAN FRANCISCOCA</t>
  </si>
  <si>
    <t>STARBUCKS #x0658 SAN FRANSan FranciscoCA</t>
  </si>
  <si>
    <t>JULIE`S KITCHEN #3       SAN FRANCISCOCA</t>
  </si>
  <si>
    <t>Julie's Kitchen</t>
  </si>
  <si>
    <t>THE FISH MARKET PALOPALO ALTO xxx8187     RESTAURANT</t>
  </si>
  <si>
    <t>SALVATION ARMY 690 ST11  SAN BRUNO    CA</t>
  </si>
  <si>
    <t>Charitable Giving</t>
  </si>
  <si>
    <t>COSTCO WHSE #0  04/20 #xxxxx0413 PURCHASE                   COSTCO WHSE #0422  SOUTH SAN FRA CA</t>
  </si>
  <si>
    <t>COSTCO GAS #04  04/20 #xxxxx8570 PURCHASE                   COSTCO GAS #0422   SO SAN FRANC  CA</t>
  </si>
  <si>
    <t>DELTA AIR   0xxxxxxxx8526SALT LAKE CTYUT</t>
  </si>
  <si>
    <t>Online Banking transfer from BRK 1532                       Confirmation# xxxxxx8453</t>
  </si>
  <si>
    <t>Online Banking transfer from BRK 7114                       Confirmation# xxxxxx0767</t>
  </si>
  <si>
    <t>SAFEWAY  STORExxxx9852   SAN FRANCISCOCA</t>
  </si>
  <si>
    <t>Online Banking payment to CRD 5360                          Confirmation# xxxxxx8147</t>
  </si>
  <si>
    <t>Online Banking payment to CRD 5360                          Confirmation# xxxxxx6486</t>
  </si>
  <si>
    <t>BURMA SUPERSTAR          SAN FRANCISCOCA</t>
  </si>
  <si>
    <t>Burma SuperStar</t>
  </si>
  <si>
    <t>KAISER xxxx0355          S SAN FRAN   CA</t>
  </si>
  <si>
    <t>WIRE TYPE:WIRE OUT DATE:xx0415 TIME:1312 ET                 TRN:xxxxxxxxxxxx0194 SERVICE REF:xx0306</t>
  </si>
  <si>
    <t>BLACK ROCK INC.  DES:PAYMENTS   ID:x8891                     INDN:Lin, Rongke             CO ID:1323</t>
  </si>
  <si>
    <t>BLACKROCK        DES:DIRECT DEP ID:xxxxxxxxx6579SY           INDN:LIN,RONGKE              CO ID:9111</t>
  </si>
  <si>
    <t>Online Banking transfer from BRK 7114                       Confirmation# xxxxxx7827</t>
  </si>
  <si>
    <t>HOMEDEPOT.COM            xxx-xxx-3376 GA</t>
  </si>
  <si>
    <t>PIZZA MY HEART           BURLINGAME   CA</t>
  </si>
  <si>
    <t>Pizza My Heart</t>
  </si>
  <si>
    <t>COSTCO WHSE #0  04/14 #xxxxx1306 PURCHASE                   COSTCO WHSE #0422  SOUTH SAN FRA CA</t>
  </si>
  <si>
    <t>MOM`S TOFU               SOUTH SAN FRACA</t>
  </si>
  <si>
    <t>IRS  TREAS 310   DES:  TAX REF  ID:xxxxxxxxxxx0918           INDN:LIN, RONGKE &amp; JEANNE N  CO ID:9111</t>
  </si>
  <si>
    <t>Internal revenue services</t>
  </si>
  <si>
    <t>APPLE STORE  #R029       BURLINGAME   CA</t>
  </si>
  <si>
    <t>COSTCO WHSE #0  04/09 #xxxxx6027 PURCHASE                   COSTCO WHSE #0475  S SAN FRANCIS CA</t>
  </si>
  <si>
    <t>UBER TECHNOLOGIES INC    xxx-xxx-1039 CA</t>
  </si>
  <si>
    <t>KINDLE-FINANCIALTI  xxx-xxx-107 ESSRCLRZR0I DIGITAL</t>
  </si>
  <si>
    <t>PROMO. PRICING CREDIT</t>
  </si>
  <si>
    <t>PROMO. PRICING DEBIT</t>
  </si>
  <si>
    <t>CITY OF BURLINGAME-PARKI BURLINGAME   CA</t>
  </si>
  <si>
    <t>PAPER SOURCE BURLINGAM   BURLINGAME   CA</t>
  </si>
  <si>
    <t>Office Supplies</t>
  </si>
  <si>
    <t>Paper Source</t>
  </si>
  <si>
    <t>DANDJ AUTO REPAIR        SAN BRUNO    CA</t>
  </si>
  <si>
    <t>Automotive Expenses</t>
  </si>
  <si>
    <t>KAISER PHARM 351         SAN FRANCISCOCA</t>
  </si>
  <si>
    <t>DELTA AIR   0xxxxxxxx9965DELTA.COM    CA</t>
  </si>
  <si>
    <t>We Are Church            xxx-xxx-0526 CA</t>
  </si>
  <si>
    <t>FRANCHISE TAX BD DES:CASTTAXRFD ID:xxxxx9950                 INDN:RONGKE LIN              CO ID:9282</t>
  </si>
  <si>
    <t>franchise tax board</t>
  </si>
  <si>
    <t>BART SAN BRUNO STA QPS   xxxxxx6474   CA</t>
  </si>
  <si>
    <t>AMERICAN EXPRESS DES:AM PMT     ID:A1806                     INDN:RONGKE LIN              CO ID:3133</t>
  </si>
  <si>
    <t>ABM PARKING 1670 OWEN ST SAN FRANCISCOCA</t>
  </si>
  <si>
    <t>TOTOS PIZZERIA OF SAN BRUSAN BRUNO    CA</t>
  </si>
  <si>
    <t>FURAGU SUSHI             SAN MATEO    CA</t>
  </si>
  <si>
    <t>COSTCO GAS #04  05/31 #xxxxx2361 PURCHASE                   COSTCO GAS #0422   SO SAN FRANC  CA</t>
  </si>
  <si>
    <t>BLACKROCK        DES:DIRECT DEP ID:xxxxxxxxx9609SY           INDN:LIN,RONGKE              CO ID:9111</t>
  </si>
  <si>
    <t>LOWES #xx907*            xxx-xxx-7521 NC</t>
  </si>
  <si>
    <t>SQ *ROTEE EXPRESS        SAN FRANCISCOCA</t>
  </si>
  <si>
    <t>rotee</t>
  </si>
  <si>
    <t>HULI HULI HAWAIIAN GRILL SAN FRANCISCOCA</t>
  </si>
  <si>
    <t>Hawaiian Airlines</t>
  </si>
  <si>
    <t>LOWE'S              SAN BRUNO INV # xxxxx xxx-xxx-7800</t>
  </si>
  <si>
    <t>Online Banking payment to MTG 7841                          Confirmation# xxxxxx1266</t>
  </si>
  <si>
    <t>Online Banking payment to CRD 5360                          Confirmation# xxxxxx3853</t>
  </si>
  <si>
    <t>Online Banking transfer to BRK 1532                         Confirmation# xxxxxx1963</t>
  </si>
  <si>
    <t>MARRIOTT VACATION CLPHUKET LODGING</t>
  </si>
  <si>
    <t>American Express Cards - Blue for Students amex</t>
  </si>
  <si>
    <t>FOREIGN TRANSACTION FEE MARRIOTT VACATION CLUB</t>
  </si>
  <si>
    <t>COSTCO WHSE #0  05/24 #xxxxx2739 PURCHASE                   COSTCO WHSE #0422  SOUTH SAN FRA CA</t>
  </si>
  <si>
    <t>COSTCO WHSE #0  05/24 #xxxxx9535 PURCHASE                   COSTCO WHSE #0422  SOUTH SAN FRA CA</t>
  </si>
  <si>
    <t>COSTCO GAS #04  05/24 #xxxxx4144 PURCHASE                   COSTCO GAS #0422   SO SAN FRANC  CA</t>
  </si>
  <si>
    <t>WIRE TYPE:INTL IN DATE:xx0524 TIME:0540 ET                  TRN:xxxxxxxxxxxx9743 SEQ:532ORxxxx3290/6</t>
  </si>
  <si>
    <t>Other Expenses</t>
  </si>
  <si>
    <t>DOS CHARROS INC          SAN FRANCISCOCA</t>
  </si>
  <si>
    <t>DOS Charros Restaurant</t>
  </si>
  <si>
    <t>ARCO PAYPOINT   05/21 #xxxxx8702 PURCHASE                   ARCO PAYPOINT      SAN FRANCISCO CA</t>
  </si>
  <si>
    <t>CHEVRON xxx0787          SAN FRANCISCOCA</t>
  </si>
  <si>
    <t>BOULEVARD CAFE           DALY CITY    CA</t>
  </si>
  <si>
    <t>Deposit Discrepancy Adjustment xxx-xxx-5386</t>
  </si>
  <si>
    <t>BART  GROCERY            DALY CITY    CA</t>
  </si>
  <si>
    <t>Online Banking payment to CRD 4413                          Confirmation# xxxxxx9161</t>
  </si>
  <si>
    <t>LATE CHARGE ADJUSTMENT</t>
  </si>
  <si>
    <t>Charge/Fee</t>
  </si>
  <si>
    <t>INTEREST CHARGE ADJUSTMEN</t>
  </si>
  <si>
    <t>STARBUCKS STORE x5692    SAN MATEO    CA</t>
  </si>
  <si>
    <t>STATE OF CALIF DMV INT SCxxx-xxx0133  CA</t>
  </si>
  <si>
    <t>California Department Of Motor Vehicles</t>
  </si>
  <si>
    <t>PGANDE           DES:WEB ONLINE ID:xxxxxxxxxx1216            INDN:RONGKE LIN              CO ID:5940</t>
  </si>
  <si>
    <t>ALASKA AIR  0xxxxxxxx9240SEATTLE      WA</t>
  </si>
  <si>
    <t>VIRGIN AMER 9xxxxxxxx5808DALLAS       TX</t>
  </si>
  <si>
    <t>VIRGIN AMER 9xxxxxxxx0034FALLON       OK</t>
  </si>
  <si>
    <t>AMERICAN GREETINGS #0097 SAN FRANCISCOCA</t>
  </si>
  <si>
    <t>American Greetings</t>
  </si>
  <si>
    <t>LEE'S DELI-SPEAR         SAN FRANCISCOCA</t>
  </si>
  <si>
    <t>Lee's Deli</t>
  </si>
  <si>
    <t>COSTCO WHSE #0  05/09 #xxxxx8367 PURCHASE                   COSTCO WHSE #0422  SOUTH SAN FRA CA</t>
  </si>
  <si>
    <t>COSTCO GAS #04  05/09 #xxxxx9331 PURCHASE                   COSTCO GAS #0422   SO SAN FRANC  CA</t>
  </si>
  <si>
    <t>KINDLE-FINANCIALTI  xxx-xxx-107 UA4P1L8HY4D DIGITAL</t>
  </si>
  <si>
    <t>INTEREST CHARGED ON PURCHASES</t>
  </si>
  <si>
    <t>QUICKLY - BURLINGAME     BURLINGAME   CA</t>
  </si>
  <si>
    <t>Quickly</t>
  </si>
  <si>
    <t>RAMEN UNDERGROUND 1      SAN FRANCISCOCA</t>
  </si>
  <si>
    <t>COSTCO WHSE #0  05/05 #xxxxx1741 PURCHASE                   COSTCO WHSE #0422  SOUTH SAN FRA CA</t>
  </si>
  <si>
    <t>COSTCO GAS #04  05/05 #xxxxx9398 PURCHASE                   COSTCO GAS #0422   SO SAN FRANC  CA</t>
  </si>
  <si>
    <t>WWW.ITUNES.COM/BILL CUPERTINO MX7SZHF4M80 ITUNES STORE &amp; APP ST</t>
  </si>
  <si>
    <t>Online Banking transfer to BRK 1532                         Confirmation# xxxxxx0432</t>
  </si>
  <si>
    <t>Online Banking transfer to BRK 7114                         Confirmation# xxxxxx8633</t>
  </si>
  <si>
    <t>WALMART.COM              xxx-xxx-6546 AR</t>
  </si>
  <si>
    <t>Walmart</t>
  </si>
  <si>
    <t>AMERICAN EXPRESS DES:AM PMT     ID:A0612                     INDN:RONGKE LIN              CO ID:3133</t>
  </si>
  <si>
    <t>LOWES #xx252*            SEATTLE      WA</t>
  </si>
  <si>
    <t>MOLLIE STONES #5         SAN BRUNO    CA</t>
  </si>
  <si>
    <t>Mollie Stone's</t>
  </si>
  <si>
    <t>OCEAN STAR RESTAURANT    SEATTLE      WA</t>
  </si>
  <si>
    <t>Star Restaurant</t>
  </si>
  <si>
    <t>WALGREENS #2244          SAN FRANCISCOCA</t>
  </si>
  <si>
    <t>Car Related</t>
    <phoneticPr fontId="32" type="noConversion"/>
  </si>
  <si>
    <t>Travel</t>
    <phoneticPr fontId="32" type="noConversion"/>
  </si>
  <si>
    <t>Finance Charges</t>
    <phoneticPr fontId="32" type="noConversion"/>
  </si>
  <si>
    <t>Travel</t>
    <phoneticPr fontId="32" type="noConversion"/>
  </si>
  <si>
    <t>Public Transportation</t>
    <phoneticPr fontId="32" type="noConversion"/>
  </si>
  <si>
    <t>Restaurants/Dining</t>
    <phoneticPr fontId="32" type="noConversion"/>
  </si>
  <si>
    <t>pending</t>
  </si>
  <si>
    <t>Pending* CAFE VENUE SAN FRANCISCOUSCAFE VENUE SAN FRANCISCOUS</t>
  </si>
  <si>
    <t>Citi Credit Cards - Costco Anywhere Visa Business Card by Citi</t>
  </si>
  <si>
    <t>COSTCO GAS #0422 SOUTH SAN FRACA</t>
  </si>
  <si>
    <t>SQ *ALGIERS CAFE SAN FRANCISCOCA</t>
  </si>
  <si>
    <t>COSTCO WHSE #0422 SOUTH SAN FRACA</t>
  </si>
  <si>
    <t>COSTCO WHSE #0422        SOUTH SAN FRACA</t>
  </si>
  <si>
    <t>COSTCO GAS #0422         SOUTH SAN FRACA</t>
  </si>
  <si>
    <t>VALLEJO STREET GARAGE    SAN FRANCISCOCA</t>
  </si>
  <si>
    <t>Online Banking payment to CRD 3941                          Confirmation# xxxxxx1045</t>
  </si>
  <si>
    <t>HO INC           DES:CheckPAYMT Check :0656                 INDN:                        CO ID:1911</t>
  </si>
  <si>
    <t>Online Banking payment to CRD 5360                          Confirmation# xxxxxx7092</t>
  </si>
  <si>
    <t>Online Banking payment to CRD 5360                          Confirmation# xxxxxx7892</t>
  </si>
  <si>
    <t>REPUBLIC PARKING xx 593  SEATTLE      WA</t>
  </si>
  <si>
    <t>COSTCO GAS #0008         KIRKLAND     WA</t>
  </si>
  <si>
    <t>UBER   JUN21 US VH3WX    HELP.UBER.COMCA</t>
  </si>
  <si>
    <t>SQ *WALLA WALLA FARMS CAFSeattle      WA</t>
  </si>
  <si>
    <t>COSTCO GAS #00  06/19 #xxxxx1586 PURCHASE                   COSTCO GAS #0008   KIRKLAND      WA</t>
  </si>
  <si>
    <t>FUTURE OF FLIGHT AVIATIONxxx-xxx4777  WA</t>
  </si>
  <si>
    <t>SHELL OIL xxxxxxx9007    SEATTLE      WA</t>
  </si>
  <si>
    <t>FRED-MEYER #0179         SEATTLE      WA</t>
  </si>
  <si>
    <t>UBER   JUN17 US AVJUF    HELP.UBER.COMCA</t>
  </si>
  <si>
    <t>ASIAN FOOD CNTR SEATTLE  SEATTLE      WA</t>
  </si>
  <si>
    <t>SQ *SWEET CAKES NWI      KIRKLAND     WA</t>
  </si>
  <si>
    <t>SAFEWAY XXXX-XXXX-XXXX-3005</t>
  </si>
  <si>
    <t>YUE HUANG RESTAURANT I   SACRAMENTO   CA</t>
  </si>
  <si>
    <t>SALITO'S CRAB HOUSE      SAUSALITO    CA</t>
  </si>
  <si>
    <t>HONDA OF MARYSVILLE      MARYSVILLE   WA</t>
  </si>
  <si>
    <t>UBER   JUN17 US KGK75    HELP.UBER.COMCA</t>
  </si>
  <si>
    <t>COSTCO WHOLESALE</t>
  </si>
  <si>
    <t>MUIR WOODS VISITOR CENTERMILL VALLEY  CA</t>
  </si>
  <si>
    <t>STARBUCKS #x0114 SEATTLE Seattle      WA</t>
  </si>
  <si>
    <t>BLACKROCK        DES:DIRECT DEP ID:xxxxxxxxx3989SY           INDN:LIN,RONGKE              CO ID:9111</t>
  </si>
  <si>
    <t>DESIGNERS BRASS INC      xxx-xxx8480  CA</t>
  </si>
  <si>
    <t>PGANDE           DES:WEB ONLINE ID:xxxxxxxxxx1316            INDN:RONGKE LIN              CO ID:5940</t>
  </si>
  <si>
    <t>IN-N-OUT BURGER #124     PLEASANTON   CA</t>
  </si>
  <si>
    <t>HILTON SAN GABRIEL       SAN GABRIEL  CA</t>
  </si>
  <si>
    <t>THE GETTY                xxx-xxx-7300 CA</t>
  </si>
  <si>
    <t>MCDONALD'S F3029         BUTTONWILLOW CA</t>
  </si>
  <si>
    <t>COSTCO GAS</t>
  </si>
  <si>
    <t>COSTCO GAS          ALHAMBRA xxxxxxxxx   xxxxxx1892</t>
  </si>
  <si>
    <t>COSTCO WHOLESALE    ALHAMBRA xxxxxxxxx   xxxxxx7164</t>
  </si>
  <si>
    <t>MCDONALD'S Fx2566        COALINGA     CA</t>
  </si>
  <si>
    <t>LAX AIRPORT LOT P 4      LOS ANGELES  CA</t>
  </si>
  <si>
    <t>WWW.ITUNES.COM/BILL</t>
  </si>
  <si>
    <t>KINDLE-FINANCIALTI  xxx-xxx-107 EEMYQE6ERY2 DIGITAL</t>
  </si>
  <si>
    <t>SUZANNES CAKE AND PASTRY MILLBRAE     CA</t>
  </si>
  <si>
    <t>AMERICAN EXPRESS DES:AM PMT     ID:A5118                     INDN:RONGKE LIN              CO ID:3133</t>
  </si>
  <si>
    <t>MCDONALD'S M2888 OF CA   SAN JOSE     CA</t>
  </si>
  <si>
    <t>Citi Credit Cards - Costco Anywhere Visa  Business Card by Citi</t>
  </si>
  <si>
    <t>SAFEWAY STORE xxxx8787 MILBRAE CA</t>
  </si>
  <si>
    <t>COPENHAGEN BAKERY AND CAFBURLINGAME CA</t>
  </si>
  <si>
    <t>AIRBNB                   xxx-xxx-7262 CA</t>
  </si>
  <si>
    <t>Bank of America - Credit Card - BankAmericard Cash Rewards Visa Signatur</t>
  </si>
  <si>
    <t>IN-N-OUT BURGER #190 MILLBRAE CA</t>
  </si>
  <si>
    <t>MCDONALD'S Fx3001 MILLBRAE CA</t>
  </si>
  <si>
    <t>YANK SING - SPEAR ST SAN FRANCISCOCA</t>
  </si>
  <si>
    <t>Yank Sing Restaurant</t>
  </si>
  <si>
    <t>Bank of America - Credit Card - BankAmericard Travel Rewards Visa Signat</t>
  </si>
  <si>
    <t>Online Banking payment to CRD 5360                          Confirmation# xxxxxx9728</t>
  </si>
  <si>
    <t>MANILA ORIENTAL MARKET DALY CITY CA</t>
  </si>
  <si>
    <t>CARL'S JR 716 SAN BRUNO CA</t>
  </si>
  <si>
    <t>BKOFAMERICA MOBILE 07/23 xxxxxx7079 DEPOSIT                                    *MOBILE       CA</t>
  </si>
  <si>
    <t>BKOFAMERICA MOBILE 07/23 xxxxxx6762 DEPOSIT                                    *MOBILE       CA</t>
  </si>
  <si>
    <t>BKOFAMERICA MOBILE 07/23 xxxxxx7282 DEPOSIT                                    *MOBILE       CA</t>
  </si>
  <si>
    <t>I - TEA KEARNY SF SAN FRANCISCOCA</t>
  </si>
  <si>
    <t>Online Banking transfer to BRK 1532                         Confirmation# xxxxxx2057</t>
  </si>
  <si>
    <t>BKOFAMERICA MOBILE 07/21 xxxxxx7809 DEPOSIT                                    *MOBILE       CA</t>
  </si>
  <si>
    <t>SQ *RAINBOW T DESSE SAN FRANCISCOCA</t>
  </si>
  <si>
    <t>NAAN N CURRY DALY CITY CA</t>
  </si>
  <si>
    <t>WIRE TYPE:INTL IN DATE:xx0719 TIME:0542 ET                  TRN:xxxxxxxxxxxx7615 SEQ:xxxxxxxxxxx1577</t>
  </si>
  <si>
    <t>PAYPAL *BESTTIREWHE      xxx-xxx-7733 CA</t>
  </si>
  <si>
    <t>Check 657</t>
  </si>
  <si>
    <t>GONG CHA - SAN MATEO SAN MATEO CA</t>
  </si>
  <si>
    <t>RAMEN PARLOR SAN MATEO CA</t>
  </si>
  <si>
    <t>CITI AUTOPAY     DES:PAYMENT    ID:xxxxxxxxxxx9490           INDN:CHINESE GARDENS         CO ID:CITI</t>
  </si>
  <si>
    <t>Citibank</t>
  </si>
  <si>
    <t>BLACKROCK        DES:DIRECT DEP ID:xxxxxxxxx7559SY           INDN:LIN,RONGKE              CO ID:9111</t>
  </si>
  <si>
    <t>ONIGILLY - 3 SAN FRANCISCOCA</t>
  </si>
  <si>
    <t>AUTOPAY 9xxxxxxxxxx5327RAUTOPAY AUTO-PMT</t>
  </si>
  <si>
    <t>SUBWAY xxxx1574 SAN FRANCISCOCA</t>
  </si>
  <si>
    <t>CHEVRON xxx5690 SAN BRUNO CA</t>
  </si>
  <si>
    <t>BART-CLIPPER SAN BRUNO xxxxxx6474 CA</t>
  </si>
  <si>
    <t>Online Banking payment to CRD 5360                          Confirmation# xxxxxx9731</t>
  </si>
  <si>
    <t>Online Banking payment to CRD 3941                          Confirmation# xxxxxx7139</t>
  </si>
  <si>
    <t>Online Banking payment to MTG 7841                          Confirmation# xxxxxx9610</t>
  </si>
  <si>
    <t>KINDLE-FINANCIALTI  xxx-xxx-107 Y02S0KPEKX8 DIGITAL</t>
  </si>
  <si>
    <t>Art Of Reflexology Quick SAN BRUNO CA</t>
  </si>
  <si>
    <t>DANDJ AUTO REPAIR SAN BRUNO CA</t>
  </si>
  <si>
    <t>ACT*SB Recreation        xxx-xxx-4881 TX</t>
  </si>
  <si>
    <t>ABC CAFE SAN MATEO CA</t>
  </si>
  <si>
    <t>LOWES #xx019* SAN BRUNO CA</t>
  </si>
  <si>
    <t>MUNICIPAL TRANSPORTATION SAN FRANCISCOCA</t>
  </si>
  <si>
    <t>GHIRARDELLI #101-MNQ25 SAN FRANCISCOCA</t>
  </si>
  <si>
    <t>Ghirardelli Chocolate</t>
  </si>
  <si>
    <t>GUARDINO'S GIFT-SEAFOOD SAN FRANCISCOCA</t>
  </si>
  <si>
    <t>EXPRESS#0375             SAN FRANCISCOCA</t>
  </si>
  <si>
    <t>MACY'S EAST #430         SAN FRANCISCOCA</t>
  </si>
  <si>
    <t>TOYS R US #5821 REDWOOD CITY CA</t>
  </si>
  <si>
    <t>Toys R Us</t>
  </si>
  <si>
    <t>COSTCO GAS #0106 SEATTLE WA</t>
  </si>
  <si>
    <t>WAL-MART #2594 LYNNWOOD WA</t>
  </si>
  <si>
    <t>BLACKROCK        DES:INSPREMOT  ID:xxxxxxxxxxx2467           INDN:RONGKE LIN              CO ID:1124</t>
  </si>
  <si>
    <t>NUBI YOGURT MILLBRAE     MILLBRAE     CA</t>
  </si>
  <si>
    <t>Nubi Yogurt</t>
  </si>
  <si>
    <t>ABC CAFE                 SAN MATEO    CA</t>
  </si>
  <si>
    <t>Online scheduled payment to CSL 4521                        Confirmation# xxxxxx0564</t>
  </si>
  <si>
    <t>SQ *EGGETTES-MILLBR MILLBRAE CA</t>
  </si>
  <si>
    <t>Bank of America Credit Card Bill Payment</t>
  </si>
  <si>
    <t>Online Banking payment to CRD 5360                          Confirmation# xxxxxx6205</t>
  </si>
  <si>
    <t>PAYMENT - THANK YOU</t>
  </si>
  <si>
    <t>Preferred Rewards-Safe Box Fee Discount of  $47.00</t>
  </si>
  <si>
    <t>USPS PO BOXES xxxxxxxx xxx-xxx7779 DC</t>
  </si>
  <si>
    <t>MCDONALD'S Fx6234        VALLEJO      CA</t>
  </si>
  <si>
    <t>VINNYS ITALIAN KITCHEN   MEDFORD      OR</t>
  </si>
  <si>
    <t>PANDA EXPRESS #1861      VACAVILLE    CA</t>
  </si>
  <si>
    <t>Panda Express</t>
  </si>
  <si>
    <t>WAL-MART #5839           MEDFORD      OR</t>
  </si>
  <si>
    <t>COSTCO GAS #0065 MEDFORD OR</t>
  </si>
  <si>
    <t>COSTCO WHSE #0065 MEDFORD OR</t>
  </si>
  <si>
    <t>OREGON AVENUE FOOD MART KLAMATH FALLSOR</t>
  </si>
  <si>
    <t>KUKJE DELI &amp; SUSHI       DALY CITY    CA</t>
  </si>
  <si>
    <t>TU SMARTMOVE             xxx-xxx-0961 CO</t>
  </si>
  <si>
    <t>CITI AUTOPAY     DES:PAYMENT    ID:xxxxxxxxxxx1498           INDN:CHINESE GARDENS         CO ID:CITI</t>
  </si>
  <si>
    <t>PAYPAL           DES:TRANSFER   ID:5CMJ29SN69TB2             INDN:RONGKE LIN              CO ID:PAYP</t>
  </si>
  <si>
    <t>HOUSERIE TENANT SCREEN xxxxxx6584 CA</t>
  </si>
  <si>
    <t>Online Banking transfer to BRK 6K15                         Confirmation# xxxxxx6678</t>
  </si>
  <si>
    <t>BKOFAMERICA MOBILE 08/15 xxxxxx8404 DEPOSIT                                    *MOBILE       CA</t>
  </si>
  <si>
    <t>CHIPOTLE 1102 DALY CITY CA</t>
  </si>
  <si>
    <t>ALASKA AIR 0xxxxxxxx6669SEATTLE WA NAME: LIN/RONGKE DEPART: 08/29/2016 TO PDX : AS: CLASS: T : STOP: O SFO TO SEA : AS: CLASS: G : STOP: TO GEG : : CLASS: Y : STOP: O TO SFO : AS: CLASS: T : STOP: X</t>
  </si>
  <si>
    <t>SORABOL RINCON LLC SAN FRANCISCOCA</t>
  </si>
  <si>
    <t>KINDLE-FINANCIALTI xxx-xxxxx-xxx-1072 WA</t>
  </si>
  <si>
    <t>99 RANCH #1769 DALY CITY CA</t>
  </si>
  <si>
    <t>CITI CARD ONLINE DES:PAYMENT    ID:xxxxxxxxxxx0459           INDN:YIMING LIN              CO ID:CITI</t>
  </si>
  <si>
    <t>Online Banking payment to MTG 7841                          Confirmation# xxxxxx4411</t>
  </si>
  <si>
    <t>Online Banking payment to CSL 4521                          Confirmation# xxxxxx7778</t>
  </si>
  <si>
    <t>BASKIN #xx0121 Q35 MILLBRAE CA</t>
  </si>
  <si>
    <t>Baskin-Robbins</t>
  </si>
  <si>
    <t>RAMEN SAN FRANCISCOCA</t>
  </si>
  <si>
    <t>WALMART.COM xxxxxxxxxx   xxx-xxx-6546 AR</t>
  </si>
  <si>
    <t>SAFEWAY  STORExxxx0312   DALY CITY    CA</t>
  </si>
  <si>
    <t>Z-New Asset</t>
  </si>
  <si>
    <t>Online scheduled payment to CSL 4521                        Confirmation# xxxxxx8957</t>
  </si>
  <si>
    <t>Online Banking transfer from BRK 6K15                       Confirmation# xxxxxx6130</t>
  </si>
  <si>
    <t>BABIES R US #6558        COLMA        CA</t>
  </si>
  <si>
    <t>Babies''R''Us</t>
  </si>
  <si>
    <t>TOYSRUS-BABIESRUS        800-TOYSRUS  PA</t>
  </si>
  <si>
    <t>AT&amp;T   *PAYMENT          xxx-xxx-2020 TX</t>
  </si>
  <si>
    <t>Pending* AMAZON MKTPLACE PMTS AMZN.COM/BILLUS AMAZON MKTPLACE PMTS AMZN.COM/BILLUS</t>
  </si>
  <si>
    <t>Online Banking transfer from BRK 6K15                       Confirmation# xxxxxx1332</t>
  </si>
  <si>
    <t>ALASKA AIR  0xxxxxxxx7839SEATTLE      WA</t>
  </si>
  <si>
    <t>ALASKA AIR  0xxxxxxxx7838SEATTLE      WA</t>
  </si>
  <si>
    <t>MIXBOOK.COM              xxx-xxx-2665 CA</t>
  </si>
  <si>
    <t>Mixbook</t>
  </si>
  <si>
    <t>PGANDE           DES:WEB ONLINE ID:xxxxxxxxxx1816            INDN:RONGKE LIN              CO ID:5940</t>
  </si>
  <si>
    <t>ORCHARD SUPPLY #210      MILLBRAE     CA</t>
  </si>
  <si>
    <t>Orchard Supply Hardware</t>
  </si>
  <si>
    <t>MIXBOOK.COM              xxxxxx2665   CA</t>
  </si>
  <si>
    <t>AMAZON MKTPLACE PMTS AMZN.COM/BILLWA</t>
  </si>
  <si>
    <t>AMZ*S&amp;D Print amzn.com/pmtsWA</t>
  </si>
  <si>
    <t>CITY OF SM PW PARKING ME SAN MATEO    CA</t>
  </si>
  <si>
    <t>PAYPAL           DES:INST XFER  ID:DISCOUNTMAG               INDN:RONGKE LIN              CO ID:PAYP</t>
  </si>
  <si>
    <t>LOWES            DES:PAYMENT    ID:xxxxxxxxxxx5481           INDN:      xxxxxxxxxxxx4817  CO ID:9069</t>
  </si>
  <si>
    <t>CITI AUTOPAY     DES:PAYMENT    ID:xxxxxxxxxxx7700           INDN:CHINESE GARDENS         CO ID:CITI</t>
  </si>
  <si>
    <t>Check 1006</t>
  </si>
  <si>
    <t>xxx76 - SFO PARKINGCENTRASAN FRANCISCOCA</t>
  </si>
  <si>
    <t>ORCHARD SUPPLY #210 MILLBRAE CA</t>
  </si>
  <si>
    <t>AMAZON DIGITAL SVCS xxx-xxxx-xxx-1072 WA</t>
  </si>
  <si>
    <t>Online Banking transfer from BRK 1532                       Confirmation# xxxxxx3550</t>
  </si>
  <si>
    <t>Check 1004</t>
  </si>
  <si>
    <t>WALGREENS #2939 SAN BRUNO CA</t>
  </si>
  <si>
    <t>CMSVEND*CV BAY AREA VEND SAN JOSE CA</t>
  </si>
  <si>
    <t>Online scheduled payment to MTG 7841                        Confirmation# xxxxxx7690</t>
  </si>
  <si>
    <t>Online Banking payment to CRD 3941                          Confirmation# xxxxxx2811</t>
  </si>
  <si>
    <t>Online Banking payment to CRD 5360                          Confirmation# xxxxxx8633</t>
  </si>
  <si>
    <t>BKOFAMERICA MOBILE 11/01 xxxxxx3675 DEPOSIT                                    *MOBILE       CA</t>
  </si>
  <si>
    <t>Mobile/Email Transfer Conf# xxxxx8389;                      MINTAI LIU</t>
  </si>
  <si>
    <t>GNC #x9185 SAN BRUNO CA</t>
  </si>
  <si>
    <t>GNC</t>
  </si>
  <si>
    <t>Online scheduled payment to CSL 4521                        Confirmation# xxxxxx9181</t>
  </si>
  <si>
    <t>COMCAST BELLINGH CS 1X xxx-xxx-2278 WA</t>
  </si>
  <si>
    <t>Comcast</t>
  </si>
  <si>
    <t>DELTA AIR 0xxxxxxxx7141DELTA.COM CA NAME: LIN/MARK DEPART: 11/12/2016 SFO TO SEA : DL: CLASS: V : STOP: O TO : : CLASS: : STOP: X TO GEG : DL: CLASS: V : STOP:</t>
  </si>
  <si>
    <t>DELTA AIR 0xxxxxxxx7142DELTA.COM CA NAME: UN/RONGHUI DEPART: 11/12/2016 TO GEG : DL: CLASS: V : STOP: TO : : CLASS: : STOP: X SFO TO SEA : DL: CLASS: V : STOP: O</t>
  </si>
  <si>
    <t>CITI AUTOPAY     DES:PAYMENT    ID:xxxxxxxxxxx4186           INDN:CHINESE GARDENS         CO ID:CITI</t>
  </si>
  <si>
    <t>WIRE TYPE:INTL IN DATE:xx1011 TIME:0813 ET                  TRN:xxxxxxxxxxxx4789 SEQ:xxxxxxxxxxx2261</t>
  </si>
  <si>
    <t>Check 659</t>
  </si>
  <si>
    <t>ROSS STORES #396 DALY CITY CA</t>
  </si>
  <si>
    <t>Ross Stores, Inc.</t>
  </si>
  <si>
    <t>KINDLE-FinancialTi xxx-xxx-1072 WA</t>
  </si>
  <si>
    <t>LUCKY #748 SAN BRUN SAN BRUNO CA</t>
  </si>
  <si>
    <t>Lucky Supermarket</t>
  </si>
  <si>
    <t>WIRE TYPE:INTL IN DATE:xx1007 TIME:0524 ET                  TRN:xxxxxxxxxxxx1259 SEQ:xxxxxxxxxxx1148</t>
  </si>
  <si>
    <t>SQ *PHILZ COFFEE INC South San FraCA</t>
  </si>
  <si>
    <t>Philz Coffee Inc</t>
  </si>
  <si>
    <t>BKOFAMERICA ATM 10/06 #xxxxx7170 DEPOSIT                    MILLBRAE           MILLBRAE      CA</t>
  </si>
  <si>
    <t>ALUMNI GROUPS/EVENTS xxx-xxx0000 MA</t>
  </si>
  <si>
    <t>Check 658</t>
  </si>
  <si>
    <t>SUBWAY xxxx3032 SAN FRANCISCOCA</t>
  </si>
  <si>
    <t>WAYFAIR*Wayfair wayfair.com MA</t>
  </si>
  <si>
    <t>Wayfair LLC</t>
  </si>
  <si>
    <t>Online scheduled payment to MTG 7841                        Confirmation# xxxxxx0700</t>
  </si>
  <si>
    <t>BKOFAMERICA MOBILE 09/30 xxxxxx4168 DEPOSIT                                    *MOBILE       CA</t>
  </si>
  <si>
    <t>Lowes CC         DES:LWS EPAY   ID:xxxxxx9103                INDN:      xxxxxxxxxxxx4817  CO ID:9069</t>
  </si>
  <si>
    <t>BKOFAMERICA MOBILE 09/29 xxxxxx9737 DEPOSIT                                    *MOBILE       CA</t>
  </si>
  <si>
    <t>SFMTA 5TH &amp; MISSION GARA SAN FRANCISCOCA</t>
  </si>
  <si>
    <t>Fifth &amp; Mission</t>
  </si>
  <si>
    <t>GOOD2GO-INTERNET xxx-xxx-8246 WA</t>
  </si>
  <si>
    <t>AmazonPrime Membership amzn.com/prmeWA</t>
  </si>
  <si>
    <t>Online Banking payment to CRD 3941                          Confirmation# xxxxxx0856</t>
  </si>
  <si>
    <t>Online scheduled payment to CSL 4521                        Confirmation# xxxxxx3063</t>
  </si>
  <si>
    <t>Online Banking payment to CRD 5360                          Confirmation# xxxxxx8638</t>
  </si>
  <si>
    <t>BKOFAMERICA MOBILE 09/24 xxxxxx8904 DEPOSIT                                    *MOBILE       CA</t>
  </si>
  <si>
    <t>LUCKY #748 SAN BRUN      SAN BRUNO    CA</t>
  </si>
  <si>
    <t>Office Depot</t>
  </si>
  <si>
    <t>USPS PO xxxxxx0160       MILLBRAE     CA</t>
  </si>
  <si>
    <t>COSTCO GAS #0475 SOUTH SAN FRACA</t>
  </si>
  <si>
    <t>KAISER xxxx0348          DALY CITY    CA</t>
  </si>
  <si>
    <t>TOKYO SUSHI &amp; BAR SOUTH SAN FRACA</t>
  </si>
  <si>
    <t>ALASKA AIR 0xxxxxxxx4768SEATTLE WA NAME: LIN/MARK DEPART: 10/04/2016 TO SFO : AS: CLASS: T : STOP: X GEG TO SEA : AS: CLASS: T : STOP:</t>
  </si>
  <si>
    <t>ALASKA AIR 0xxxxxxxx4769SEATTLE WA NAME: SUN/RONGHUI DEPART: 10/04/2016 TO SFO : AS: CLASS: T : STOP: X GEG TO SEA : AS: CLASS: T : STOP:</t>
  </si>
  <si>
    <t>THE HOME DEPOT #1092     DALY CITY    CA</t>
  </si>
  <si>
    <t>COSTCO GAS #1042 REDWOOD CITY CA</t>
  </si>
  <si>
    <t>KFC/AW #230 MILLBRAE CA</t>
  </si>
  <si>
    <t>COSTCO WHSE #0144 SAN FRANCISCOCA</t>
  </si>
  <si>
    <t>UBER US AUG16 T7OPW HELP.UBER.COMCA</t>
  </si>
  <si>
    <t>APPLE STORE  #R033       SAN FRANCISCOCA</t>
  </si>
  <si>
    <t>CITI AUTOPAY     DES:PAYMENT    ID:xxxxxxxxxxx3570           INDN:CHINESE GARDENS         CO ID:CITI</t>
  </si>
  <si>
    <t>SQ *PHILZ COFFEE IN      SOUTH SAN FRACA</t>
  </si>
  <si>
    <t>Philz. Coffee.</t>
  </si>
  <si>
    <t>CELIA'S SAN BRUNO CA</t>
  </si>
  <si>
    <t>Online Banking transfer from BRK 6K15                       Confirmation# xxxxxx1595</t>
  </si>
  <si>
    <t>HOUSE OF XIAN DUMPLING   SAN FRANCISCOCA</t>
  </si>
  <si>
    <t>BI-RITE CREAMERY         SAN FRANCISCOCA</t>
  </si>
  <si>
    <t>The Creamery</t>
  </si>
  <si>
    <t>DELFINA BURLINGAME       BURLINGAME   CA</t>
  </si>
  <si>
    <t>BURGER KING #6260        SAN BRUNO    CA</t>
  </si>
  <si>
    <t>SAFEWAY  STORExxxx7831   LAFAYETTE    CA</t>
  </si>
  <si>
    <t>STUMPTOWN PDX - 318 PORTLAND OR</t>
  </si>
  <si>
    <t>Online scheduled payment to MTG 7841                        Confirmation# xxxxxx7365</t>
  </si>
  <si>
    <t>COSTCO *Mxxxxxxxx9000 ISSAQUAH WA</t>
  </si>
  <si>
    <t>Groceries</t>
    <phoneticPr fontId="32" type="noConversion"/>
  </si>
  <si>
    <t>D-Restaurant</t>
    <phoneticPr fontId="32" type="noConversion"/>
  </si>
  <si>
    <t>Paychecks/Salary</t>
    <phoneticPr fontId="32" type="noConversion"/>
  </si>
  <si>
    <t>Utilities</t>
    <phoneticPr fontId="32" type="noConversion"/>
  </si>
  <si>
    <t>D-Restaurant</t>
    <phoneticPr fontId="32" type="noConversion"/>
  </si>
  <si>
    <t>Gifts</t>
    <phoneticPr fontId="32" type="noConversion"/>
  </si>
  <si>
    <t>Medical</t>
    <phoneticPr fontId="32" type="noConversion"/>
  </si>
  <si>
    <t>Car Related</t>
    <phoneticPr fontId="32" type="noConversion"/>
  </si>
  <si>
    <t>Uncategorized</t>
    <phoneticPr fontId="32" type="noConversion"/>
  </si>
  <si>
    <t>Parking</t>
    <phoneticPr fontId="32" type="noConversion"/>
  </si>
  <si>
    <t>Seattle House</t>
    <phoneticPr fontId="32" type="noConversion"/>
  </si>
  <si>
    <t>Charity</t>
    <phoneticPr fontId="32" type="noConversion"/>
  </si>
  <si>
    <t>Transfers</t>
    <phoneticPr fontId="32" type="noConversion"/>
  </si>
  <si>
    <t>Restaurants/Dining - Coffee</t>
    <phoneticPr fontId="32" type="noConversion"/>
  </si>
  <si>
    <t>Transfers</t>
    <phoneticPr fontId="32" type="noConversion"/>
  </si>
  <si>
    <t>Parent Support</t>
    <phoneticPr fontId="32" type="noConversion"/>
  </si>
  <si>
    <t>Parent Support</t>
    <phoneticPr fontId="32" type="noConversion"/>
  </si>
  <si>
    <t>Seattle House</t>
    <phoneticPr fontId="32" type="noConversion"/>
  </si>
  <si>
    <t>Health Care</t>
    <phoneticPr fontId="32" type="noConversion"/>
  </si>
  <si>
    <t>Movies/Software/Online Service</t>
    <phoneticPr fontId="32" type="noConversion"/>
  </si>
  <si>
    <t>Property Tax</t>
    <phoneticPr fontId="32" type="noConversion"/>
  </si>
  <si>
    <t>Newspapers</t>
    <phoneticPr fontId="32" type="noConversion"/>
  </si>
  <si>
    <t>Home Improvement</t>
    <phoneticPr fontId="32" type="noConversion"/>
  </si>
  <si>
    <t>Dues and Subscriptions</t>
    <phoneticPr fontId="32" type="noConversion"/>
  </si>
  <si>
    <t>Books</t>
    <phoneticPr fontId="32" type="noConversion"/>
  </si>
  <si>
    <t>Movies/Software/Online Service</t>
    <phoneticPr fontId="32" type="noConversion"/>
  </si>
  <si>
    <t>Mortgages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</si>
</sst>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76" formatCode="_-* #,##0.00_-;\-* #,##0.00_-;_-* &quot;-&quot;??_-;_-@_-"/>
    <numFmt numFmtId="177" formatCode="#,##0.00_ ;[Red]\-#,##0.00\ "/>
  </numFmts>
  <fonts count="3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name val="Tahoma"/>
      <family val="2"/>
    </font>
    <font>
      <b/>
      <sz val="14"/>
      <color indexed="9"/>
      <name val="Tahoma"/>
      <family val="2"/>
    </font>
    <font>
      <sz val="14"/>
      <color indexed="9"/>
      <name val="Bookman Old Style"/>
      <family val="1"/>
    </font>
    <font>
      <b/>
      <sz val="16"/>
      <name val="Tahoma"/>
      <family val="2"/>
    </font>
    <font>
      <b/>
      <sz val="12"/>
      <name val="Tahoma"/>
      <family val="2"/>
    </font>
    <font>
      <sz val="10"/>
      <color indexed="10"/>
      <name val="Tahoma"/>
      <family val="2"/>
    </font>
    <font>
      <b/>
      <sz val="10"/>
      <name val="Tahoma"/>
      <family val="2"/>
    </font>
    <font>
      <b/>
      <sz val="10"/>
      <color indexed="10"/>
      <name val="Bookman Old Style"/>
      <family val="1"/>
    </font>
    <font>
      <b/>
      <sz val="9"/>
      <color indexed="9"/>
      <name val="Tahoma"/>
      <family val="2"/>
    </font>
    <font>
      <b/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sz val="11"/>
      <color theme="0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10" applyNumberFormat="0" applyAlignment="0" applyProtection="0"/>
    <xf numFmtId="0" fontId="23" fillId="12" borderId="11" applyNumberFormat="0" applyAlignment="0" applyProtection="0"/>
    <xf numFmtId="0" fontId="24" fillId="12" borderId="10" applyNumberFormat="0" applyAlignment="0" applyProtection="0"/>
    <xf numFmtId="0" fontId="25" fillId="0" borderId="12" applyNumberFormat="0" applyFill="0" applyAlignment="0" applyProtection="0"/>
    <xf numFmtId="0" fontId="26" fillId="13" borderId="13" applyNumberFormat="0" applyAlignment="0" applyProtection="0"/>
    <xf numFmtId="0" fontId="27" fillId="0" borderId="0" applyNumberFormat="0" applyFill="0" applyBorder="0" applyAlignment="0" applyProtection="0"/>
    <xf numFmtId="0" fontId="1" fillId="14" borderId="14" applyNumberFormat="0" applyFont="0" applyAlignment="0" applyProtection="0"/>
    <xf numFmtId="0" fontId="28" fillId="0" borderId="0" applyNumberFormat="0" applyFill="0" applyBorder="0" applyAlignment="0" applyProtection="0"/>
    <xf numFmtId="0" fontId="14" fillId="0" borderId="15" applyNumberFormat="0" applyFill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9" fillId="38" borderId="0" applyNumberFormat="0" applyBorder="0" applyAlignment="0" applyProtection="0"/>
    <xf numFmtId="176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68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9" fontId="0" fillId="0" borderId="0" xfId="0" applyNumberFormat="1"/>
    <xf numFmtId="8" fontId="0" fillId="0" borderId="0" xfId="0" applyNumberFormat="1"/>
    <xf numFmtId="6" fontId="0" fillId="0" borderId="0" xfId="0" applyNumberFormat="1"/>
    <xf numFmtId="44" fontId="0" fillId="0" borderId="0" xfId="0" applyNumberFormat="1"/>
    <xf numFmtId="0" fontId="2" fillId="0" borderId="1" xfId="0" applyFont="1" applyFill="1" applyBorder="1" applyAlignment="1" applyProtection="1">
      <protection locked="0" hidden="1"/>
    </xf>
    <xf numFmtId="40" fontId="2" fillId="0" borderId="4" xfId="0" applyNumberFormat="1" applyFont="1" applyFill="1" applyBorder="1" applyAlignment="1" applyProtection="1">
      <protection locked="0" hidden="1"/>
    </xf>
    <xf numFmtId="40" fontId="8" fillId="4" borderId="4" xfId="0" applyNumberFormat="1" applyFont="1" applyFill="1" applyBorder="1" applyAlignment="1" applyProtection="1">
      <protection locked="0" hidden="1"/>
    </xf>
    <xf numFmtId="40" fontId="8" fillId="4" borderId="4" xfId="0" applyNumberFormat="1" applyFont="1" applyFill="1" applyBorder="1" applyAlignment="1" applyProtection="1">
      <protection hidden="1"/>
    </xf>
    <xf numFmtId="0" fontId="9" fillId="0" borderId="1" xfId="0" applyFont="1" applyFill="1" applyBorder="1" applyAlignment="1"/>
    <xf numFmtId="0" fontId="9" fillId="0" borderId="2" xfId="0" applyFont="1" applyFill="1" applyBorder="1" applyAlignment="1"/>
    <xf numFmtId="0" fontId="9" fillId="0" borderId="3" xfId="0" applyFont="1" applyFill="1" applyBorder="1" applyAlignment="1"/>
    <xf numFmtId="40" fontId="10" fillId="2" borderId="5" xfId="0" applyNumberFormat="1" applyFont="1" applyFill="1" applyBorder="1" applyAlignment="1">
      <alignment horizontal="centerContinuous"/>
    </xf>
    <xf numFmtId="40" fontId="11" fillId="0" borderId="5" xfId="0" applyNumberFormat="1" applyFont="1" applyFill="1" applyBorder="1" applyAlignment="1">
      <alignment horizontal="centerContinuous"/>
    </xf>
    <xf numFmtId="40" fontId="9" fillId="0" borderId="2" xfId="0" applyNumberFormat="1" applyFont="1" applyFill="1" applyBorder="1" applyAlignment="1"/>
    <xf numFmtId="0" fontId="0" fillId="5" borderId="0" xfId="0" applyFill="1"/>
    <xf numFmtId="44" fontId="0" fillId="5" borderId="0" xfId="1" applyFont="1" applyFill="1"/>
    <xf numFmtId="44" fontId="0" fillId="5" borderId="0" xfId="0" applyNumberFormat="1" applyFill="1"/>
    <xf numFmtId="6" fontId="0" fillId="0" borderId="0" xfId="1" applyNumberFormat="1" applyFont="1"/>
    <xf numFmtId="9" fontId="0" fillId="5" borderId="0" xfId="2" applyFont="1" applyFill="1"/>
    <xf numFmtId="8" fontId="0" fillId="5" borderId="0" xfId="0" applyNumberFormat="1" applyFill="1"/>
    <xf numFmtId="0" fontId="0" fillId="6" borderId="0" xfId="0" applyFill="1"/>
    <xf numFmtId="44" fontId="0" fillId="6" borderId="0" xfId="0" applyNumberFormat="1" applyFill="1"/>
    <xf numFmtId="8" fontId="0" fillId="6" borderId="0" xfId="0" applyNumberFormat="1" applyFill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/>
    <xf numFmtId="16" fontId="0" fillId="0" borderId="0" xfId="0" applyNumberFormat="1"/>
    <xf numFmtId="4" fontId="0" fillId="0" borderId="0" xfId="0" applyNumberFormat="1"/>
    <xf numFmtId="17" fontId="0" fillId="0" borderId="0" xfId="0" applyNumberFormat="1"/>
    <xf numFmtId="0" fontId="2" fillId="7" borderId="1" xfId="0" applyFont="1" applyFill="1" applyBorder="1" applyAlignment="1" applyProtection="1">
      <protection locked="0" hidden="1"/>
    </xf>
    <xf numFmtId="40" fontId="2" fillId="7" borderId="4" xfId="0" applyNumberFormat="1" applyFont="1" applyFill="1" applyBorder="1" applyAlignment="1" applyProtection="1">
      <protection locked="0" hidden="1"/>
    </xf>
    <xf numFmtId="40" fontId="8" fillId="7" borderId="4" xfId="0" applyNumberFormat="1" applyFont="1" applyFill="1" applyBorder="1" applyAlignment="1" applyProtection="1">
      <protection locked="0" hidden="1"/>
    </xf>
    <xf numFmtId="40" fontId="8" fillId="7" borderId="4" xfId="0" applyNumberFormat="1" applyFont="1" applyFill="1" applyBorder="1" applyAlignment="1" applyProtection="1">
      <protection hidden="1"/>
    </xf>
    <xf numFmtId="40" fontId="8" fillId="0" borderId="4" xfId="0" applyNumberFormat="1" applyFont="1" applyFill="1" applyBorder="1" applyAlignment="1" applyProtection="1">
      <protection hidden="1"/>
    </xf>
    <xf numFmtId="40" fontId="2" fillId="0" borderId="6" xfId="0" applyNumberFormat="1" applyFont="1" applyFill="1" applyBorder="1" applyAlignment="1" applyProtection="1">
      <protection locked="0" hidden="1"/>
    </xf>
    <xf numFmtId="40" fontId="0" fillId="0" borderId="0" xfId="0" applyNumberFormat="1"/>
    <xf numFmtId="0" fontId="14" fillId="0" borderId="0" xfId="0" applyFont="1"/>
    <xf numFmtId="40" fontId="14" fillId="0" borderId="0" xfId="0" applyNumberFormat="1" applyFont="1"/>
    <xf numFmtId="1" fontId="0" fillId="0" borderId="0" xfId="0" applyNumberFormat="1"/>
    <xf numFmtId="0" fontId="0" fillId="0" borderId="0" xfId="0"/>
    <xf numFmtId="14" fontId="0" fillId="0" borderId="0" xfId="0" applyNumberFormat="1"/>
    <xf numFmtId="4" fontId="0" fillId="0" borderId="0" xfId="0" applyNumberFormat="1"/>
    <xf numFmtId="0" fontId="14" fillId="39" borderId="0" xfId="0" applyFont="1" applyFill="1"/>
    <xf numFmtId="0" fontId="0" fillId="0" borderId="0" xfId="0"/>
    <xf numFmtId="14" fontId="0" fillId="0" borderId="0" xfId="0" applyNumberFormat="1"/>
    <xf numFmtId="4" fontId="0" fillId="0" borderId="0" xfId="0" applyNumberFormat="1"/>
    <xf numFmtId="14" fontId="0" fillId="5" borderId="0" xfId="0" applyNumberFormat="1" applyFill="1"/>
    <xf numFmtId="176" fontId="0" fillId="0" borderId="0" xfId="44" applyFont="1"/>
    <xf numFmtId="177" fontId="0" fillId="0" borderId="0" xfId="44" applyNumberFormat="1" applyFont="1"/>
    <xf numFmtId="0" fontId="0" fillId="0" borderId="0" xfId="0" applyFill="1"/>
    <xf numFmtId="14" fontId="0" fillId="0" borderId="0" xfId="0" applyNumberFormat="1" applyFill="1"/>
    <xf numFmtId="4" fontId="0" fillId="0" borderId="0" xfId="0" applyNumberFormat="1" applyFill="1"/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2" borderId="1" xfId="0" applyFont="1" applyFill="1" applyBorder="1" applyAlignment="1" applyProtection="1">
      <protection locked="0" hidden="1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3" borderId="1" xfId="0" applyFont="1" applyFill="1" applyBorder="1" applyAlignment="1" applyProtection="1">
      <alignment vertical="center"/>
      <protection locked="0" hidden="1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6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44" builtinId="3"/>
    <cellStyle name="Currency" xfId="1" builtinId="4"/>
    <cellStyle name="Explanatory Text" xfId="18" builtinId="53" customBuilti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55"/>
  <sheetViews>
    <sheetView topLeftCell="L13" workbookViewId="0">
      <selection activeCell="P29" sqref="P29"/>
    </sheetView>
  </sheetViews>
  <sheetFormatPr defaultColWidth="8.85546875" defaultRowHeight="15.75" x14ac:dyDescent="0.25"/>
  <cols>
    <col min="1" max="1" width="12.42578125" customWidth="1"/>
    <col min="2" max="2" width="14" customWidth="1"/>
    <col min="3" max="3" width="11.7109375" bestFit="1" customWidth="1"/>
    <col min="4" max="4" width="10.42578125" customWidth="1"/>
    <col min="5" max="5" width="12.140625" bestFit="1" customWidth="1"/>
    <col min="6" max="6" width="11.140625" bestFit="1" customWidth="1"/>
    <col min="7" max="7" width="12.140625" bestFit="1" customWidth="1"/>
    <col min="8" max="8" width="17.7109375" customWidth="1"/>
    <col min="9" max="9" width="13.42578125" customWidth="1"/>
    <col min="12" max="13" width="12.42578125" customWidth="1"/>
    <col min="15" max="15" width="17.28515625" bestFit="1" customWidth="1"/>
    <col min="16" max="27" width="10.28515625" bestFit="1" customWidth="1"/>
    <col min="28" max="28" width="11.42578125" bestFit="1" customWidth="1"/>
  </cols>
  <sheetData>
    <row r="1" spans="1:31" x14ac:dyDescent="0.25">
      <c r="A1" t="s">
        <v>10</v>
      </c>
      <c r="P1" s="14" t="s">
        <v>45</v>
      </c>
      <c r="Q1" s="15" t="s">
        <v>46</v>
      </c>
      <c r="R1" s="14" t="s">
        <v>47</v>
      </c>
      <c r="S1" s="15" t="s">
        <v>48</v>
      </c>
      <c r="T1" s="14" t="s">
        <v>49</v>
      </c>
      <c r="U1" s="15" t="s">
        <v>50</v>
      </c>
      <c r="V1" s="14" t="s">
        <v>51</v>
      </c>
      <c r="W1" s="15" t="s">
        <v>52</v>
      </c>
      <c r="X1" s="14" t="s">
        <v>53</v>
      </c>
      <c r="Y1" s="15" t="s">
        <v>54</v>
      </c>
      <c r="Z1" s="14" t="s">
        <v>55</v>
      </c>
      <c r="AA1" s="15" t="s">
        <v>56</v>
      </c>
      <c r="AB1" s="14" t="s">
        <v>12</v>
      </c>
    </row>
    <row r="2" spans="1:31" s="2" customFormat="1" ht="31.5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O2" s="61" t="s">
        <v>22</v>
      </c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3"/>
    </row>
    <row r="3" spans="1:31" ht="18" x14ac:dyDescent="0.25">
      <c r="A3" t="s">
        <v>1</v>
      </c>
      <c r="B3" s="20">
        <v>80000</v>
      </c>
      <c r="C3">
        <v>4</v>
      </c>
      <c r="D3" s="3">
        <v>0.08</v>
      </c>
      <c r="E3" s="4">
        <f>PPMT(D3/12,1,C3*12,0,-B3,1)</f>
        <v>1410.2984642253627</v>
      </c>
      <c r="O3" s="58" t="s">
        <v>21</v>
      </c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60"/>
      <c r="AD3" t="s">
        <v>182</v>
      </c>
      <c r="AE3" t="s">
        <v>17</v>
      </c>
    </row>
    <row r="4" spans="1:31" x14ac:dyDescent="0.25">
      <c r="A4" t="s">
        <v>6</v>
      </c>
      <c r="B4" s="5">
        <v>40000</v>
      </c>
      <c r="C4">
        <v>2</v>
      </c>
      <c r="D4" s="3">
        <v>0.08</v>
      </c>
      <c r="E4" s="4">
        <f>PPMT(D4/12,1,C4*12,0,-B4,1)</f>
        <v>1532.2102565371183</v>
      </c>
      <c r="O4" s="32" t="s">
        <v>18</v>
      </c>
      <c r="P4" s="33">
        <v>3117</v>
      </c>
      <c r="Q4" s="33">
        <f t="shared" ref="Q4:AA5" si="0">P4</f>
        <v>3117</v>
      </c>
      <c r="R4" s="33">
        <f t="shared" si="0"/>
        <v>3117</v>
      </c>
      <c r="S4" s="33">
        <f t="shared" si="0"/>
        <v>3117</v>
      </c>
      <c r="T4" s="33">
        <f t="shared" si="0"/>
        <v>3117</v>
      </c>
      <c r="U4" s="33">
        <f t="shared" si="0"/>
        <v>3117</v>
      </c>
      <c r="V4" s="33">
        <f t="shared" si="0"/>
        <v>3117</v>
      </c>
      <c r="W4" s="33">
        <f t="shared" si="0"/>
        <v>3117</v>
      </c>
      <c r="X4" s="33">
        <f t="shared" si="0"/>
        <v>3117</v>
      </c>
      <c r="Y4" s="33">
        <f t="shared" si="0"/>
        <v>3117</v>
      </c>
      <c r="Z4" s="33">
        <f t="shared" si="0"/>
        <v>3117</v>
      </c>
      <c r="AA4" s="33">
        <f t="shared" si="0"/>
        <v>3117</v>
      </c>
      <c r="AB4" s="34">
        <f t="shared" ref="AB4:AB11" si="1">SUM(P4:AA4)</f>
        <v>37404</v>
      </c>
    </row>
    <row r="5" spans="1:31" x14ac:dyDescent="0.25">
      <c r="A5" t="s">
        <v>7</v>
      </c>
      <c r="B5" s="5">
        <v>7000</v>
      </c>
      <c r="C5">
        <v>1.5</v>
      </c>
      <c r="D5" s="3">
        <v>0.08</v>
      </c>
      <c r="E5" s="4">
        <f>PPMT(D5/12,1,C5*12,0,-B5,1)</f>
        <v>364.88287096983413</v>
      </c>
      <c r="O5" s="32" t="s">
        <v>19</v>
      </c>
      <c r="P5" s="33">
        <v>100</v>
      </c>
      <c r="Q5" s="33">
        <f>P5</f>
        <v>100</v>
      </c>
      <c r="R5" s="33">
        <f t="shared" si="0"/>
        <v>100</v>
      </c>
      <c r="S5" s="33">
        <f t="shared" si="0"/>
        <v>100</v>
      </c>
      <c r="T5" s="33">
        <f t="shared" si="0"/>
        <v>100</v>
      </c>
      <c r="U5" s="33">
        <f t="shared" si="0"/>
        <v>100</v>
      </c>
      <c r="V5" s="33">
        <f t="shared" si="0"/>
        <v>100</v>
      </c>
      <c r="W5" s="33">
        <f t="shared" si="0"/>
        <v>100</v>
      </c>
      <c r="X5" s="33">
        <f t="shared" si="0"/>
        <v>100</v>
      </c>
      <c r="Y5" s="33">
        <f t="shared" si="0"/>
        <v>100</v>
      </c>
      <c r="Z5" s="33">
        <f t="shared" si="0"/>
        <v>100</v>
      </c>
      <c r="AA5" s="33">
        <f t="shared" si="0"/>
        <v>100</v>
      </c>
      <c r="AB5" s="34">
        <f t="shared" si="1"/>
        <v>1200</v>
      </c>
    </row>
    <row r="6" spans="1:31" x14ac:dyDescent="0.25">
      <c r="A6" t="s">
        <v>58</v>
      </c>
      <c r="B6" s="5">
        <v>3000</v>
      </c>
      <c r="C6">
        <v>1</v>
      </c>
      <c r="D6" s="3">
        <v>0</v>
      </c>
      <c r="E6" s="4">
        <f>PPMT(D6/12,1,C6*12,0,-B6,1)</f>
        <v>250</v>
      </c>
      <c r="F6" s="4"/>
      <c r="O6" s="32" t="s">
        <v>20</v>
      </c>
      <c r="P6" s="33">
        <v>170</v>
      </c>
      <c r="Q6" s="33">
        <f>P6</f>
        <v>170</v>
      </c>
      <c r="R6" s="33">
        <f t="shared" ref="R6:AA8" si="2">Q6</f>
        <v>170</v>
      </c>
      <c r="S6" s="33">
        <f t="shared" si="2"/>
        <v>170</v>
      </c>
      <c r="T6" s="33">
        <f t="shared" si="2"/>
        <v>170</v>
      </c>
      <c r="U6" s="33">
        <f t="shared" si="2"/>
        <v>170</v>
      </c>
      <c r="V6" s="33">
        <f t="shared" si="2"/>
        <v>170</v>
      </c>
      <c r="W6" s="33">
        <f t="shared" si="2"/>
        <v>170</v>
      </c>
      <c r="X6" s="33">
        <f t="shared" si="2"/>
        <v>170</v>
      </c>
      <c r="Y6" s="33">
        <f t="shared" si="2"/>
        <v>170</v>
      </c>
      <c r="Z6" s="33">
        <f t="shared" si="2"/>
        <v>170</v>
      </c>
      <c r="AA6" s="33">
        <f t="shared" si="2"/>
        <v>170</v>
      </c>
      <c r="AB6" s="35">
        <f t="shared" si="1"/>
        <v>2040</v>
      </c>
      <c r="AD6">
        <v>720</v>
      </c>
      <c r="AE6">
        <f>AD6/12</f>
        <v>60</v>
      </c>
    </row>
    <row r="7" spans="1:31" x14ac:dyDescent="0.25">
      <c r="A7" t="s">
        <v>8</v>
      </c>
      <c r="B7" s="5">
        <v>50000</v>
      </c>
      <c r="C7">
        <v>3</v>
      </c>
      <c r="D7" s="3">
        <v>0.05</v>
      </c>
      <c r="E7" s="4">
        <f>PPMT(D7/12,1,C7*12,0,-B7,1)</f>
        <v>1284.8579471202727</v>
      </c>
      <c r="O7" s="32" t="s">
        <v>177</v>
      </c>
      <c r="P7" s="33">
        <v>500</v>
      </c>
      <c r="Q7" s="33">
        <v>500</v>
      </c>
      <c r="R7" s="33">
        <v>500</v>
      </c>
      <c r="S7" s="33">
        <v>500</v>
      </c>
      <c r="T7" s="33">
        <v>500</v>
      </c>
      <c r="U7" s="33">
        <v>500</v>
      </c>
      <c r="V7" s="33">
        <v>500</v>
      </c>
      <c r="W7" s="33">
        <v>500</v>
      </c>
      <c r="X7" s="33">
        <v>500</v>
      </c>
      <c r="Y7" s="33">
        <v>500</v>
      </c>
      <c r="Z7" s="33">
        <v>500</v>
      </c>
      <c r="AA7" s="33">
        <v>500</v>
      </c>
      <c r="AB7" s="35">
        <f t="shared" si="1"/>
        <v>6000</v>
      </c>
      <c r="AD7">
        <v>6000</v>
      </c>
      <c r="AE7">
        <f>AD7/12</f>
        <v>500</v>
      </c>
    </row>
    <row r="8" spans="1:31" x14ac:dyDescent="0.25">
      <c r="A8" s="17" t="s">
        <v>9</v>
      </c>
      <c r="B8" s="19">
        <f>SUM(B3:B7)</f>
        <v>180000</v>
      </c>
      <c r="C8" s="17"/>
      <c r="D8" s="21">
        <f>SUMPRODUCT(B3:B7,D3:D7)/B8</f>
        <v>7.0333333333333331E-2</v>
      </c>
      <c r="E8" s="22">
        <f>SUM(E3:E7)</f>
        <v>4842.2495388525876</v>
      </c>
      <c r="O8" s="32" t="s">
        <v>175</v>
      </c>
      <c r="P8" s="33">
        <v>60</v>
      </c>
      <c r="Q8" s="33">
        <f>P8</f>
        <v>60</v>
      </c>
      <c r="R8" s="33">
        <f t="shared" si="2"/>
        <v>60</v>
      </c>
      <c r="S8" s="33">
        <f t="shared" si="2"/>
        <v>60</v>
      </c>
      <c r="T8" s="33">
        <f t="shared" si="2"/>
        <v>60</v>
      </c>
      <c r="U8" s="33">
        <f t="shared" si="2"/>
        <v>60</v>
      </c>
      <c r="V8" s="33">
        <f t="shared" si="2"/>
        <v>60</v>
      </c>
      <c r="W8" s="33">
        <f t="shared" si="2"/>
        <v>60</v>
      </c>
      <c r="X8" s="33">
        <f t="shared" si="2"/>
        <v>60</v>
      </c>
      <c r="Y8" s="33">
        <f t="shared" si="2"/>
        <v>60</v>
      </c>
      <c r="Z8" s="33">
        <f t="shared" si="2"/>
        <v>60</v>
      </c>
      <c r="AA8" s="33">
        <f t="shared" si="2"/>
        <v>60</v>
      </c>
      <c r="AB8" s="35">
        <f t="shared" si="1"/>
        <v>720</v>
      </c>
    </row>
    <row r="9" spans="1:31" x14ac:dyDescent="0.25">
      <c r="A9" t="s">
        <v>11</v>
      </c>
      <c r="O9" s="32" t="s">
        <v>181</v>
      </c>
      <c r="P9" s="33">
        <v>100</v>
      </c>
      <c r="Q9" s="33">
        <f>P9</f>
        <v>100</v>
      </c>
      <c r="R9" s="33">
        <f t="shared" ref="R9:AA9" si="3">Q9</f>
        <v>100</v>
      </c>
      <c r="S9" s="33">
        <f t="shared" si="3"/>
        <v>100</v>
      </c>
      <c r="T9" s="33">
        <f t="shared" si="3"/>
        <v>100</v>
      </c>
      <c r="U9" s="33">
        <f t="shared" si="3"/>
        <v>100</v>
      </c>
      <c r="V9" s="33">
        <f t="shared" si="3"/>
        <v>100</v>
      </c>
      <c r="W9" s="33">
        <f t="shared" si="3"/>
        <v>100</v>
      </c>
      <c r="X9" s="33">
        <f t="shared" si="3"/>
        <v>100</v>
      </c>
      <c r="Y9" s="33">
        <f t="shared" si="3"/>
        <v>100</v>
      </c>
      <c r="Z9" s="33">
        <f t="shared" si="3"/>
        <v>100</v>
      </c>
      <c r="AA9" s="33">
        <f t="shared" si="3"/>
        <v>100</v>
      </c>
      <c r="AB9" s="35">
        <f t="shared" si="1"/>
        <v>1200</v>
      </c>
      <c r="AD9">
        <v>1200</v>
      </c>
      <c r="AE9">
        <f>AD9/12</f>
        <v>100</v>
      </c>
    </row>
    <row r="10" spans="1:31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s="17" t="s">
        <v>17</v>
      </c>
      <c r="G10" t="s">
        <v>63</v>
      </c>
      <c r="H10" t="s">
        <v>64</v>
      </c>
      <c r="I10" t="s">
        <v>15</v>
      </c>
      <c r="J10" s="17" t="s">
        <v>65</v>
      </c>
      <c r="K10" t="s">
        <v>66</v>
      </c>
      <c r="L10" t="s">
        <v>67</v>
      </c>
      <c r="M10" s="17" t="s">
        <v>68</v>
      </c>
      <c r="O10" s="32" t="s">
        <v>57</v>
      </c>
      <c r="P10" s="33">
        <v>60</v>
      </c>
      <c r="Q10" s="33">
        <f>P10</f>
        <v>60</v>
      </c>
      <c r="R10" s="33">
        <f t="shared" ref="R10:AA10" si="4">Q10</f>
        <v>60</v>
      </c>
      <c r="S10" s="33">
        <f t="shared" si="4"/>
        <v>60</v>
      </c>
      <c r="T10" s="33">
        <f t="shared" si="4"/>
        <v>60</v>
      </c>
      <c r="U10" s="33">
        <f t="shared" si="4"/>
        <v>60</v>
      </c>
      <c r="V10" s="33">
        <f t="shared" si="4"/>
        <v>60</v>
      </c>
      <c r="W10" s="33">
        <f t="shared" si="4"/>
        <v>60</v>
      </c>
      <c r="X10" s="33">
        <f t="shared" si="4"/>
        <v>60</v>
      </c>
      <c r="Y10" s="33">
        <f t="shared" si="4"/>
        <v>60</v>
      </c>
      <c r="Z10" s="33">
        <f t="shared" si="4"/>
        <v>60</v>
      </c>
      <c r="AA10" s="33">
        <f t="shared" si="4"/>
        <v>60</v>
      </c>
      <c r="AB10" s="35">
        <f t="shared" si="1"/>
        <v>720</v>
      </c>
    </row>
    <row r="11" spans="1:31" x14ac:dyDescent="0.25">
      <c r="A11">
        <v>1</v>
      </c>
      <c r="B11">
        <v>110000</v>
      </c>
      <c r="C11" s="3">
        <v>0.3</v>
      </c>
      <c r="D11" s="3">
        <v>0.1</v>
      </c>
      <c r="E11" s="1">
        <f>B11*(1-C11-D11)</f>
        <v>66000</v>
      </c>
      <c r="F11" s="18">
        <f>E11/12</f>
        <v>5500</v>
      </c>
      <c r="G11">
        <v>40000</v>
      </c>
      <c r="H11" s="3">
        <v>0.4</v>
      </c>
      <c r="I11" s="3">
        <v>0.1</v>
      </c>
      <c r="J11" s="17">
        <f>G11*(1-H11-I11)</f>
        <v>20000</v>
      </c>
      <c r="K11">
        <f>B11+G11</f>
        <v>150000</v>
      </c>
      <c r="L11" s="6">
        <f>J11+E11</f>
        <v>86000</v>
      </c>
      <c r="M11" s="19">
        <f>L11/12</f>
        <v>7166.666666666667</v>
      </c>
      <c r="O11" s="10" t="s">
        <v>23</v>
      </c>
      <c r="P11" s="10">
        <f t="shared" ref="P11:AA11" si="5">SUM(P4:P10)</f>
        <v>4107</v>
      </c>
      <c r="Q11" s="10">
        <f t="shared" si="5"/>
        <v>4107</v>
      </c>
      <c r="R11" s="10">
        <f t="shared" si="5"/>
        <v>4107</v>
      </c>
      <c r="S11" s="10">
        <f t="shared" si="5"/>
        <v>4107</v>
      </c>
      <c r="T11" s="10">
        <f t="shared" si="5"/>
        <v>4107</v>
      </c>
      <c r="U11" s="10">
        <f t="shared" si="5"/>
        <v>4107</v>
      </c>
      <c r="V11" s="10">
        <f t="shared" si="5"/>
        <v>4107</v>
      </c>
      <c r="W11" s="10">
        <f t="shared" si="5"/>
        <v>4107</v>
      </c>
      <c r="X11" s="10">
        <f t="shared" si="5"/>
        <v>4107</v>
      </c>
      <c r="Y11" s="10">
        <f t="shared" si="5"/>
        <v>4107</v>
      </c>
      <c r="Z11" s="10">
        <f t="shared" si="5"/>
        <v>4107</v>
      </c>
      <c r="AA11" s="10">
        <f t="shared" si="5"/>
        <v>4107</v>
      </c>
      <c r="AB11" s="10">
        <f t="shared" si="1"/>
        <v>49284</v>
      </c>
    </row>
    <row r="12" spans="1:31" ht="18" x14ac:dyDescent="0.25">
      <c r="A12">
        <v>2</v>
      </c>
      <c r="B12">
        <v>115000</v>
      </c>
      <c r="C12" s="3">
        <v>0.3</v>
      </c>
      <c r="D12" s="3">
        <v>0.1</v>
      </c>
      <c r="E12" s="1">
        <f>B12*(1-C12-D12)</f>
        <v>69000</v>
      </c>
      <c r="F12" s="18">
        <f>E12/12</f>
        <v>5750</v>
      </c>
      <c r="G12">
        <v>47000</v>
      </c>
      <c r="H12" s="3">
        <v>0.4</v>
      </c>
      <c r="I12" s="3">
        <v>0.1</v>
      </c>
      <c r="J12" s="17">
        <f>G12*(1-H12-I12)</f>
        <v>23500</v>
      </c>
      <c r="K12">
        <f>B12+G12</f>
        <v>162000</v>
      </c>
      <c r="L12" s="6">
        <f>J12+E12</f>
        <v>92500</v>
      </c>
      <c r="M12" s="19">
        <f>L12/12</f>
        <v>7708.333333333333</v>
      </c>
      <c r="O12" s="58" t="s">
        <v>43</v>
      </c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1:31" x14ac:dyDescent="0.25">
      <c r="A13">
        <v>3</v>
      </c>
      <c r="B13">
        <v>150000</v>
      </c>
      <c r="C13" s="3">
        <v>0.3</v>
      </c>
      <c r="D13" s="3">
        <v>0.08</v>
      </c>
      <c r="E13" s="1">
        <f>B13*(1-C13-D13)</f>
        <v>93000</v>
      </c>
      <c r="F13" s="18">
        <f>E13/12</f>
        <v>7750</v>
      </c>
      <c r="G13">
        <v>60000</v>
      </c>
      <c r="H13" s="3">
        <v>0.4</v>
      </c>
      <c r="I13" s="3">
        <v>0.1</v>
      </c>
      <c r="J13" s="17">
        <f>G13*(1-H13-I13)</f>
        <v>30000</v>
      </c>
      <c r="K13">
        <f>B13+G13</f>
        <v>210000</v>
      </c>
      <c r="L13" s="6">
        <f>J13+E13</f>
        <v>123000</v>
      </c>
      <c r="M13" s="19">
        <f>L13/12</f>
        <v>10250</v>
      </c>
      <c r="O13" s="7" t="s">
        <v>60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36">
        <f>SUM(P13:AA13)</f>
        <v>0</v>
      </c>
      <c r="AD13">
        <v>2000</v>
      </c>
      <c r="AE13">
        <f>AD13/12</f>
        <v>166.66666666666666</v>
      </c>
    </row>
    <row r="14" spans="1:31" x14ac:dyDescent="0.25">
      <c r="A14">
        <v>4</v>
      </c>
      <c r="B14">
        <v>175000</v>
      </c>
      <c r="C14" s="3">
        <v>0.3</v>
      </c>
      <c r="D14" s="3">
        <v>0.08</v>
      </c>
      <c r="E14" s="1">
        <f>B14*(1-C14-D14)</f>
        <v>108500</v>
      </c>
      <c r="F14" s="18">
        <f>E14/12</f>
        <v>9041.6666666666661</v>
      </c>
      <c r="G14">
        <v>70000</v>
      </c>
      <c r="H14" s="3">
        <v>0.4</v>
      </c>
      <c r="I14" s="3">
        <v>0.1</v>
      </c>
      <c r="J14" s="17">
        <f>G14*(1-H14-I14)</f>
        <v>35000</v>
      </c>
      <c r="K14">
        <f>B14+G14</f>
        <v>245000</v>
      </c>
      <c r="L14" s="6">
        <f>J14+E14</f>
        <v>143500</v>
      </c>
      <c r="M14" s="19">
        <f>L14/12</f>
        <v>11958.333333333334</v>
      </c>
      <c r="O14" s="32" t="s">
        <v>180</v>
      </c>
      <c r="P14" s="33">
        <v>170</v>
      </c>
      <c r="Q14" s="33">
        <f>P14</f>
        <v>170</v>
      </c>
      <c r="R14" s="33">
        <f t="shared" ref="R14:AA14" si="6">Q14</f>
        <v>170</v>
      </c>
      <c r="S14" s="33">
        <f t="shared" si="6"/>
        <v>170</v>
      </c>
      <c r="T14" s="33">
        <f t="shared" si="6"/>
        <v>170</v>
      </c>
      <c r="U14" s="33">
        <f t="shared" si="6"/>
        <v>170</v>
      </c>
      <c r="V14" s="33">
        <f t="shared" si="6"/>
        <v>170</v>
      </c>
      <c r="W14" s="33">
        <f t="shared" si="6"/>
        <v>170</v>
      </c>
      <c r="X14" s="33">
        <f t="shared" si="6"/>
        <v>170</v>
      </c>
      <c r="Y14" s="33">
        <f t="shared" si="6"/>
        <v>170</v>
      </c>
      <c r="Z14" s="33">
        <f t="shared" si="6"/>
        <v>170</v>
      </c>
      <c r="AA14" s="33">
        <f t="shared" si="6"/>
        <v>170</v>
      </c>
      <c r="AB14" s="35">
        <f>SUM(P14:AA14)</f>
        <v>2040</v>
      </c>
    </row>
    <row r="15" spans="1:31" x14ac:dyDescent="0.25">
      <c r="A15">
        <v>5</v>
      </c>
      <c r="B15">
        <v>175000</v>
      </c>
      <c r="C15" s="3">
        <v>0.3</v>
      </c>
      <c r="D15" s="3">
        <v>0.08</v>
      </c>
      <c r="E15" s="1">
        <f>B15*(1-C15-D15)</f>
        <v>108500</v>
      </c>
      <c r="F15" s="18">
        <f>E15/12</f>
        <v>9041.6666666666661</v>
      </c>
      <c r="G15">
        <v>80000</v>
      </c>
      <c r="H15" s="3">
        <v>0.4</v>
      </c>
      <c r="I15" s="3">
        <v>0.1</v>
      </c>
      <c r="J15" s="17">
        <f>G15*(1-H15-I15)</f>
        <v>40000</v>
      </c>
      <c r="K15">
        <f>B15+G15</f>
        <v>255000</v>
      </c>
      <c r="L15" s="6">
        <f>J15+E15</f>
        <v>148500</v>
      </c>
      <c r="M15" s="19">
        <f>L15/12</f>
        <v>12375</v>
      </c>
      <c r="O15" s="7" t="s">
        <v>61</v>
      </c>
      <c r="P15" s="8">
        <v>500</v>
      </c>
      <c r="Q15" s="8">
        <f>P15</f>
        <v>500</v>
      </c>
      <c r="R15" s="8">
        <f t="shared" ref="R15:AA15" si="7">Q15</f>
        <v>500</v>
      </c>
      <c r="S15" s="8">
        <f t="shared" si="7"/>
        <v>500</v>
      </c>
      <c r="T15" s="8">
        <f t="shared" si="7"/>
        <v>500</v>
      </c>
      <c r="U15" s="8">
        <f t="shared" si="7"/>
        <v>500</v>
      </c>
      <c r="V15" s="8">
        <f t="shared" si="7"/>
        <v>500</v>
      </c>
      <c r="W15" s="8">
        <f t="shared" si="7"/>
        <v>500</v>
      </c>
      <c r="X15" s="8">
        <f t="shared" si="7"/>
        <v>500</v>
      </c>
      <c r="Y15" s="8">
        <f t="shared" si="7"/>
        <v>500</v>
      </c>
      <c r="Z15" s="8">
        <f t="shared" si="7"/>
        <v>500</v>
      </c>
      <c r="AA15" s="8">
        <f t="shared" si="7"/>
        <v>500</v>
      </c>
      <c r="AB15" s="36">
        <f>SUM(P15:AA15)</f>
        <v>6000</v>
      </c>
    </row>
    <row r="16" spans="1:31" x14ac:dyDescent="0.25">
      <c r="O16" s="10" t="s">
        <v>44</v>
      </c>
      <c r="P16" s="9">
        <f t="shared" ref="P16:AB16" si="8">SUM(P13:P15)</f>
        <v>670</v>
      </c>
      <c r="Q16" s="9">
        <f t="shared" si="8"/>
        <v>670</v>
      </c>
      <c r="R16" s="9">
        <f t="shared" si="8"/>
        <v>670</v>
      </c>
      <c r="S16" s="9">
        <f t="shared" si="8"/>
        <v>670</v>
      </c>
      <c r="T16" s="9">
        <f t="shared" si="8"/>
        <v>670</v>
      </c>
      <c r="U16" s="9">
        <f t="shared" si="8"/>
        <v>670</v>
      </c>
      <c r="V16" s="9">
        <f t="shared" si="8"/>
        <v>670</v>
      </c>
      <c r="W16" s="9">
        <f t="shared" si="8"/>
        <v>670</v>
      </c>
      <c r="X16" s="9">
        <f t="shared" si="8"/>
        <v>670</v>
      </c>
      <c r="Y16" s="9">
        <f t="shared" si="8"/>
        <v>670</v>
      </c>
      <c r="Z16" s="9">
        <f t="shared" si="8"/>
        <v>670</v>
      </c>
      <c r="AA16" s="9">
        <f t="shared" si="8"/>
        <v>670</v>
      </c>
      <c r="AB16" s="10">
        <f t="shared" si="8"/>
        <v>8040</v>
      </c>
    </row>
    <row r="17" spans="1:32" x14ac:dyDescent="0.25">
      <c r="A17" s="23" t="s">
        <v>12</v>
      </c>
      <c r="B17" s="23" t="s">
        <v>69</v>
      </c>
      <c r="C17" s="23" t="s">
        <v>72</v>
      </c>
      <c r="D17" s="23" t="s">
        <v>70</v>
      </c>
      <c r="E17" s="23" t="s">
        <v>73</v>
      </c>
      <c r="F17" s="23" t="s">
        <v>71</v>
      </c>
      <c r="G17" s="23" t="s">
        <v>74</v>
      </c>
      <c r="H17" s="23" t="s">
        <v>75</v>
      </c>
      <c r="I17" s="23" t="s">
        <v>86</v>
      </c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3"/>
    </row>
    <row r="18" spans="1:32" ht="18" x14ac:dyDescent="0.25">
      <c r="A18" s="23">
        <v>1</v>
      </c>
      <c r="B18" s="24">
        <f>F11</f>
        <v>5500</v>
      </c>
      <c r="C18" s="24">
        <f>-$AB$52/12</f>
        <v>-5701.0999999999995</v>
      </c>
      <c r="D18" s="24">
        <f>B18+C18</f>
        <v>-201.09999999999945</v>
      </c>
      <c r="E18" s="25">
        <f>-B25</f>
        <v>-2600</v>
      </c>
      <c r="F18" s="24">
        <f>D18+E18</f>
        <v>-2801.0999999999995</v>
      </c>
      <c r="G18" s="24">
        <f>F18*12</f>
        <v>-33613.199999999997</v>
      </c>
      <c r="H18" s="24">
        <f>J11</f>
        <v>20000</v>
      </c>
      <c r="I18" s="24">
        <f>G18+H18</f>
        <v>-13613.199999999997</v>
      </c>
      <c r="O18" s="58" t="s">
        <v>24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60"/>
      <c r="AD18">
        <f>30/3</f>
        <v>10</v>
      </c>
      <c r="AE18">
        <f>AD18/4</f>
        <v>2.5</v>
      </c>
    </row>
    <row r="19" spans="1:32" x14ac:dyDescent="0.25">
      <c r="A19" s="23">
        <v>2</v>
      </c>
      <c r="B19" s="24">
        <f>F12</f>
        <v>5750</v>
      </c>
      <c r="C19" s="24">
        <f>-$AB$52/12</f>
        <v>-5701.0999999999995</v>
      </c>
      <c r="D19" s="24">
        <f>B19+C19</f>
        <v>48.900000000000546</v>
      </c>
      <c r="E19" s="25">
        <f>-B26</f>
        <v>-3600</v>
      </c>
      <c r="F19" s="24">
        <f>D19+E19</f>
        <v>-3551.0999999999995</v>
      </c>
      <c r="G19" s="24">
        <f>F19*12</f>
        <v>-42613.2</v>
      </c>
      <c r="H19" s="24">
        <f>J12</f>
        <v>23500</v>
      </c>
      <c r="I19" s="24">
        <f>G19+H19</f>
        <v>-19113.199999999997</v>
      </c>
      <c r="O19" s="32" t="s">
        <v>25</v>
      </c>
      <c r="P19" s="33">
        <v>100</v>
      </c>
      <c r="Q19" s="33">
        <v>100</v>
      </c>
      <c r="R19" s="33">
        <v>100</v>
      </c>
      <c r="S19" s="33">
        <v>100</v>
      </c>
      <c r="T19" s="33">
        <v>100</v>
      </c>
      <c r="U19" s="33">
        <v>100</v>
      </c>
      <c r="V19" s="33">
        <v>100</v>
      </c>
      <c r="W19" s="33">
        <v>100</v>
      </c>
      <c r="X19" s="33">
        <v>100</v>
      </c>
      <c r="Y19" s="33">
        <v>100</v>
      </c>
      <c r="Z19" s="33">
        <v>100</v>
      </c>
      <c r="AA19" s="33">
        <v>100</v>
      </c>
      <c r="AB19" s="35">
        <f>SUM(P19:AA19)</f>
        <v>1200</v>
      </c>
      <c r="AD19" s="37">
        <v>7</v>
      </c>
      <c r="AE19">
        <f>AD19*5</f>
        <v>35</v>
      </c>
      <c r="AF19">
        <f>AE19*4</f>
        <v>140</v>
      </c>
    </row>
    <row r="20" spans="1:32" x14ac:dyDescent="0.25">
      <c r="A20" s="23">
        <v>3</v>
      </c>
      <c r="B20" s="24">
        <f>F13</f>
        <v>7750</v>
      </c>
      <c r="C20" s="24">
        <f>-$AB$52/12</f>
        <v>-5701.0999999999995</v>
      </c>
      <c r="D20" s="24">
        <f>B20+C20</f>
        <v>2048.9000000000005</v>
      </c>
      <c r="E20" s="25">
        <f>-B27</f>
        <v>-4800</v>
      </c>
      <c r="F20" s="24">
        <f>D20+E20</f>
        <v>-2751.0999999999995</v>
      </c>
      <c r="G20" s="24">
        <f>F20*12</f>
        <v>-33013.199999999997</v>
      </c>
      <c r="H20" s="24">
        <f>J13</f>
        <v>30000</v>
      </c>
      <c r="I20" s="24">
        <f>G20+H20</f>
        <v>-3013.1999999999971</v>
      </c>
      <c r="O20" s="7" t="s">
        <v>98</v>
      </c>
      <c r="P20" s="8">
        <v>30</v>
      </c>
      <c r="Q20" s="8">
        <v>30</v>
      </c>
      <c r="R20" s="8">
        <v>30</v>
      </c>
      <c r="S20" s="8">
        <v>30</v>
      </c>
      <c r="T20" s="8">
        <v>30</v>
      </c>
      <c r="U20" s="8">
        <v>30</v>
      </c>
      <c r="V20" s="8">
        <v>30</v>
      </c>
      <c r="W20" s="8">
        <v>30</v>
      </c>
      <c r="X20" s="8">
        <v>30</v>
      </c>
      <c r="Y20" s="8">
        <v>30</v>
      </c>
      <c r="Z20" s="8">
        <v>30</v>
      </c>
      <c r="AA20" s="8">
        <v>30</v>
      </c>
      <c r="AB20" s="10">
        <f>SUM(P20:AA20)</f>
        <v>360</v>
      </c>
    </row>
    <row r="21" spans="1:32" x14ac:dyDescent="0.25">
      <c r="A21" s="23">
        <v>4</v>
      </c>
      <c r="B21" s="24">
        <f>F14</f>
        <v>9041.6666666666661</v>
      </c>
      <c r="C21" s="24">
        <f>-$AB$52/12</f>
        <v>-5701.0999999999995</v>
      </c>
      <c r="D21" s="24">
        <f>B21+C21</f>
        <v>3340.5666666666666</v>
      </c>
      <c r="E21" s="25">
        <f>-B28</f>
        <v>-4800</v>
      </c>
      <c r="F21" s="24">
        <f>D21+E21</f>
        <v>-1459.4333333333334</v>
      </c>
      <c r="G21" s="24">
        <f>F21*12</f>
        <v>-17513.2</v>
      </c>
      <c r="H21" s="24">
        <f>J14</f>
        <v>35000</v>
      </c>
      <c r="I21" s="24">
        <f>G21+H21</f>
        <v>17486.8</v>
      </c>
      <c r="O21" s="7" t="s">
        <v>99</v>
      </c>
      <c r="P21" s="8">
        <v>150</v>
      </c>
      <c r="Q21" s="8">
        <v>150</v>
      </c>
      <c r="R21" s="8">
        <v>150</v>
      </c>
      <c r="S21" s="8">
        <v>150</v>
      </c>
      <c r="T21" s="8">
        <v>150</v>
      </c>
      <c r="U21" s="8">
        <v>150</v>
      </c>
      <c r="V21" s="8">
        <v>150</v>
      </c>
      <c r="W21" s="8">
        <v>150</v>
      </c>
      <c r="X21" s="8">
        <v>150</v>
      </c>
      <c r="Y21" s="8">
        <v>150</v>
      </c>
      <c r="Z21" s="8">
        <v>150</v>
      </c>
      <c r="AA21" s="8">
        <v>150</v>
      </c>
      <c r="AB21" s="10">
        <f>SUM(P21:AA21)</f>
        <v>1800</v>
      </c>
    </row>
    <row r="22" spans="1:32" x14ac:dyDescent="0.25">
      <c r="A22" s="23">
        <v>5</v>
      </c>
      <c r="B22" s="24">
        <f>F15</f>
        <v>9041.6666666666661</v>
      </c>
      <c r="C22" s="24">
        <f>-$AB$52/12</f>
        <v>-5701.0999999999995</v>
      </c>
      <c r="D22" s="24">
        <f>B22+C22</f>
        <v>3340.5666666666666</v>
      </c>
      <c r="E22" s="25">
        <f>-B29</f>
        <v>-4800</v>
      </c>
      <c r="F22" s="24">
        <f>D22+E22</f>
        <v>-1459.4333333333334</v>
      </c>
      <c r="G22" s="24">
        <f>F22*12</f>
        <v>-17513.2</v>
      </c>
      <c r="H22" s="24">
        <f>J15</f>
        <v>40000</v>
      </c>
      <c r="I22" s="24">
        <f>G22+H22</f>
        <v>22486.799999999999</v>
      </c>
      <c r="O22" s="7" t="s">
        <v>97</v>
      </c>
      <c r="P22" s="8">
        <v>50</v>
      </c>
      <c r="Q22" s="8">
        <v>50</v>
      </c>
      <c r="R22" s="8">
        <v>50</v>
      </c>
      <c r="S22" s="8">
        <v>50</v>
      </c>
      <c r="T22" s="8">
        <v>50</v>
      </c>
      <c r="U22" s="8">
        <v>50</v>
      </c>
      <c r="V22" s="8">
        <v>50</v>
      </c>
      <c r="W22" s="8">
        <v>50</v>
      </c>
      <c r="X22" s="8">
        <v>50</v>
      </c>
      <c r="Y22" s="8">
        <v>50</v>
      </c>
      <c r="Z22" s="8">
        <v>50</v>
      </c>
      <c r="AA22" s="8">
        <v>50</v>
      </c>
      <c r="AB22" s="36">
        <f>SUM(P22:AA22)</f>
        <v>600</v>
      </c>
    </row>
    <row r="23" spans="1:32" x14ac:dyDescent="0.25">
      <c r="O23" s="10" t="s">
        <v>26</v>
      </c>
      <c r="P23" s="10">
        <f t="shared" ref="P23:AA23" si="9">SUM(P19:P22)</f>
        <v>330</v>
      </c>
      <c r="Q23" s="10">
        <f t="shared" si="9"/>
        <v>330</v>
      </c>
      <c r="R23" s="10">
        <f t="shared" si="9"/>
        <v>330</v>
      </c>
      <c r="S23" s="10">
        <f t="shared" si="9"/>
        <v>330</v>
      </c>
      <c r="T23" s="10">
        <f t="shared" si="9"/>
        <v>330</v>
      </c>
      <c r="U23" s="10">
        <f t="shared" si="9"/>
        <v>330</v>
      </c>
      <c r="V23" s="10">
        <f t="shared" si="9"/>
        <v>330</v>
      </c>
      <c r="W23" s="10">
        <f t="shared" si="9"/>
        <v>330</v>
      </c>
      <c r="X23" s="10">
        <f t="shared" si="9"/>
        <v>330</v>
      </c>
      <c r="Y23" s="10">
        <f t="shared" si="9"/>
        <v>330</v>
      </c>
      <c r="Z23" s="10">
        <f t="shared" si="9"/>
        <v>330</v>
      </c>
      <c r="AA23" s="10">
        <f t="shared" si="9"/>
        <v>330</v>
      </c>
      <c r="AB23" s="10">
        <f>SUM(P23:AA23)</f>
        <v>3960</v>
      </c>
    </row>
    <row r="24" spans="1:32" x14ac:dyDescent="0.25">
      <c r="A24" t="s">
        <v>12</v>
      </c>
      <c r="B24" t="s">
        <v>81</v>
      </c>
      <c r="C24" t="s">
        <v>87</v>
      </c>
      <c r="D24" t="s">
        <v>88</v>
      </c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3"/>
    </row>
    <row r="25" spans="1:32" ht="18" x14ac:dyDescent="0.25">
      <c r="A25">
        <v>1</v>
      </c>
      <c r="B25">
        <v>2600</v>
      </c>
      <c r="C25">
        <v>1600</v>
      </c>
      <c r="D25">
        <f>(B25-C25)*12</f>
        <v>12000</v>
      </c>
      <c r="O25" s="58" t="s">
        <v>27</v>
      </c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60"/>
    </row>
    <row r="26" spans="1:32" x14ac:dyDescent="0.25">
      <c r="A26">
        <v>2</v>
      </c>
      <c r="B26">
        <v>3600</v>
      </c>
      <c r="C26">
        <v>1000</v>
      </c>
      <c r="D26">
        <f>(B26-C26)*12</f>
        <v>31200</v>
      </c>
      <c r="O26" s="7" t="s">
        <v>59</v>
      </c>
      <c r="P26" s="8">
        <v>20</v>
      </c>
      <c r="Q26" s="8">
        <f>P26</f>
        <v>20</v>
      </c>
      <c r="R26" s="8">
        <f t="shared" ref="R26:AA26" si="10">Q26</f>
        <v>20</v>
      </c>
      <c r="S26" s="8">
        <f t="shared" si="10"/>
        <v>20</v>
      </c>
      <c r="T26" s="8">
        <f t="shared" si="10"/>
        <v>20</v>
      </c>
      <c r="U26" s="8">
        <f t="shared" si="10"/>
        <v>20</v>
      </c>
      <c r="V26" s="8">
        <f t="shared" si="10"/>
        <v>20</v>
      </c>
      <c r="W26" s="8">
        <f t="shared" si="10"/>
        <v>20</v>
      </c>
      <c r="X26" s="8">
        <f t="shared" si="10"/>
        <v>20</v>
      </c>
      <c r="Y26" s="8">
        <f t="shared" si="10"/>
        <v>20</v>
      </c>
      <c r="Z26" s="8">
        <f t="shared" si="10"/>
        <v>20</v>
      </c>
      <c r="AA26" s="8">
        <f t="shared" si="10"/>
        <v>20</v>
      </c>
      <c r="AB26" s="10">
        <f t="shared" ref="AB26:AB31" si="11">SUM(P26:AA26)</f>
        <v>240</v>
      </c>
      <c r="AD26">
        <v>230</v>
      </c>
      <c r="AE26">
        <f>AD26/12</f>
        <v>19.166666666666668</v>
      </c>
    </row>
    <row r="27" spans="1:32" x14ac:dyDescent="0.25">
      <c r="A27">
        <v>3</v>
      </c>
      <c r="B27">
        <v>4800</v>
      </c>
      <c r="C27">
        <v>3600</v>
      </c>
      <c r="D27">
        <f>(B27-C27)*12</f>
        <v>14400</v>
      </c>
      <c r="O27" s="7" t="s">
        <v>161</v>
      </c>
      <c r="P27" s="8">
        <v>50</v>
      </c>
      <c r="Q27" s="8">
        <f>P27</f>
        <v>50</v>
      </c>
      <c r="R27" s="8">
        <f t="shared" ref="R27:AA27" si="12">Q27</f>
        <v>50</v>
      </c>
      <c r="S27" s="8">
        <f t="shared" si="12"/>
        <v>50</v>
      </c>
      <c r="T27" s="8">
        <f t="shared" si="12"/>
        <v>50</v>
      </c>
      <c r="U27" s="8">
        <f t="shared" si="12"/>
        <v>50</v>
      </c>
      <c r="V27" s="8">
        <f t="shared" si="12"/>
        <v>50</v>
      </c>
      <c r="W27" s="8">
        <f t="shared" si="12"/>
        <v>50</v>
      </c>
      <c r="X27" s="8">
        <f t="shared" si="12"/>
        <v>50</v>
      </c>
      <c r="Y27" s="8">
        <f t="shared" si="12"/>
        <v>50</v>
      </c>
      <c r="Z27" s="8">
        <f t="shared" si="12"/>
        <v>50</v>
      </c>
      <c r="AA27" s="8">
        <f t="shared" si="12"/>
        <v>50</v>
      </c>
      <c r="AB27" s="10">
        <f t="shared" si="11"/>
        <v>600</v>
      </c>
    </row>
    <row r="28" spans="1:32" x14ac:dyDescent="0.25">
      <c r="A28">
        <v>4</v>
      </c>
      <c r="B28">
        <v>4800</v>
      </c>
      <c r="C28">
        <v>4800</v>
      </c>
      <c r="D28">
        <f>(B28-C28)*12</f>
        <v>0</v>
      </c>
      <c r="O28" s="32" t="s">
        <v>166</v>
      </c>
      <c r="P28" s="33">
        <v>100</v>
      </c>
      <c r="Q28" s="33">
        <f>P28</f>
        <v>100</v>
      </c>
      <c r="R28" s="33">
        <f t="shared" ref="R28:AA28" si="13">Q28</f>
        <v>100</v>
      </c>
      <c r="S28" s="33">
        <f t="shared" si="13"/>
        <v>100</v>
      </c>
      <c r="T28" s="33">
        <f t="shared" si="13"/>
        <v>100</v>
      </c>
      <c r="U28" s="33">
        <f t="shared" si="13"/>
        <v>100</v>
      </c>
      <c r="V28" s="33">
        <f t="shared" si="13"/>
        <v>100</v>
      </c>
      <c r="W28" s="33">
        <f t="shared" si="13"/>
        <v>100</v>
      </c>
      <c r="X28" s="33">
        <f t="shared" si="13"/>
        <v>100</v>
      </c>
      <c r="Y28" s="33">
        <f t="shared" si="13"/>
        <v>100</v>
      </c>
      <c r="Z28" s="33">
        <f t="shared" si="13"/>
        <v>100</v>
      </c>
      <c r="AA28" s="33">
        <f t="shared" si="13"/>
        <v>100</v>
      </c>
      <c r="AB28" s="35">
        <f t="shared" si="11"/>
        <v>1200</v>
      </c>
      <c r="AD28">
        <v>10</v>
      </c>
      <c r="AE28">
        <f>AD28*5</f>
        <v>50</v>
      </c>
      <c r="AF28">
        <f>+AE28*4</f>
        <v>200</v>
      </c>
    </row>
    <row r="29" spans="1:32" x14ac:dyDescent="0.25">
      <c r="A29">
        <v>5</v>
      </c>
      <c r="B29">
        <v>4800</v>
      </c>
      <c r="C29">
        <v>4800</v>
      </c>
      <c r="D29">
        <f>(B29-C29)*12</f>
        <v>0</v>
      </c>
      <c r="O29" s="32" t="s">
        <v>176</v>
      </c>
      <c r="P29" s="33">
        <v>19.100000000000001</v>
      </c>
      <c r="Q29" s="33">
        <f>P29</f>
        <v>19.100000000000001</v>
      </c>
      <c r="R29" s="33">
        <f t="shared" ref="R29:AA29" si="14">Q29</f>
        <v>19.100000000000001</v>
      </c>
      <c r="S29" s="33">
        <f t="shared" si="14"/>
        <v>19.100000000000001</v>
      </c>
      <c r="T29" s="33">
        <f t="shared" si="14"/>
        <v>19.100000000000001</v>
      </c>
      <c r="U29" s="33">
        <f t="shared" si="14"/>
        <v>19.100000000000001</v>
      </c>
      <c r="V29" s="33">
        <f t="shared" si="14"/>
        <v>19.100000000000001</v>
      </c>
      <c r="W29" s="33">
        <f t="shared" si="14"/>
        <v>19.100000000000001</v>
      </c>
      <c r="X29" s="33">
        <f t="shared" si="14"/>
        <v>19.100000000000001</v>
      </c>
      <c r="Y29" s="33">
        <f t="shared" si="14"/>
        <v>19.100000000000001</v>
      </c>
      <c r="Z29" s="33">
        <f t="shared" si="14"/>
        <v>19.100000000000001</v>
      </c>
      <c r="AA29" s="33">
        <f t="shared" si="14"/>
        <v>19.100000000000001</v>
      </c>
      <c r="AB29" s="35">
        <f t="shared" si="11"/>
        <v>229.19999999999996</v>
      </c>
    </row>
    <row r="30" spans="1:32" x14ac:dyDescent="0.25">
      <c r="O30" s="32" t="s">
        <v>28</v>
      </c>
      <c r="P30" s="33">
        <v>200</v>
      </c>
      <c r="Q30" s="33">
        <f>P30</f>
        <v>200</v>
      </c>
      <c r="R30" s="33">
        <f t="shared" ref="R30:AA30" si="15">Q30</f>
        <v>200</v>
      </c>
      <c r="S30" s="33">
        <f t="shared" si="15"/>
        <v>200</v>
      </c>
      <c r="T30" s="33">
        <f t="shared" si="15"/>
        <v>200</v>
      </c>
      <c r="U30" s="33">
        <f t="shared" si="15"/>
        <v>200</v>
      </c>
      <c r="V30" s="33">
        <f t="shared" si="15"/>
        <v>200</v>
      </c>
      <c r="W30" s="33">
        <f t="shared" si="15"/>
        <v>200</v>
      </c>
      <c r="X30" s="33">
        <f t="shared" si="15"/>
        <v>200</v>
      </c>
      <c r="Y30" s="33">
        <f t="shared" si="15"/>
        <v>200</v>
      </c>
      <c r="Z30" s="33">
        <f t="shared" si="15"/>
        <v>200</v>
      </c>
      <c r="AA30" s="33">
        <f t="shared" si="15"/>
        <v>200</v>
      </c>
      <c r="AB30" s="35">
        <f t="shared" si="11"/>
        <v>2400</v>
      </c>
    </row>
    <row r="31" spans="1:32" x14ac:dyDescent="0.25">
      <c r="O31" s="10" t="s">
        <v>29</v>
      </c>
      <c r="P31" s="10">
        <f t="shared" ref="P31:AA31" si="16">SUM(P26:P30)</f>
        <v>389.1</v>
      </c>
      <c r="Q31" s="10">
        <f t="shared" si="16"/>
        <v>389.1</v>
      </c>
      <c r="R31" s="10">
        <f t="shared" si="16"/>
        <v>389.1</v>
      </c>
      <c r="S31" s="10">
        <f t="shared" si="16"/>
        <v>389.1</v>
      </c>
      <c r="T31" s="10">
        <f t="shared" si="16"/>
        <v>389.1</v>
      </c>
      <c r="U31" s="10">
        <f t="shared" si="16"/>
        <v>389.1</v>
      </c>
      <c r="V31" s="10">
        <f t="shared" si="16"/>
        <v>389.1</v>
      </c>
      <c r="W31" s="10">
        <f t="shared" si="16"/>
        <v>389.1</v>
      </c>
      <c r="X31" s="10">
        <f t="shared" si="16"/>
        <v>389.1</v>
      </c>
      <c r="Y31" s="10">
        <f t="shared" si="16"/>
        <v>389.1</v>
      </c>
      <c r="Z31" s="10">
        <f t="shared" si="16"/>
        <v>389.1</v>
      </c>
      <c r="AA31" s="10">
        <f t="shared" si="16"/>
        <v>389.1</v>
      </c>
      <c r="AB31" s="10">
        <f t="shared" si="11"/>
        <v>4669.2</v>
      </c>
    </row>
    <row r="32" spans="1:32" x14ac:dyDescent="0.25">
      <c r="O32" s="1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3"/>
    </row>
    <row r="33" spans="15:28" ht="18" x14ac:dyDescent="0.25">
      <c r="O33" s="58" t="s">
        <v>39</v>
      </c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60"/>
    </row>
    <row r="34" spans="15:28" x14ac:dyDescent="0.25">
      <c r="O34" s="7" t="s">
        <v>30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10">
        <f t="shared" ref="AB34:AB42" si="17">SUM(P34:AA34)</f>
        <v>0</v>
      </c>
    </row>
    <row r="35" spans="15:28" x14ac:dyDescent="0.25">
      <c r="O35" s="7" t="s">
        <v>875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10">
        <f t="shared" si="17"/>
        <v>0</v>
      </c>
    </row>
    <row r="36" spans="15:28" x14ac:dyDescent="0.25">
      <c r="O36" s="7" t="s">
        <v>32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10">
        <f t="shared" si="17"/>
        <v>0</v>
      </c>
    </row>
    <row r="37" spans="15:28" x14ac:dyDescent="0.25">
      <c r="O37" s="7" t="s">
        <v>40</v>
      </c>
      <c r="P37" s="8">
        <v>100</v>
      </c>
      <c r="Q37" s="8">
        <v>100</v>
      </c>
      <c r="R37" s="8">
        <v>100</v>
      </c>
      <c r="S37" s="8">
        <v>100</v>
      </c>
      <c r="T37" s="8">
        <v>100</v>
      </c>
      <c r="U37" s="8">
        <v>100</v>
      </c>
      <c r="V37" s="8">
        <v>100</v>
      </c>
      <c r="W37" s="8">
        <v>100</v>
      </c>
      <c r="X37" s="8">
        <v>100</v>
      </c>
      <c r="Y37" s="8">
        <v>100</v>
      </c>
      <c r="Z37" s="8">
        <v>100</v>
      </c>
      <c r="AA37" s="8">
        <v>100</v>
      </c>
      <c r="AB37" s="10">
        <f t="shared" si="17"/>
        <v>1200</v>
      </c>
    </row>
    <row r="38" spans="15:28" x14ac:dyDescent="0.25">
      <c r="O38" s="7" t="s">
        <v>112</v>
      </c>
      <c r="P38" s="8">
        <v>0</v>
      </c>
      <c r="Q38" s="8">
        <f>P38</f>
        <v>0</v>
      </c>
      <c r="R38" s="8">
        <f t="shared" ref="R38:AA38" si="18">Q38</f>
        <v>0</v>
      </c>
      <c r="S38" s="8">
        <f t="shared" si="18"/>
        <v>0</v>
      </c>
      <c r="T38" s="8">
        <f t="shared" si="18"/>
        <v>0</v>
      </c>
      <c r="U38" s="8">
        <f t="shared" si="18"/>
        <v>0</v>
      </c>
      <c r="V38" s="8">
        <f t="shared" si="18"/>
        <v>0</v>
      </c>
      <c r="W38" s="8">
        <f t="shared" si="18"/>
        <v>0</v>
      </c>
      <c r="X38" s="8">
        <f t="shared" si="18"/>
        <v>0</v>
      </c>
      <c r="Y38" s="8">
        <f t="shared" si="18"/>
        <v>0</v>
      </c>
      <c r="Z38" s="8">
        <f t="shared" si="18"/>
        <v>0</v>
      </c>
      <c r="AA38" s="8">
        <f t="shared" si="18"/>
        <v>0</v>
      </c>
      <c r="AB38" s="10">
        <f t="shared" si="17"/>
        <v>0</v>
      </c>
    </row>
    <row r="39" spans="15:28" x14ac:dyDescent="0.25">
      <c r="O39" s="7" t="s">
        <v>41</v>
      </c>
      <c r="P39" s="8">
        <v>20</v>
      </c>
      <c r="Q39" s="8">
        <v>20</v>
      </c>
      <c r="R39" s="8">
        <v>20</v>
      </c>
      <c r="S39" s="8">
        <v>20</v>
      </c>
      <c r="T39" s="8">
        <v>20</v>
      </c>
      <c r="U39" s="8">
        <v>20</v>
      </c>
      <c r="V39" s="8">
        <v>20</v>
      </c>
      <c r="W39" s="8">
        <v>20</v>
      </c>
      <c r="X39" s="8">
        <v>20</v>
      </c>
      <c r="Y39" s="8">
        <v>20</v>
      </c>
      <c r="Z39" s="8">
        <v>20</v>
      </c>
      <c r="AA39" s="8">
        <v>20</v>
      </c>
      <c r="AB39" s="10">
        <f t="shared" si="17"/>
        <v>240</v>
      </c>
    </row>
    <row r="40" spans="15:28" x14ac:dyDescent="0.25">
      <c r="O40" s="7" t="s">
        <v>160</v>
      </c>
      <c r="P40" s="8">
        <v>20</v>
      </c>
      <c r="Q40" s="8">
        <f>P40</f>
        <v>20</v>
      </c>
      <c r="R40" s="8">
        <f t="shared" ref="R40:AA40" si="19">Q40</f>
        <v>20</v>
      </c>
      <c r="S40" s="8">
        <f t="shared" si="19"/>
        <v>20</v>
      </c>
      <c r="T40" s="8">
        <f t="shared" si="19"/>
        <v>20</v>
      </c>
      <c r="U40" s="8">
        <f t="shared" si="19"/>
        <v>20</v>
      </c>
      <c r="V40" s="8">
        <f t="shared" si="19"/>
        <v>20</v>
      </c>
      <c r="W40" s="8">
        <f t="shared" si="19"/>
        <v>20</v>
      </c>
      <c r="X40" s="8">
        <f t="shared" si="19"/>
        <v>20</v>
      </c>
      <c r="Y40" s="8">
        <f t="shared" si="19"/>
        <v>20</v>
      </c>
      <c r="Z40" s="8">
        <f t="shared" si="19"/>
        <v>20</v>
      </c>
      <c r="AA40" s="8">
        <f t="shared" si="19"/>
        <v>20</v>
      </c>
      <c r="AB40" s="10">
        <f t="shared" si="17"/>
        <v>240</v>
      </c>
    </row>
    <row r="41" spans="15:28" x14ac:dyDescent="0.25">
      <c r="O41" s="7" t="s">
        <v>42</v>
      </c>
      <c r="P41" s="8">
        <v>10</v>
      </c>
      <c r="Q41" s="8">
        <v>10</v>
      </c>
      <c r="R41" s="8">
        <v>10</v>
      </c>
      <c r="S41" s="8">
        <v>10</v>
      </c>
      <c r="T41" s="8">
        <v>10</v>
      </c>
      <c r="U41" s="8">
        <v>10</v>
      </c>
      <c r="V41" s="8">
        <v>10</v>
      </c>
      <c r="W41" s="8">
        <v>10</v>
      </c>
      <c r="X41" s="8">
        <v>10</v>
      </c>
      <c r="Y41" s="8">
        <v>10</v>
      </c>
      <c r="Z41" s="8">
        <v>10</v>
      </c>
      <c r="AA41" s="8">
        <v>10</v>
      </c>
      <c r="AB41" s="10">
        <f t="shared" si="17"/>
        <v>120</v>
      </c>
    </row>
    <row r="42" spans="15:28" x14ac:dyDescent="0.25">
      <c r="O42" s="7" t="s">
        <v>114</v>
      </c>
      <c r="P42" s="8">
        <v>10</v>
      </c>
      <c r="Q42" s="8">
        <f>P42</f>
        <v>10</v>
      </c>
      <c r="R42" s="8">
        <f t="shared" ref="R42:AA42" si="20">Q42</f>
        <v>10</v>
      </c>
      <c r="S42" s="8">
        <f t="shared" si="20"/>
        <v>10</v>
      </c>
      <c r="T42" s="8">
        <f t="shared" si="20"/>
        <v>10</v>
      </c>
      <c r="U42" s="8">
        <f t="shared" si="20"/>
        <v>10</v>
      </c>
      <c r="V42" s="8">
        <f t="shared" si="20"/>
        <v>10</v>
      </c>
      <c r="W42" s="8">
        <f t="shared" si="20"/>
        <v>10</v>
      </c>
      <c r="X42" s="8">
        <f t="shared" si="20"/>
        <v>10</v>
      </c>
      <c r="Y42" s="8">
        <f t="shared" si="20"/>
        <v>10</v>
      </c>
      <c r="Z42" s="8">
        <f t="shared" si="20"/>
        <v>10</v>
      </c>
      <c r="AA42" s="8">
        <f t="shared" si="20"/>
        <v>10</v>
      </c>
      <c r="AB42" s="9">
        <f t="shared" si="17"/>
        <v>120</v>
      </c>
    </row>
    <row r="43" spans="15:28" x14ac:dyDescent="0.25">
      <c r="O43" s="10" t="s">
        <v>31</v>
      </c>
      <c r="P43" s="10">
        <f t="shared" ref="P43:AA43" si="21">SUM(P34:P42)</f>
        <v>160</v>
      </c>
      <c r="Q43" s="10">
        <f t="shared" si="21"/>
        <v>160</v>
      </c>
      <c r="R43" s="10">
        <f t="shared" si="21"/>
        <v>160</v>
      </c>
      <c r="S43" s="10">
        <f t="shared" si="21"/>
        <v>160</v>
      </c>
      <c r="T43" s="10">
        <f t="shared" si="21"/>
        <v>160</v>
      </c>
      <c r="U43" s="10">
        <f t="shared" si="21"/>
        <v>160</v>
      </c>
      <c r="V43" s="10">
        <f t="shared" si="21"/>
        <v>160</v>
      </c>
      <c r="W43" s="10">
        <f t="shared" si="21"/>
        <v>160</v>
      </c>
      <c r="X43" s="10">
        <f t="shared" si="21"/>
        <v>160</v>
      </c>
      <c r="Y43" s="10">
        <f t="shared" si="21"/>
        <v>160</v>
      </c>
      <c r="Z43" s="10">
        <f t="shared" si="21"/>
        <v>160</v>
      </c>
      <c r="AA43" s="10">
        <f t="shared" si="21"/>
        <v>160</v>
      </c>
      <c r="AB43" s="10">
        <f>SUM(P43:AA43)</f>
        <v>1920</v>
      </c>
    </row>
    <row r="44" spans="15:28" x14ac:dyDescent="0.25">
      <c r="O44" s="11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3"/>
    </row>
    <row r="45" spans="15:28" ht="18" x14ac:dyDescent="0.25">
      <c r="O45" s="58" t="s">
        <v>33</v>
      </c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60"/>
    </row>
    <row r="46" spans="15:28" x14ac:dyDescent="0.25">
      <c r="O46" s="7" t="s">
        <v>34</v>
      </c>
      <c r="P46" s="8">
        <v>15</v>
      </c>
      <c r="Q46" s="8">
        <f>P46</f>
        <v>15</v>
      </c>
      <c r="R46" s="8">
        <f t="shared" ref="R46:AA46" si="22">Q46</f>
        <v>15</v>
      </c>
      <c r="S46" s="8">
        <f t="shared" si="22"/>
        <v>15</v>
      </c>
      <c r="T46" s="8">
        <f t="shared" si="22"/>
        <v>15</v>
      </c>
      <c r="U46" s="8">
        <f t="shared" si="22"/>
        <v>15</v>
      </c>
      <c r="V46" s="8">
        <f t="shared" si="22"/>
        <v>15</v>
      </c>
      <c r="W46" s="8">
        <f t="shared" si="22"/>
        <v>15</v>
      </c>
      <c r="X46" s="8">
        <f t="shared" si="22"/>
        <v>15</v>
      </c>
      <c r="Y46" s="8">
        <f t="shared" si="22"/>
        <v>15</v>
      </c>
      <c r="Z46" s="8">
        <f t="shared" si="22"/>
        <v>15</v>
      </c>
      <c r="AA46" s="8">
        <f t="shared" si="22"/>
        <v>15</v>
      </c>
      <c r="AB46" s="10">
        <f>SUM(P46:AA46)</f>
        <v>180</v>
      </c>
    </row>
    <row r="47" spans="15:28" x14ac:dyDescent="0.25">
      <c r="O47" s="7" t="s">
        <v>35</v>
      </c>
      <c r="P47" s="8">
        <v>0</v>
      </c>
      <c r="Q47" s="8">
        <f>P47</f>
        <v>0</v>
      </c>
      <c r="R47" s="8">
        <f t="shared" ref="R47:AA47" si="23">Q47</f>
        <v>0</v>
      </c>
      <c r="S47" s="8">
        <f t="shared" si="23"/>
        <v>0</v>
      </c>
      <c r="T47" s="8">
        <f t="shared" si="23"/>
        <v>0</v>
      </c>
      <c r="U47" s="8">
        <f t="shared" si="23"/>
        <v>0</v>
      </c>
      <c r="V47" s="8">
        <f t="shared" si="23"/>
        <v>0</v>
      </c>
      <c r="W47" s="8">
        <f t="shared" si="23"/>
        <v>0</v>
      </c>
      <c r="X47" s="8">
        <f t="shared" si="23"/>
        <v>0</v>
      </c>
      <c r="Y47" s="8">
        <f t="shared" si="23"/>
        <v>0</v>
      </c>
      <c r="Z47" s="8">
        <f t="shared" si="23"/>
        <v>0</v>
      </c>
      <c r="AA47" s="8">
        <f t="shared" si="23"/>
        <v>0</v>
      </c>
      <c r="AB47" s="10">
        <f>SUM(P47:AA47)</f>
        <v>0</v>
      </c>
    </row>
    <row r="48" spans="15:28" x14ac:dyDescent="0.25">
      <c r="O48" s="7" t="s">
        <v>36</v>
      </c>
      <c r="P48" s="8">
        <v>20</v>
      </c>
      <c r="Q48" s="8">
        <f>P48</f>
        <v>20</v>
      </c>
      <c r="R48" s="8">
        <f t="shared" ref="R48:AA48" si="24">Q48</f>
        <v>20</v>
      </c>
      <c r="S48" s="8">
        <f t="shared" si="24"/>
        <v>20</v>
      </c>
      <c r="T48" s="8">
        <f t="shared" si="24"/>
        <v>20</v>
      </c>
      <c r="U48" s="8">
        <f t="shared" si="24"/>
        <v>20</v>
      </c>
      <c r="V48" s="8">
        <f t="shared" si="24"/>
        <v>20</v>
      </c>
      <c r="W48" s="8">
        <f t="shared" si="24"/>
        <v>20</v>
      </c>
      <c r="X48" s="8">
        <f t="shared" si="24"/>
        <v>20</v>
      </c>
      <c r="Y48" s="8">
        <f t="shared" si="24"/>
        <v>20</v>
      </c>
      <c r="Z48" s="8">
        <f t="shared" si="24"/>
        <v>20</v>
      </c>
      <c r="AA48" s="8">
        <f t="shared" si="24"/>
        <v>20</v>
      </c>
      <c r="AB48" s="10">
        <f>SUM(P48:AA48)</f>
        <v>240</v>
      </c>
    </row>
    <row r="49" spans="15:28" x14ac:dyDescent="0.25">
      <c r="O49" s="7" t="s">
        <v>37</v>
      </c>
      <c r="P49" s="8">
        <v>10</v>
      </c>
      <c r="Q49" s="8">
        <v>10</v>
      </c>
      <c r="R49" s="8">
        <v>10</v>
      </c>
      <c r="S49" s="8">
        <v>10</v>
      </c>
      <c r="T49" s="8">
        <v>10</v>
      </c>
      <c r="U49" s="8">
        <v>10</v>
      </c>
      <c r="V49" s="8">
        <v>10</v>
      </c>
      <c r="W49" s="8">
        <v>10</v>
      </c>
      <c r="X49" s="8">
        <v>10</v>
      </c>
      <c r="Y49" s="8">
        <v>10</v>
      </c>
      <c r="Z49" s="8">
        <v>10</v>
      </c>
      <c r="AA49" s="8">
        <v>10</v>
      </c>
      <c r="AB49" s="10">
        <f>SUM(P49:AA49)</f>
        <v>120</v>
      </c>
    </row>
    <row r="50" spans="15:28" x14ac:dyDescent="0.25">
      <c r="O50" s="10" t="s">
        <v>38</v>
      </c>
      <c r="P50" s="10">
        <f t="shared" ref="P50:AA50" si="25">SUM(P46:P49)</f>
        <v>45</v>
      </c>
      <c r="Q50" s="10">
        <f t="shared" si="25"/>
        <v>45</v>
      </c>
      <c r="R50" s="10">
        <f t="shared" si="25"/>
        <v>45</v>
      </c>
      <c r="S50" s="10">
        <f t="shared" si="25"/>
        <v>45</v>
      </c>
      <c r="T50" s="10">
        <f t="shared" si="25"/>
        <v>45</v>
      </c>
      <c r="U50" s="10">
        <f t="shared" si="25"/>
        <v>45</v>
      </c>
      <c r="V50" s="10">
        <f t="shared" si="25"/>
        <v>45</v>
      </c>
      <c r="W50" s="10">
        <f t="shared" si="25"/>
        <v>45</v>
      </c>
      <c r="X50" s="10">
        <f t="shared" si="25"/>
        <v>45</v>
      </c>
      <c r="Y50" s="10">
        <f t="shared" si="25"/>
        <v>45</v>
      </c>
      <c r="Z50" s="10">
        <f t="shared" si="25"/>
        <v>45</v>
      </c>
      <c r="AA50" s="10">
        <f t="shared" si="25"/>
        <v>45</v>
      </c>
      <c r="AB50" s="10">
        <f>SUM(P50:AA50)</f>
        <v>540</v>
      </c>
    </row>
    <row r="51" spans="15:28" x14ac:dyDescent="0.25">
      <c r="O51" s="11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3"/>
    </row>
    <row r="52" spans="15:28" x14ac:dyDescent="0.25">
      <c r="O52" s="11" t="s">
        <v>62</v>
      </c>
      <c r="P52" s="16">
        <f t="shared" ref="P52:AB52" si="26">P50+P43+P31+P23+P16+P11</f>
        <v>5701.1</v>
      </c>
      <c r="Q52" s="16">
        <f t="shared" si="26"/>
        <v>5701.1</v>
      </c>
      <c r="R52" s="16">
        <f t="shared" si="26"/>
        <v>5701.1</v>
      </c>
      <c r="S52" s="16">
        <f t="shared" si="26"/>
        <v>5701.1</v>
      </c>
      <c r="T52" s="16">
        <f t="shared" si="26"/>
        <v>5701.1</v>
      </c>
      <c r="U52" s="16">
        <f t="shared" si="26"/>
        <v>5701.1</v>
      </c>
      <c r="V52" s="16">
        <f t="shared" si="26"/>
        <v>5701.1</v>
      </c>
      <c r="W52" s="16">
        <f t="shared" si="26"/>
        <v>5701.1</v>
      </c>
      <c r="X52" s="16">
        <f t="shared" si="26"/>
        <v>5701.1</v>
      </c>
      <c r="Y52" s="16">
        <f t="shared" si="26"/>
        <v>5701.1</v>
      </c>
      <c r="Z52" s="16">
        <f t="shared" si="26"/>
        <v>5701.1</v>
      </c>
      <c r="AA52" s="16">
        <f t="shared" si="26"/>
        <v>5701.1</v>
      </c>
      <c r="AB52" s="16">
        <f t="shared" si="26"/>
        <v>68413.2</v>
      </c>
    </row>
    <row r="53" spans="15:28" x14ac:dyDescent="0.25">
      <c r="O53" s="39" t="s">
        <v>178</v>
      </c>
      <c r="P53" s="40">
        <f>P11+P19+SUM(P28:P30)+P14</f>
        <v>4696.1000000000004</v>
      </c>
      <c r="Q53" s="40">
        <f t="shared" ref="Q53:AA53" si="27">Q11+Q19+SUM(Q28:Q30)+Q14</f>
        <v>4696.1000000000004</v>
      </c>
      <c r="R53" s="40">
        <f t="shared" si="27"/>
        <v>4696.1000000000004</v>
      </c>
      <c r="S53" s="40">
        <f t="shared" si="27"/>
        <v>4696.1000000000004</v>
      </c>
      <c r="T53" s="40">
        <f t="shared" si="27"/>
        <v>4696.1000000000004</v>
      </c>
      <c r="U53" s="40">
        <f t="shared" si="27"/>
        <v>4696.1000000000004</v>
      </c>
      <c r="V53" s="40">
        <f t="shared" si="27"/>
        <v>4696.1000000000004</v>
      </c>
      <c r="W53" s="40">
        <f t="shared" si="27"/>
        <v>4696.1000000000004</v>
      </c>
      <c r="X53" s="40">
        <f t="shared" si="27"/>
        <v>4696.1000000000004</v>
      </c>
      <c r="Y53" s="40">
        <f t="shared" si="27"/>
        <v>4696.1000000000004</v>
      </c>
      <c r="Z53" s="40">
        <f t="shared" si="27"/>
        <v>4696.1000000000004</v>
      </c>
      <c r="AA53" s="40">
        <f t="shared" si="27"/>
        <v>4696.1000000000004</v>
      </c>
      <c r="AB53" s="40">
        <f>SUM(P53:AA53)</f>
        <v>56353.19999999999</v>
      </c>
    </row>
    <row r="54" spans="15:28" x14ac:dyDescent="0.25">
      <c r="O54" t="s">
        <v>642</v>
      </c>
      <c r="P54">
        <v>6000</v>
      </c>
      <c r="Q54" s="42">
        <v>6000</v>
      </c>
      <c r="R54" s="42">
        <v>6000</v>
      </c>
      <c r="S54" s="42">
        <v>6000</v>
      </c>
      <c r="T54" s="42">
        <v>6000</v>
      </c>
      <c r="U54" s="42">
        <v>6000</v>
      </c>
      <c r="V54" s="42">
        <v>6000</v>
      </c>
      <c r="W54" s="42">
        <v>6000</v>
      </c>
      <c r="X54" s="42">
        <v>6000</v>
      </c>
      <c r="Y54" s="42">
        <v>6000</v>
      </c>
      <c r="Z54" s="42">
        <v>6000</v>
      </c>
      <c r="AA54" s="42">
        <v>6000</v>
      </c>
      <c r="AB54" s="40">
        <f>SUM(P54:AA54)</f>
        <v>72000</v>
      </c>
    </row>
    <row r="55" spans="15:28" x14ac:dyDescent="0.25">
      <c r="O55" t="s">
        <v>63</v>
      </c>
      <c r="P55" s="44">
        <f>$AB$55/12</f>
        <v>3333.3333333333335</v>
      </c>
      <c r="Q55" s="44">
        <f t="shared" ref="Q55:AA55" si="28">$AB$55/12</f>
        <v>3333.3333333333335</v>
      </c>
      <c r="R55" s="44">
        <f t="shared" si="28"/>
        <v>3333.3333333333335</v>
      </c>
      <c r="S55" s="44">
        <f t="shared" si="28"/>
        <v>3333.3333333333335</v>
      </c>
      <c r="T55" s="44">
        <f t="shared" si="28"/>
        <v>3333.3333333333335</v>
      </c>
      <c r="U55" s="44">
        <f t="shared" si="28"/>
        <v>3333.3333333333335</v>
      </c>
      <c r="V55" s="44">
        <f t="shared" si="28"/>
        <v>3333.3333333333335</v>
      </c>
      <c r="W55" s="44">
        <f t="shared" si="28"/>
        <v>3333.3333333333335</v>
      </c>
      <c r="X55" s="44">
        <f t="shared" si="28"/>
        <v>3333.3333333333335</v>
      </c>
      <c r="Y55" s="44">
        <f t="shared" si="28"/>
        <v>3333.3333333333335</v>
      </c>
      <c r="Z55" s="44">
        <f t="shared" si="28"/>
        <v>3333.3333333333335</v>
      </c>
      <c r="AA55" s="44">
        <f t="shared" si="28"/>
        <v>3333.3333333333335</v>
      </c>
      <c r="AB55">
        <v>40000</v>
      </c>
    </row>
  </sheetData>
  <mergeCells count="7">
    <mergeCell ref="O45:AB45"/>
    <mergeCell ref="O12:AB12"/>
    <mergeCell ref="O3:AB3"/>
    <mergeCell ref="O2:AB2"/>
    <mergeCell ref="O18:AB18"/>
    <mergeCell ref="O25:AB25"/>
    <mergeCell ref="O33:AB33"/>
  </mergeCells>
  <phoneticPr fontId="32" type="noConversion"/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Q48"/>
  <sheetViews>
    <sheetView workbookViewId="0">
      <selection activeCell="A14" sqref="A14"/>
    </sheetView>
  </sheetViews>
  <sheetFormatPr defaultColWidth="8.85546875" defaultRowHeight="15.75" x14ac:dyDescent="0.25"/>
  <cols>
    <col min="1" max="1" width="19.7109375" bestFit="1" customWidth="1"/>
    <col min="2" max="2" width="15.28515625" customWidth="1"/>
    <col min="3" max="4" width="9.42578125" customWidth="1"/>
    <col min="5" max="5" width="11" customWidth="1"/>
    <col min="6" max="6" width="9.42578125" customWidth="1"/>
    <col min="7" max="7" width="10.140625" customWidth="1"/>
    <col min="8" max="8" width="11.7109375" customWidth="1"/>
    <col min="9" max="9" width="11.28515625" customWidth="1"/>
    <col min="10" max="10" width="10.42578125" customWidth="1"/>
    <col min="11" max="11" width="9.140625" customWidth="1"/>
    <col min="12" max="12" width="10.7109375" customWidth="1"/>
    <col min="13" max="13" width="9.140625" customWidth="1"/>
    <col min="14" max="14" width="11.7109375" customWidth="1"/>
    <col min="15" max="15" width="13.42578125" customWidth="1"/>
    <col min="16" max="16" width="9.7109375" customWidth="1"/>
    <col min="17" max="17" width="11.85546875" customWidth="1"/>
    <col min="18" max="18" width="8.85546875" customWidth="1"/>
    <col min="19" max="19" width="9.85546875" customWidth="1"/>
    <col min="20" max="22" width="8.85546875" customWidth="1"/>
    <col min="23" max="23" width="10.42578125" customWidth="1"/>
    <col min="24" max="24" width="8.85546875" customWidth="1"/>
    <col min="25" max="25" width="9.42578125" customWidth="1"/>
    <col min="26" max="26" width="8.85546875" customWidth="1"/>
    <col min="27" max="28" width="9.140625" customWidth="1"/>
    <col min="29" max="29" width="9.85546875" bestFit="1" customWidth="1"/>
    <col min="33" max="33" width="12.42578125" customWidth="1"/>
    <col min="37" max="37" width="11.28515625" customWidth="1"/>
  </cols>
  <sheetData>
    <row r="1" spans="1:43" x14ac:dyDescent="0.25">
      <c r="A1" s="26"/>
      <c r="B1" s="28"/>
      <c r="C1" s="26"/>
      <c r="D1" s="26" t="s">
        <v>103</v>
      </c>
      <c r="E1" s="26"/>
      <c r="F1" s="26"/>
      <c r="G1" s="26"/>
      <c r="P1" t="s">
        <v>132</v>
      </c>
    </row>
    <row r="2" spans="1:43" ht="47.25" x14ac:dyDescent="0.25">
      <c r="A2" t="s">
        <v>113</v>
      </c>
      <c r="B2" s="2" t="s">
        <v>115</v>
      </c>
      <c r="C2" t="s">
        <v>91</v>
      </c>
      <c r="D2" s="26">
        <v>41150</v>
      </c>
      <c r="E2" s="26" t="s">
        <v>93</v>
      </c>
      <c r="F2" s="26">
        <v>41181</v>
      </c>
      <c r="G2" s="26" t="s">
        <v>93</v>
      </c>
      <c r="H2" s="26">
        <v>41211</v>
      </c>
      <c r="I2" t="s">
        <v>93</v>
      </c>
      <c r="J2" s="26">
        <v>41242</v>
      </c>
      <c r="K2" t="s">
        <v>93</v>
      </c>
      <c r="L2" s="26">
        <v>41272</v>
      </c>
      <c r="M2" t="s">
        <v>93</v>
      </c>
      <c r="N2" s="26">
        <v>41303</v>
      </c>
      <c r="O2" t="s">
        <v>93</v>
      </c>
      <c r="P2" s="26">
        <v>41364</v>
      </c>
      <c r="R2" s="29">
        <v>41394</v>
      </c>
      <c r="T2" s="29">
        <v>41425</v>
      </c>
      <c r="U2" t="s">
        <v>93</v>
      </c>
      <c r="V2" t="s">
        <v>158</v>
      </c>
      <c r="W2" t="s">
        <v>93</v>
      </c>
      <c r="X2" t="s">
        <v>159</v>
      </c>
      <c r="Y2" t="s">
        <v>163</v>
      </c>
      <c r="Z2" t="s">
        <v>164</v>
      </c>
      <c r="AA2" t="s">
        <v>93</v>
      </c>
      <c r="AB2" t="s">
        <v>165</v>
      </c>
      <c r="AC2" t="s">
        <v>93</v>
      </c>
      <c r="AD2" s="31">
        <v>41548</v>
      </c>
      <c r="AE2" t="s">
        <v>93</v>
      </c>
      <c r="AF2" s="29">
        <v>41956</v>
      </c>
      <c r="AG2" t="s">
        <v>93</v>
      </c>
      <c r="AH2" s="29">
        <v>41986</v>
      </c>
      <c r="AI2" t="s">
        <v>93</v>
      </c>
      <c r="AJ2" s="31">
        <v>41640</v>
      </c>
      <c r="AK2" t="s">
        <v>93</v>
      </c>
      <c r="AL2" s="31">
        <f>EOMONTH(AJ2,1)</f>
        <v>41698</v>
      </c>
      <c r="AM2" t="s">
        <v>93</v>
      </c>
      <c r="AN2" s="31">
        <f>EOMONTH(AL2,1)</f>
        <v>41729</v>
      </c>
      <c r="AO2" t="s">
        <v>93</v>
      </c>
      <c r="AP2" s="31">
        <f>EOMONTH(AN2,1)</f>
        <v>41759</v>
      </c>
      <c r="AQ2" t="s">
        <v>93</v>
      </c>
    </row>
    <row r="3" spans="1:43" x14ac:dyDescent="0.25">
      <c r="A3" t="s">
        <v>42</v>
      </c>
      <c r="B3" s="4">
        <f>E3+G3+I3+K3+M3+O3+Q3+S3+U3+W3+Y3+AA3+AC3+AE3+AG3+AI3+AK3+AM3+AO3</f>
        <v>46.449999999999996</v>
      </c>
      <c r="C3">
        <v>10</v>
      </c>
      <c r="D3">
        <v>0</v>
      </c>
      <c r="E3" s="4">
        <f t="shared" ref="E3:E31" si="0">$C3-D3</f>
        <v>10</v>
      </c>
      <c r="G3" s="4">
        <f t="shared" ref="G3:G31" si="1">$C3-F3</f>
        <v>10</v>
      </c>
      <c r="H3">
        <v>79.790000000000006</v>
      </c>
      <c r="I3" s="4">
        <f t="shared" ref="I3:I32" si="2">$C3-H3</f>
        <v>-69.790000000000006</v>
      </c>
      <c r="K3" s="4">
        <f>$C3-J3</f>
        <v>10</v>
      </c>
      <c r="L3">
        <v>27.02</v>
      </c>
      <c r="M3" s="4">
        <f>$C3-L3</f>
        <v>-17.02</v>
      </c>
      <c r="O3" s="4">
        <f>$C3-N3</f>
        <v>10</v>
      </c>
      <c r="Q3" s="4">
        <f>$C3-P3</f>
        <v>10</v>
      </c>
      <c r="S3" s="4">
        <f>$C3-R3</f>
        <v>10</v>
      </c>
      <c r="U3" s="4">
        <f>$C3-T3</f>
        <v>10</v>
      </c>
      <c r="W3" s="4">
        <f>$C3-V3</f>
        <v>10</v>
      </c>
      <c r="Y3" s="4">
        <f>$C3-X3</f>
        <v>10</v>
      </c>
      <c r="Z3">
        <v>2</v>
      </c>
      <c r="AA3" s="4">
        <f>$C3-Z3</f>
        <v>8</v>
      </c>
      <c r="AC3" s="4">
        <f>$C3-AB3</f>
        <v>10</v>
      </c>
      <c r="AD3">
        <v>7.57</v>
      </c>
      <c r="AE3" s="4">
        <f>$C3-AD3</f>
        <v>2.4299999999999997</v>
      </c>
      <c r="AF3">
        <v>27.17</v>
      </c>
      <c r="AG3" s="4">
        <f>$C3-AF3</f>
        <v>-17.170000000000002</v>
      </c>
      <c r="AI3" s="4">
        <f>$C3-AH3</f>
        <v>10</v>
      </c>
      <c r="AK3" s="4">
        <f>$C3-AJ3</f>
        <v>10</v>
      </c>
      <c r="AM3" s="4">
        <f>$C3-AL3</f>
        <v>10</v>
      </c>
      <c r="AO3" s="4">
        <f>$C3-AN3</f>
        <v>10</v>
      </c>
      <c r="AQ3" s="4">
        <f>$C3-AP3</f>
        <v>10</v>
      </c>
    </row>
    <row r="4" spans="1:43" x14ac:dyDescent="0.25">
      <c r="A4" t="s">
        <v>96</v>
      </c>
      <c r="B4" s="4">
        <f t="shared" ref="B4:B33" si="3">E4+G4+I4+K4+M4+O4+Q4+S4+U4+W4+Y4+AA4+AC4+AE4+AG4+AI4+AK4+AM4+AO4</f>
        <v>-363.88000000000005</v>
      </c>
      <c r="C4">
        <v>170</v>
      </c>
      <c r="D4">
        <v>100</v>
      </c>
      <c r="E4" s="4">
        <f t="shared" si="0"/>
        <v>70</v>
      </c>
      <c r="F4">
        <v>80</v>
      </c>
      <c r="G4" s="4">
        <f t="shared" si="1"/>
        <v>90</v>
      </c>
      <c r="H4">
        <v>170.44</v>
      </c>
      <c r="I4" s="4">
        <f t="shared" si="2"/>
        <v>-0.43999999999999773</v>
      </c>
      <c r="J4">
        <v>196.96</v>
      </c>
      <c r="K4" s="4">
        <f t="shared" ref="K4:K33" si="4">$C4-J4</f>
        <v>-26.960000000000008</v>
      </c>
      <c r="L4">
        <f>158.05</f>
        <v>158.05000000000001</v>
      </c>
      <c r="M4" s="4">
        <f t="shared" ref="M4:M33" si="5">$C4-L4</f>
        <v>11.949999999999989</v>
      </c>
      <c r="N4">
        <v>174.78</v>
      </c>
      <c r="O4" s="4">
        <f t="shared" ref="O4:O33" si="6">$C4-N4</f>
        <v>-4.7800000000000011</v>
      </c>
      <c r="P4">
        <v>159.19</v>
      </c>
      <c r="Q4" s="4">
        <f t="shared" ref="Q4:Q33" si="7">$C4-P4</f>
        <v>10.810000000000002</v>
      </c>
      <c r="R4">
        <v>166.37</v>
      </c>
      <c r="S4" s="4">
        <f t="shared" ref="S4:S33" si="8">$C4-R4</f>
        <v>3.6299999999999955</v>
      </c>
      <c r="T4">
        <v>187.02</v>
      </c>
      <c r="U4" s="4">
        <f t="shared" ref="U4:U33" si="9">$C4-T4</f>
        <v>-17.02000000000001</v>
      </c>
      <c r="V4">
        <v>161.30000000000001</v>
      </c>
      <c r="W4" s="4">
        <f t="shared" ref="W4:W33" si="10">$C4-V4</f>
        <v>8.6999999999999886</v>
      </c>
      <c r="X4">
        <v>166</v>
      </c>
      <c r="Y4" s="4">
        <f t="shared" ref="Y4:Y33" si="11">$C4-X4</f>
        <v>4</v>
      </c>
      <c r="Z4">
        <v>213.08</v>
      </c>
      <c r="AA4" s="4">
        <f t="shared" ref="AA4:AA33" si="12">$C4-Z4</f>
        <v>-43.080000000000013</v>
      </c>
      <c r="AB4">
        <v>168</v>
      </c>
      <c r="AC4" s="4">
        <f t="shared" ref="AC4:AC33" si="13">$C4-AB4</f>
        <v>2</v>
      </c>
      <c r="AD4">
        <v>173.25</v>
      </c>
      <c r="AE4" s="4">
        <f t="shared" ref="AE4:AE33" si="14">$C4-AD4</f>
        <v>-3.25</v>
      </c>
      <c r="AF4">
        <v>185.92</v>
      </c>
      <c r="AG4" s="4">
        <f t="shared" ref="AG4:AG33" si="15">$C4-AF4</f>
        <v>-15.919999999999987</v>
      </c>
      <c r="AH4">
        <v>273.44</v>
      </c>
      <c r="AI4" s="4">
        <f t="shared" ref="AI4:AI33" si="16">$C4-AH4</f>
        <v>-103.44</v>
      </c>
      <c r="AJ4">
        <v>169.09</v>
      </c>
      <c r="AK4" s="4">
        <f t="shared" ref="AK4:AK19" si="17">$C4-AJ4</f>
        <v>0.90999999999999659</v>
      </c>
      <c r="AL4">
        <v>170.99</v>
      </c>
      <c r="AM4" s="4">
        <f t="shared" ref="AM4:AQ33" si="18">$C4-AL4</f>
        <v>-0.99000000000000909</v>
      </c>
      <c r="AN4">
        <v>520</v>
      </c>
      <c r="AO4" s="4">
        <f t="shared" si="18"/>
        <v>-350</v>
      </c>
      <c r="AP4">
        <v>259.92</v>
      </c>
      <c r="AQ4" s="4">
        <f t="shared" si="18"/>
        <v>-89.920000000000016</v>
      </c>
    </row>
    <row r="5" spans="1:43" x14ac:dyDescent="0.25">
      <c r="A5" t="s">
        <v>37</v>
      </c>
      <c r="B5" s="4">
        <f t="shared" si="3"/>
        <v>0</v>
      </c>
      <c r="C5">
        <v>10</v>
      </c>
      <c r="D5">
        <v>0</v>
      </c>
      <c r="E5" s="4">
        <f t="shared" si="0"/>
        <v>10</v>
      </c>
      <c r="G5" s="4">
        <f t="shared" si="1"/>
        <v>10</v>
      </c>
      <c r="I5" s="4">
        <f t="shared" si="2"/>
        <v>10</v>
      </c>
      <c r="J5">
        <v>0</v>
      </c>
      <c r="K5" s="4">
        <f t="shared" si="4"/>
        <v>10</v>
      </c>
      <c r="M5" s="4">
        <f t="shared" si="5"/>
        <v>10</v>
      </c>
      <c r="N5">
        <v>100</v>
      </c>
      <c r="O5" s="4">
        <f t="shared" si="6"/>
        <v>-90</v>
      </c>
      <c r="P5">
        <v>10</v>
      </c>
      <c r="Q5" s="4">
        <f t="shared" si="7"/>
        <v>0</v>
      </c>
      <c r="R5">
        <v>30</v>
      </c>
      <c r="S5" s="4">
        <f t="shared" si="8"/>
        <v>-20</v>
      </c>
      <c r="U5" s="4">
        <f t="shared" si="9"/>
        <v>10</v>
      </c>
      <c r="W5" s="4">
        <f t="shared" si="10"/>
        <v>10</v>
      </c>
      <c r="Y5" s="4">
        <f t="shared" si="11"/>
        <v>10</v>
      </c>
      <c r="AA5" s="4">
        <f t="shared" si="12"/>
        <v>10</v>
      </c>
      <c r="AC5" s="4">
        <f t="shared" si="13"/>
        <v>10</v>
      </c>
      <c r="AD5">
        <v>50</v>
      </c>
      <c r="AE5" s="4">
        <f t="shared" si="14"/>
        <v>-40</v>
      </c>
      <c r="AG5" s="4">
        <f t="shared" si="15"/>
        <v>10</v>
      </c>
      <c r="AI5">
        <f t="shared" si="16"/>
        <v>10</v>
      </c>
      <c r="AK5" s="4">
        <f t="shared" si="17"/>
        <v>10</v>
      </c>
      <c r="AM5" s="4">
        <f t="shared" si="18"/>
        <v>10</v>
      </c>
      <c r="AO5" s="4">
        <f t="shared" si="18"/>
        <v>10</v>
      </c>
      <c r="AQ5" s="4">
        <f t="shared" si="18"/>
        <v>10</v>
      </c>
    </row>
    <row r="6" spans="1:43" x14ac:dyDescent="0.25">
      <c r="A6" t="s">
        <v>126</v>
      </c>
      <c r="B6" s="4">
        <f t="shared" si="3"/>
        <v>-216</v>
      </c>
      <c r="C6">
        <v>10</v>
      </c>
      <c r="D6">
        <v>40</v>
      </c>
      <c r="E6" s="4">
        <f t="shared" si="0"/>
        <v>-30</v>
      </c>
      <c r="G6" s="4">
        <f t="shared" si="1"/>
        <v>10</v>
      </c>
      <c r="I6" s="4">
        <f t="shared" si="2"/>
        <v>10</v>
      </c>
      <c r="K6" s="4">
        <f t="shared" si="4"/>
        <v>10</v>
      </c>
      <c r="M6" s="4">
        <f t="shared" si="5"/>
        <v>10</v>
      </c>
      <c r="N6">
        <v>40</v>
      </c>
      <c r="O6" s="4">
        <f t="shared" si="6"/>
        <v>-30</v>
      </c>
      <c r="Q6" s="4">
        <f t="shared" si="7"/>
        <v>10</v>
      </c>
      <c r="S6" s="4">
        <f t="shared" si="8"/>
        <v>10</v>
      </c>
      <c r="U6" s="4">
        <f t="shared" si="9"/>
        <v>10</v>
      </c>
      <c r="V6">
        <v>112</v>
      </c>
      <c r="W6" s="4">
        <f t="shared" si="10"/>
        <v>-102</v>
      </c>
      <c r="Y6" s="4">
        <f t="shared" si="11"/>
        <v>10</v>
      </c>
      <c r="AA6" s="4">
        <f t="shared" si="12"/>
        <v>10</v>
      </c>
      <c r="AC6" s="4">
        <f t="shared" si="13"/>
        <v>10</v>
      </c>
      <c r="AE6" s="4">
        <f t="shared" si="14"/>
        <v>10</v>
      </c>
      <c r="AF6">
        <v>9</v>
      </c>
      <c r="AG6" s="4">
        <f t="shared" si="15"/>
        <v>1</v>
      </c>
      <c r="AI6">
        <f t="shared" si="16"/>
        <v>10</v>
      </c>
      <c r="AJ6">
        <v>155</v>
      </c>
      <c r="AK6" s="4">
        <f t="shared" si="17"/>
        <v>-145</v>
      </c>
      <c r="AL6">
        <v>50</v>
      </c>
      <c r="AM6" s="4">
        <f t="shared" si="18"/>
        <v>-40</v>
      </c>
      <c r="AO6" s="4">
        <f t="shared" si="18"/>
        <v>10</v>
      </c>
      <c r="AP6">
        <v>250</v>
      </c>
      <c r="AQ6" s="4">
        <f t="shared" si="18"/>
        <v>-240</v>
      </c>
    </row>
    <row r="7" spans="1:43" x14ac:dyDescent="0.25">
      <c r="A7" t="s">
        <v>127</v>
      </c>
      <c r="B7" s="4">
        <f t="shared" si="3"/>
        <v>-497.27</v>
      </c>
      <c r="C7">
        <v>30</v>
      </c>
      <c r="D7">
        <v>38.15</v>
      </c>
      <c r="E7" s="4">
        <f t="shared" si="0"/>
        <v>-8.1499999999999986</v>
      </c>
      <c r="F7">
        <v>77.569999999999993</v>
      </c>
      <c r="G7" s="4">
        <f t="shared" si="1"/>
        <v>-47.569999999999993</v>
      </c>
      <c r="H7">
        <v>43.81</v>
      </c>
      <c r="I7" s="4">
        <f t="shared" si="2"/>
        <v>-13.810000000000002</v>
      </c>
      <c r="J7">
        <v>35.17</v>
      </c>
      <c r="K7" s="4">
        <f t="shared" si="4"/>
        <v>-5.1700000000000017</v>
      </c>
      <c r="L7">
        <v>26.48</v>
      </c>
      <c r="M7" s="4">
        <f t="shared" si="5"/>
        <v>3.5199999999999996</v>
      </c>
      <c r="N7">
        <v>54.08</v>
      </c>
      <c r="O7" s="4">
        <f t="shared" si="6"/>
        <v>-24.08</v>
      </c>
      <c r="P7">
        <v>81.010000000000005</v>
      </c>
      <c r="Q7" s="4">
        <f t="shared" si="7"/>
        <v>-51.010000000000005</v>
      </c>
      <c r="R7">
        <v>64.53</v>
      </c>
      <c r="S7" s="4">
        <f t="shared" si="8"/>
        <v>-34.53</v>
      </c>
      <c r="T7">
        <v>73.38</v>
      </c>
      <c r="U7" s="4">
        <f t="shared" si="9"/>
        <v>-43.379999999999995</v>
      </c>
      <c r="V7">
        <v>20</v>
      </c>
      <c r="W7" s="4">
        <f t="shared" si="10"/>
        <v>10</v>
      </c>
      <c r="X7">
        <v>4.7</v>
      </c>
      <c r="Y7" s="4">
        <f t="shared" si="11"/>
        <v>25.3</v>
      </c>
      <c r="Z7">
        <v>48.89</v>
      </c>
      <c r="AA7" s="4">
        <f t="shared" si="12"/>
        <v>-18.89</v>
      </c>
      <c r="AB7">
        <v>35.61</v>
      </c>
      <c r="AC7" s="4">
        <f t="shared" si="13"/>
        <v>-5.6099999999999994</v>
      </c>
      <c r="AD7">
        <v>69.88</v>
      </c>
      <c r="AE7" s="4">
        <f t="shared" si="14"/>
        <v>-39.879999999999995</v>
      </c>
      <c r="AF7">
        <v>87.86</v>
      </c>
      <c r="AG7" s="4">
        <f t="shared" si="15"/>
        <v>-57.86</v>
      </c>
      <c r="AH7">
        <v>89.65</v>
      </c>
      <c r="AI7" s="4">
        <f t="shared" si="16"/>
        <v>-59.650000000000006</v>
      </c>
      <c r="AJ7">
        <v>62.75</v>
      </c>
      <c r="AK7" s="4">
        <f t="shared" si="17"/>
        <v>-32.75</v>
      </c>
      <c r="AL7">
        <v>55.35</v>
      </c>
      <c r="AM7" s="4">
        <f t="shared" si="18"/>
        <v>-25.35</v>
      </c>
      <c r="AN7">
        <v>98.4</v>
      </c>
      <c r="AO7" s="4">
        <f t="shared" si="18"/>
        <v>-68.400000000000006</v>
      </c>
      <c r="AP7">
        <v>61.23</v>
      </c>
      <c r="AQ7" s="4">
        <f t="shared" si="18"/>
        <v>-31.229999999999997</v>
      </c>
    </row>
    <row r="8" spans="1:43" x14ac:dyDescent="0.25">
      <c r="A8" t="s">
        <v>128</v>
      </c>
      <c r="B8" s="4">
        <f t="shared" si="3"/>
        <v>717.8</v>
      </c>
      <c r="C8">
        <v>150</v>
      </c>
      <c r="D8">
        <v>115.39</v>
      </c>
      <c r="E8" s="4">
        <f t="shared" si="0"/>
        <v>34.61</v>
      </c>
      <c r="F8">
        <v>169.88</v>
      </c>
      <c r="G8" s="4">
        <f t="shared" si="1"/>
        <v>-19.879999999999995</v>
      </c>
      <c r="H8">
        <v>178.04</v>
      </c>
      <c r="I8" s="4">
        <f t="shared" si="2"/>
        <v>-28.039999999999992</v>
      </c>
      <c r="J8">
        <v>97.04</v>
      </c>
      <c r="K8" s="4">
        <f t="shared" si="4"/>
        <v>52.959999999999994</v>
      </c>
      <c r="L8">
        <v>100.14</v>
      </c>
      <c r="M8" s="4">
        <f t="shared" si="5"/>
        <v>49.86</v>
      </c>
      <c r="N8">
        <v>194.51</v>
      </c>
      <c r="O8" s="4">
        <f t="shared" si="6"/>
        <v>-44.509999999999991</v>
      </c>
      <c r="P8">
        <v>180.07</v>
      </c>
      <c r="Q8" s="4">
        <f t="shared" si="7"/>
        <v>-30.069999999999993</v>
      </c>
      <c r="R8">
        <v>146.94999999999999</v>
      </c>
      <c r="S8" s="4">
        <f t="shared" si="8"/>
        <v>3.0500000000000114</v>
      </c>
      <c r="T8">
        <v>152.03</v>
      </c>
      <c r="U8" s="4">
        <f t="shared" si="9"/>
        <v>-2.0300000000000011</v>
      </c>
      <c r="V8">
        <v>39.18</v>
      </c>
      <c r="W8" s="4">
        <f t="shared" si="10"/>
        <v>110.82</v>
      </c>
      <c r="Y8" s="4">
        <f t="shared" si="11"/>
        <v>150</v>
      </c>
      <c r="AA8" s="4">
        <f t="shared" si="12"/>
        <v>150</v>
      </c>
      <c r="AC8" s="4">
        <f t="shared" si="13"/>
        <v>150</v>
      </c>
      <c r="AD8">
        <v>366.97</v>
      </c>
      <c r="AE8" s="4">
        <f t="shared" si="14"/>
        <v>-216.97000000000003</v>
      </c>
      <c r="AF8">
        <v>392</v>
      </c>
      <c r="AG8" s="4">
        <f t="shared" si="15"/>
        <v>-242</v>
      </c>
      <c r="AI8">
        <f t="shared" si="16"/>
        <v>150</v>
      </c>
      <c r="AK8" s="4">
        <f t="shared" si="17"/>
        <v>150</v>
      </c>
      <c r="AM8" s="4">
        <f t="shared" si="18"/>
        <v>150</v>
      </c>
      <c r="AO8" s="4">
        <f t="shared" si="18"/>
        <v>150</v>
      </c>
      <c r="AQ8" s="4">
        <f t="shared" si="18"/>
        <v>150</v>
      </c>
    </row>
    <row r="9" spans="1:43" x14ac:dyDescent="0.25">
      <c r="A9" t="s">
        <v>129</v>
      </c>
      <c r="B9" s="4">
        <f t="shared" si="3"/>
        <v>-5127.4600000000009</v>
      </c>
      <c r="C9">
        <v>50</v>
      </c>
      <c r="D9">
        <v>19.29</v>
      </c>
      <c r="E9" s="4">
        <f t="shared" si="0"/>
        <v>30.71</v>
      </c>
      <c r="F9">
        <v>255.85</v>
      </c>
      <c r="G9" s="4">
        <f t="shared" si="1"/>
        <v>-205.85</v>
      </c>
      <c r="H9">
        <v>325.94</v>
      </c>
      <c r="I9" s="4">
        <f t="shared" si="2"/>
        <v>-275.94</v>
      </c>
      <c r="J9">
        <v>335</v>
      </c>
      <c r="K9" s="4">
        <f t="shared" si="4"/>
        <v>-285</v>
      </c>
      <c r="L9">
        <v>103.69</v>
      </c>
      <c r="M9" s="4">
        <f t="shared" si="5"/>
        <v>-53.69</v>
      </c>
      <c r="N9">
        <v>269.64</v>
      </c>
      <c r="O9" s="4">
        <f t="shared" si="6"/>
        <v>-219.64</v>
      </c>
      <c r="P9">
        <v>273.29000000000002</v>
      </c>
      <c r="Q9" s="4">
        <f t="shared" si="7"/>
        <v>-223.29000000000002</v>
      </c>
      <c r="R9" s="4">
        <v>374.36</v>
      </c>
      <c r="S9" s="4">
        <f t="shared" si="8"/>
        <v>-324.36</v>
      </c>
      <c r="T9">
        <v>591.32000000000005</v>
      </c>
      <c r="U9" s="4">
        <f t="shared" si="9"/>
        <v>-541.32000000000005</v>
      </c>
      <c r="V9">
        <v>568.98</v>
      </c>
      <c r="W9" s="4">
        <f t="shared" si="10"/>
        <v>-518.98</v>
      </c>
      <c r="X9">
        <v>149</v>
      </c>
      <c r="Y9" s="4">
        <f t="shared" si="11"/>
        <v>-99</v>
      </c>
      <c r="Z9">
        <v>520</v>
      </c>
      <c r="AA9" s="4">
        <f t="shared" si="12"/>
        <v>-470</v>
      </c>
      <c r="AB9">
        <v>363.69</v>
      </c>
      <c r="AC9" s="4">
        <f t="shared" si="13"/>
        <v>-313.69</v>
      </c>
      <c r="AE9" s="4">
        <f t="shared" si="14"/>
        <v>50</v>
      </c>
      <c r="AG9" s="4">
        <f t="shared" si="15"/>
        <v>50</v>
      </c>
      <c r="AH9">
        <v>458.39</v>
      </c>
      <c r="AI9" s="4">
        <f t="shared" si="16"/>
        <v>-408.39</v>
      </c>
      <c r="AJ9">
        <v>335.83</v>
      </c>
      <c r="AK9" s="4">
        <f t="shared" si="17"/>
        <v>-285.83</v>
      </c>
      <c r="AL9">
        <v>606.75</v>
      </c>
      <c r="AM9" s="4">
        <f t="shared" si="18"/>
        <v>-556.75</v>
      </c>
      <c r="AN9">
        <v>526.44000000000005</v>
      </c>
      <c r="AO9" s="4">
        <f t="shared" si="18"/>
        <v>-476.44000000000005</v>
      </c>
      <c r="AP9">
        <v>316.06</v>
      </c>
      <c r="AQ9" s="4">
        <f t="shared" si="18"/>
        <v>-266.06</v>
      </c>
    </row>
    <row r="10" spans="1:43" x14ac:dyDescent="0.25">
      <c r="A10" t="s">
        <v>130</v>
      </c>
      <c r="B10" s="4">
        <f t="shared" si="3"/>
        <v>-3977.08</v>
      </c>
      <c r="C10">
        <v>70</v>
      </c>
      <c r="E10" s="4">
        <f t="shared" si="0"/>
        <v>70</v>
      </c>
      <c r="G10" s="4">
        <f t="shared" si="1"/>
        <v>70</v>
      </c>
      <c r="H10">
        <v>598.20000000000005</v>
      </c>
      <c r="I10" s="4">
        <f t="shared" si="2"/>
        <v>-528.20000000000005</v>
      </c>
      <c r="J10">
        <v>204.42</v>
      </c>
      <c r="K10" s="4">
        <f t="shared" si="4"/>
        <v>-134.41999999999999</v>
      </c>
      <c r="L10">
        <v>70.8</v>
      </c>
      <c r="M10" s="4">
        <f t="shared" si="5"/>
        <v>-0.79999999999999716</v>
      </c>
      <c r="O10" s="4">
        <f t="shared" si="6"/>
        <v>70</v>
      </c>
      <c r="Q10" s="4">
        <f t="shared" si="7"/>
        <v>70</v>
      </c>
      <c r="S10" s="4">
        <f t="shared" si="8"/>
        <v>70</v>
      </c>
      <c r="T10">
        <v>785.23</v>
      </c>
      <c r="U10" s="4">
        <f t="shared" si="9"/>
        <v>-715.23</v>
      </c>
      <c r="V10">
        <v>896</v>
      </c>
      <c r="W10" s="4">
        <f t="shared" si="10"/>
        <v>-826</v>
      </c>
      <c r="X10">
        <v>245</v>
      </c>
      <c r="Y10" s="4">
        <f t="shared" si="11"/>
        <v>-175</v>
      </c>
      <c r="Z10">
        <v>1114.32</v>
      </c>
      <c r="AA10" s="4">
        <f t="shared" si="12"/>
        <v>-1044.32</v>
      </c>
      <c r="AB10">
        <v>311.86</v>
      </c>
      <c r="AC10" s="4">
        <f t="shared" si="13"/>
        <v>-241.86</v>
      </c>
      <c r="AD10">
        <v>7</v>
      </c>
      <c r="AE10" s="4">
        <f t="shared" si="14"/>
        <v>63</v>
      </c>
      <c r="AF10">
        <v>434.25</v>
      </c>
      <c r="AG10" s="4">
        <f t="shared" si="15"/>
        <v>-364.25</v>
      </c>
      <c r="AI10">
        <f t="shared" si="16"/>
        <v>70</v>
      </c>
      <c r="AJ10">
        <v>640</v>
      </c>
      <c r="AK10" s="4">
        <f t="shared" si="17"/>
        <v>-570</v>
      </c>
      <c r="AM10" s="4">
        <f t="shared" si="18"/>
        <v>70</v>
      </c>
      <c r="AO10" s="4">
        <f t="shared" si="18"/>
        <v>70</v>
      </c>
      <c r="AQ10" s="4">
        <f t="shared" si="18"/>
        <v>70</v>
      </c>
    </row>
    <row r="11" spans="1:43" x14ac:dyDescent="0.25">
      <c r="A11" t="s">
        <v>40</v>
      </c>
      <c r="B11" s="4">
        <f t="shared" si="3"/>
        <v>-866.17</v>
      </c>
      <c r="C11">
        <v>100</v>
      </c>
      <c r="D11">
        <v>0</v>
      </c>
      <c r="E11" s="4">
        <f t="shared" si="0"/>
        <v>100</v>
      </c>
      <c r="G11" s="4">
        <f t="shared" si="1"/>
        <v>100</v>
      </c>
      <c r="H11">
        <v>269.58</v>
      </c>
      <c r="I11" s="4">
        <f t="shared" si="2"/>
        <v>-169.57999999999998</v>
      </c>
      <c r="J11">
        <v>163.49</v>
      </c>
      <c r="K11" s="4">
        <f t="shared" si="4"/>
        <v>-63.490000000000009</v>
      </c>
      <c r="L11">
        <v>159.84</v>
      </c>
      <c r="M11" s="4">
        <f t="shared" si="5"/>
        <v>-59.84</v>
      </c>
      <c r="N11">
        <v>0</v>
      </c>
      <c r="O11" s="4">
        <f t="shared" si="6"/>
        <v>100</v>
      </c>
      <c r="Q11" s="4">
        <f t="shared" si="7"/>
        <v>100</v>
      </c>
      <c r="S11" s="4">
        <f t="shared" si="8"/>
        <v>100</v>
      </c>
      <c r="T11">
        <v>200</v>
      </c>
      <c r="U11" s="4">
        <f t="shared" si="9"/>
        <v>-100</v>
      </c>
      <c r="V11">
        <v>500</v>
      </c>
      <c r="W11" s="4">
        <f t="shared" si="10"/>
        <v>-400</v>
      </c>
      <c r="Y11" s="4">
        <f t="shared" si="11"/>
        <v>100</v>
      </c>
      <c r="AA11" s="4">
        <f t="shared" si="12"/>
        <v>100</v>
      </c>
      <c r="AB11">
        <v>218.29</v>
      </c>
      <c r="AC11" s="4">
        <f t="shared" si="13"/>
        <v>-118.28999999999999</v>
      </c>
      <c r="AE11" s="4">
        <f t="shared" si="14"/>
        <v>100</v>
      </c>
      <c r="AG11" s="4">
        <f t="shared" si="15"/>
        <v>100</v>
      </c>
      <c r="AH11">
        <v>771.59</v>
      </c>
      <c r="AI11" s="4">
        <f t="shared" si="16"/>
        <v>-671.59</v>
      </c>
      <c r="AJ11">
        <v>15.25</v>
      </c>
      <c r="AK11" s="4">
        <f t="shared" si="17"/>
        <v>84.75</v>
      </c>
      <c r="AL11">
        <v>188.27</v>
      </c>
      <c r="AM11" s="4">
        <f t="shared" si="18"/>
        <v>-88.27000000000001</v>
      </c>
      <c r="AN11">
        <v>279.86</v>
      </c>
      <c r="AO11" s="4">
        <f t="shared" si="18"/>
        <v>-179.86</v>
      </c>
      <c r="AP11">
        <v>400</v>
      </c>
      <c r="AQ11" s="4">
        <f t="shared" si="18"/>
        <v>-300</v>
      </c>
    </row>
    <row r="12" spans="1:43" x14ac:dyDescent="0.25">
      <c r="A12" t="s">
        <v>89</v>
      </c>
      <c r="B12" s="4">
        <f t="shared" si="3"/>
        <v>-1676.6899999999998</v>
      </c>
      <c r="C12">
        <v>100</v>
      </c>
      <c r="D12">
        <v>347.47</v>
      </c>
      <c r="E12" s="4">
        <f t="shared" si="0"/>
        <v>-247.47000000000003</v>
      </c>
      <c r="F12">
        <v>48.91</v>
      </c>
      <c r="G12" s="4">
        <f t="shared" si="1"/>
        <v>51.09</v>
      </c>
      <c r="H12">
        <v>207.93</v>
      </c>
      <c r="I12" s="4">
        <f t="shared" si="2"/>
        <v>-107.93</v>
      </c>
      <c r="J12">
        <v>140.54</v>
      </c>
      <c r="K12" s="4">
        <f t="shared" si="4"/>
        <v>-40.539999999999992</v>
      </c>
      <c r="L12">
        <v>133.93</v>
      </c>
      <c r="M12" s="4">
        <f t="shared" si="5"/>
        <v>-33.930000000000007</v>
      </c>
      <c r="N12">
        <v>175</v>
      </c>
      <c r="O12" s="4">
        <f t="shared" si="6"/>
        <v>-75</v>
      </c>
      <c r="P12">
        <v>134.35</v>
      </c>
      <c r="Q12" s="4">
        <f t="shared" si="7"/>
        <v>-34.349999999999994</v>
      </c>
      <c r="R12">
        <v>65.849999999999994</v>
      </c>
      <c r="S12" s="4">
        <f t="shared" si="8"/>
        <v>34.150000000000006</v>
      </c>
      <c r="T12">
        <v>246.84</v>
      </c>
      <c r="U12" s="4">
        <f t="shared" si="9"/>
        <v>-146.84</v>
      </c>
      <c r="V12">
        <v>170</v>
      </c>
      <c r="W12" s="4">
        <f t="shared" si="10"/>
        <v>-70</v>
      </c>
      <c r="X12">
        <v>53.27</v>
      </c>
      <c r="Y12" s="4">
        <f t="shared" si="11"/>
        <v>46.73</v>
      </c>
      <c r="Z12">
        <v>260</v>
      </c>
      <c r="AA12" s="4">
        <f t="shared" si="12"/>
        <v>-160</v>
      </c>
      <c r="AB12">
        <v>124.6</v>
      </c>
      <c r="AC12" s="4">
        <f t="shared" si="13"/>
        <v>-24.599999999999994</v>
      </c>
      <c r="AD12">
        <v>153.01</v>
      </c>
      <c r="AE12" s="4">
        <f t="shared" si="14"/>
        <v>-53.009999999999991</v>
      </c>
      <c r="AF12">
        <v>143.78</v>
      </c>
      <c r="AG12" s="4">
        <f t="shared" si="15"/>
        <v>-43.78</v>
      </c>
      <c r="AH12">
        <v>276.49</v>
      </c>
      <c r="AI12" s="4">
        <f t="shared" si="16"/>
        <v>-176.49</v>
      </c>
      <c r="AJ12">
        <v>267.29000000000002</v>
      </c>
      <c r="AK12" s="4">
        <f t="shared" si="17"/>
        <v>-167.29000000000002</v>
      </c>
      <c r="AL12">
        <v>166.84</v>
      </c>
      <c r="AM12" s="4">
        <f t="shared" si="18"/>
        <v>-66.84</v>
      </c>
      <c r="AN12">
        <v>460.59</v>
      </c>
      <c r="AO12" s="4">
        <f t="shared" si="18"/>
        <v>-360.59</v>
      </c>
      <c r="AP12">
        <v>414</v>
      </c>
      <c r="AQ12" s="4">
        <f t="shared" si="18"/>
        <v>-314</v>
      </c>
    </row>
    <row r="13" spans="1:43" x14ac:dyDescent="0.25">
      <c r="A13" t="s">
        <v>32</v>
      </c>
      <c r="B13" s="4">
        <f t="shared" si="3"/>
        <v>-243.57</v>
      </c>
      <c r="C13">
        <v>0</v>
      </c>
      <c r="D13">
        <v>0</v>
      </c>
      <c r="E13" s="4">
        <f t="shared" si="0"/>
        <v>0</v>
      </c>
      <c r="G13" s="4">
        <f t="shared" si="1"/>
        <v>0</v>
      </c>
      <c r="I13" s="4">
        <f t="shared" si="2"/>
        <v>0</v>
      </c>
      <c r="J13">
        <v>0</v>
      </c>
      <c r="K13" s="4">
        <f t="shared" si="4"/>
        <v>0</v>
      </c>
      <c r="M13" s="4">
        <f t="shared" si="5"/>
        <v>0</v>
      </c>
      <c r="N13">
        <v>118</v>
      </c>
      <c r="O13" s="4">
        <f t="shared" si="6"/>
        <v>-118</v>
      </c>
      <c r="P13">
        <v>118</v>
      </c>
      <c r="Q13" s="4">
        <f t="shared" si="7"/>
        <v>-118</v>
      </c>
      <c r="S13" s="4">
        <f t="shared" si="8"/>
        <v>0</v>
      </c>
      <c r="U13" s="4">
        <f t="shared" si="9"/>
        <v>0</v>
      </c>
      <c r="W13" s="4">
        <f t="shared" si="10"/>
        <v>0</v>
      </c>
      <c r="Y13" s="4">
        <f t="shared" si="11"/>
        <v>0</v>
      </c>
      <c r="AA13" s="4">
        <f t="shared" si="12"/>
        <v>0</v>
      </c>
      <c r="AC13" s="4">
        <f t="shared" si="13"/>
        <v>0</v>
      </c>
      <c r="AE13" s="4">
        <f t="shared" si="14"/>
        <v>0</v>
      </c>
      <c r="AF13">
        <v>7.57</v>
      </c>
      <c r="AG13" s="4">
        <f t="shared" si="15"/>
        <v>-7.57</v>
      </c>
      <c r="AI13">
        <f t="shared" si="16"/>
        <v>0</v>
      </c>
      <c r="AK13" s="4">
        <f t="shared" si="17"/>
        <v>0</v>
      </c>
      <c r="AM13" s="4">
        <f t="shared" si="18"/>
        <v>0</v>
      </c>
      <c r="AO13" s="4">
        <f t="shared" si="18"/>
        <v>0</v>
      </c>
      <c r="AQ13" s="4">
        <f t="shared" si="18"/>
        <v>0</v>
      </c>
    </row>
    <row r="14" spans="1:43" x14ac:dyDescent="0.25">
      <c r="A14" t="s">
        <v>160</v>
      </c>
      <c r="B14" s="4">
        <f t="shared" si="3"/>
        <v>242.35000000000002</v>
      </c>
      <c r="C14">
        <v>30</v>
      </c>
      <c r="E14" s="4"/>
      <c r="G14" s="4">
        <f t="shared" si="1"/>
        <v>30</v>
      </c>
      <c r="I14" s="4">
        <f t="shared" si="2"/>
        <v>30</v>
      </c>
      <c r="K14" s="4"/>
      <c r="M14" s="4">
        <f t="shared" si="5"/>
        <v>30</v>
      </c>
      <c r="O14" s="4"/>
      <c r="Q14" s="4"/>
      <c r="S14" s="4">
        <f t="shared" si="8"/>
        <v>30</v>
      </c>
      <c r="U14" s="4">
        <f t="shared" si="9"/>
        <v>30</v>
      </c>
      <c r="W14" s="4">
        <f t="shared" si="10"/>
        <v>30</v>
      </c>
      <c r="X14">
        <v>120.94</v>
      </c>
      <c r="Y14" s="4">
        <f t="shared" si="11"/>
        <v>-90.94</v>
      </c>
      <c r="AA14" s="4">
        <f t="shared" si="12"/>
        <v>30</v>
      </c>
      <c r="AC14" s="4">
        <f t="shared" si="13"/>
        <v>30</v>
      </c>
      <c r="AD14">
        <v>7.57</v>
      </c>
      <c r="AE14" s="4">
        <f t="shared" si="14"/>
        <v>22.43</v>
      </c>
      <c r="AG14" s="4">
        <f t="shared" si="15"/>
        <v>30</v>
      </c>
      <c r="AH14">
        <v>64</v>
      </c>
      <c r="AI14" s="4">
        <f t="shared" si="16"/>
        <v>-34</v>
      </c>
      <c r="AJ14">
        <v>7.57</v>
      </c>
      <c r="AK14" s="4">
        <f t="shared" si="17"/>
        <v>22.43</v>
      </c>
      <c r="AM14" s="4">
        <f t="shared" si="18"/>
        <v>30</v>
      </c>
      <c r="AN14">
        <v>7.57</v>
      </c>
      <c r="AO14" s="4">
        <f t="shared" si="18"/>
        <v>22.43</v>
      </c>
      <c r="AP14">
        <v>65.569999999999993</v>
      </c>
      <c r="AQ14" s="4">
        <f t="shared" si="18"/>
        <v>-35.569999999999993</v>
      </c>
    </row>
    <row r="15" spans="1:43" x14ac:dyDescent="0.25">
      <c r="A15" t="s">
        <v>57</v>
      </c>
      <c r="B15" s="4">
        <f t="shared" si="3"/>
        <v>691</v>
      </c>
      <c r="C15">
        <v>48</v>
      </c>
      <c r="D15">
        <v>0</v>
      </c>
      <c r="E15" s="4">
        <f t="shared" si="0"/>
        <v>48</v>
      </c>
      <c r="G15" s="4">
        <f t="shared" si="1"/>
        <v>48</v>
      </c>
      <c r="I15" s="4">
        <f t="shared" si="2"/>
        <v>48</v>
      </c>
      <c r="J15">
        <v>45</v>
      </c>
      <c r="K15" s="4">
        <f t="shared" si="4"/>
        <v>3</v>
      </c>
      <c r="M15" s="4">
        <f t="shared" si="5"/>
        <v>48</v>
      </c>
      <c r="N15">
        <v>48</v>
      </c>
      <c r="O15" s="4">
        <f t="shared" si="6"/>
        <v>0</v>
      </c>
      <c r="P15">
        <v>48</v>
      </c>
      <c r="Q15" s="4">
        <f t="shared" si="7"/>
        <v>0</v>
      </c>
      <c r="R15">
        <v>40</v>
      </c>
      <c r="S15" s="4">
        <f t="shared" si="8"/>
        <v>8</v>
      </c>
      <c r="T15">
        <v>40</v>
      </c>
      <c r="U15" s="4">
        <f t="shared" si="9"/>
        <v>8</v>
      </c>
      <c r="W15" s="4">
        <f t="shared" si="10"/>
        <v>48</v>
      </c>
      <c r="Y15" s="4">
        <f t="shared" si="11"/>
        <v>48</v>
      </c>
      <c r="AA15" s="4">
        <f t="shared" si="12"/>
        <v>48</v>
      </c>
      <c r="AC15" s="4">
        <f t="shared" si="13"/>
        <v>48</v>
      </c>
      <c r="AE15" s="4">
        <f t="shared" si="14"/>
        <v>48</v>
      </c>
      <c r="AG15" s="4">
        <f t="shared" si="15"/>
        <v>48</v>
      </c>
      <c r="AI15">
        <f t="shared" si="16"/>
        <v>48</v>
      </c>
      <c r="AK15" s="4">
        <f t="shared" si="17"/>
        <v>48</v>
      </c>
      <c r="AM15" s="4">
        <f t="shared" si="18"/>
        <v>48</v>
      </c>
      <c r="AO15" s="4">
        <f t="shared" si="18"/>
        <v>48</v>
      </c>
      <c r="AQ15" s="4">
        <f t="shared" si="18"/>
        <v>48</v>
      </c>
    </row>
    <row r="16" spans="1:43" x14ac:dyDescent="0.25">
      <c r="A16" t="s">
        <v>112</v>
      </c>
      <c r="B16" s="4">
        <f t="shared" si="3"/>
        <v>149</v>
      </c>
      <c r="C16">
        <v>10</v>
      </c>
      <c r="E16" s="4">
        <f t="shared" si="0"/>
        <v>10</v>
      </c>
      <c r="F16">
        <v>25</v>
      </c>
      <c r="G16" s="4">
        <f t="shared" si="1"/>
        <v>-15</v>
      </c>
      <c r="I16" s="4">
        <f t="shared" si="2"/>
        <v>10</v>
      </c>
      <c r="K16" s="4">
        <f t="shared" si="4"/>
        <v>10</v>
      </c>
      <c r="L16">
        <v>6</v>
      </c>
      <c r="M16" s="4">
        <f t="shared" si="5"/>
        <v>4</v>
      </c>
      <c r="O16" s="4">
        <f t="shared" si="6"/>
        <v>10</v>
      </c>
      <c r="Q16" s="4">
        <f t="shared" si="7"/>
        <v>10</v>
      </c>
      <c r="R16">
        <v>10</v>
      </c>
      <c r="S16" s="4">
        <f t="shared" si="8"/>
        <v>0</v>
      </c>
      <c r="U16" s="4">
        <f t="shared" si="9"/>
        <v>10</v>
      </c>
      <c r="W16" s="4">
        <f t="shared" si="10"/>
        <v>10</v>
      </c>
      <c r="Y16" s="4">
        <f t="shared" si="11"/>
        <v>10</v>
      </c>
      <c r="AA16" s="4">
        <f t="shared" si="12"/>
        <v>10</v>
      </c>
      <c r="AC16" s="4">
        <f t="shared" si="13"/>
        <v>10</v>
      </c>
      <c r="AE16" s="4">
        <f t="shared" si="14"/>
        <v>10</v>
      </c>
      <c r="AG16" s="4">
        <f t="shared" si="15"/>
        <v>10</v>
      </c>
      <c r="AI16">
        <f t="shared" si="16"/>
        <v>10</v>
      </c>
      <c r="AK16" s="4">
        <f t="shared" si="17"/>
        <v>10</v>
      </c>
      <c r="AM16" s="4">
        <f t="shared" si="18"/>
        <v>10</v>
      </c>
      <c r="AO16" s="4">
        <f t="shared" si="18"/>
        <v>10</v>
      </c>
      <c r="AQ16" s="4">
        <f t="shared" si="18"/>
        <v>10</v>
      </c>
    </row>
    <row r="17" spans="1:43" x14ac:dyDescent="0.25">
      <c r="A17" t="s">
        <v>34</v>
      </c>
      <c r="B17" s="4">
        <f t="shared" si="3"/>
        <v>40</v>
      </c>
      <c r="C17">
        <v>10</v>
      </c>
      <c r="D17">
        <v>0</v>
      </c>
      <c r="E17" s="4">
        <f t="shared" si="0"/>
        <v>10</v>
      </c>
      <c r="G17" s="4">
        <f t="shared" si="1"/>
        <v>10</v>
      </c>
      <c r="I17" s="4">
        <f t="shared" si="2"/>
        <v>10</v>
      </c>
      <c r="K17" s="4">
        <f t="shared" si="4"/>
        <v>10</v>
      </c>
      <c r="M17" s="4">
        <f t="shared" si="5"/>
        <v>10</v>
      </c>
      <c r="O17" s="4">
        <f t="shared" si="6"/>
        <v>10</v>
      </c>
      <c r="Q17" s="4">
        <f>$C17-P20</f>
        <v>-5</v>
      </c>
      <c r="R17">
        <v>15</v>
      </c>
      <c r="S17" s="4">
        <f t="shared" si="8"/>
        <v>-5</v>
      </c>
      <c r="T17">
        <v>15</v>
      </c>
      <c r="U17" s="4">
        <f t="shared" si="9"/>
        <v>-5</v>
      </c>
      <c r="V17">
        <v>15</v>
      </c>
      <c r="W17" s="4">
        <f t="shared" si="10"/>
        <v>-5</v>
      </c>
      <c r="X17">
        <v>15</v>
      </c>
      <c r="Y17" s="4">
        <f t="shared" si="11"/>
        <v>-5</v>
      </c>
      <c r="Z17">
        <v>15</v>
      </c>
      <c r="AA17" s="4">
        <f t="shared" si="12"/>
        <v>-5</v>
      </c>
      <c r="AB17">
        <v>15</v>
      </c>
      <c r="AC17" s="4">
        <f t="shared" si="13"/>
        <v>-5</v>
      </c>
      <c r="AD17">
        <v>15</v>
      </c>
      <c r="AE17" s="4">
        <f t="shared" si="14"/>
        <v>-5</v>
      </c>
      <c r="AF17">
        <v>15</v>
      </c>
      <c r="AG17" s="4">
        <f t="shared" si="15"/>
        <v>-5</v>
      </c>
      <c r="AH17">
        <v>15</v>
      </c>
      <c r="AI17" s="4">
        <f t="shared" si="16"/>
        <v>-5</v>
      </c>
      <c r="AK17" s="4">
        <f t="shared" si="17"/>
        <v>10</v>
      </c>
      <c r="AM17" s="4">
        <f t="shared" si="18"/>
        <v>10</v>
      </c>
      <c r="AO17" s="4">
        <f t="shared" si="18"/>
        <v>10</v>
      </c>
      <c r="AQ17" s="4">
        <f t="shared" si="18"/>
        <v>10</v>
      </c>
    </row>
    <row r="18" spans="1:43" x14ac:dyDescent="0.25">
      <c r="A18" t="s">
        <v>94</v>
      </c>
      <c r="B18" s="4">
        <f t="shared" si="3"/>
        <v>11920</v>
      </c>
      <c r="C18">
        <v>1750</v>
      </c>
      <c r="D18">
        <v>0</v>
      </c>
      <c r="E18" s="4">
        <f t="shared" si="0"/>
        <v>1750</v>
      </c>
      <c r="F18">
        <v>1200</v>
      </c>
      <c r="G18" s="4">
        <f t="shared" si="1"/>
        <v>550</v>
      </c>
      <c r="H18">
        <v>2050</v>
      </c>
      <c r="I18" s="4">
        <f t="shared" si="2"/>
        <v>-300</v>
      </c>
      <c r="J18">
        <v>1930</v>
      </c>
      <c r="K18" s="4">
        <f t="shared" si="4"/>
        <v>-180</v>
      </c>
      <c r="L18">
        <v>1750</v>
      </c>
      <c r="M18" s="4">
        <f t="shared" si="5"/>
        <v>0</v>
      </c>
      <c r="N18">
        <v>1750</v>
      </c>
      <c r="O18" s="4">
        <f t="shared" si="6"/>
        <v>0</v>
      </c>
      <c r="P18">
        <v>1750</v>
      </c>
      <c r="Q18" s="4">
        <f t="shared" si="7"/>
        <v>0</v>
      </c>
      <c r="R18">
        <v>1750</v>
      </c>
      <c r="S18" s="4">
        <f t="shared" si="8"/>
        <v>0</v>
      </c>
      <c r="T18">
        <v>1750</v>
      </c>
      <c r="U18" s="4">
        <f t="shared" si="9"/>
        <v>0</v>
      </c>
      <c r="V18">
        <v>1750</v>
      </c>
      <c r="W18" s="4">
        <f t="shared" si="10"/>
        <v>0</v>
      </c>
      <c r="Y18" s="4">
        <f t="shared" si="11"/>
        <v>1750</v>
      </c>
      <c r="Z18">
        <v>800</v>
      </c>
      <c r="AA18" s="4">
        <f t="shared" si="12"/>
        <v>950</v>
      </c>
      <c r="AB18">
        <v>800</v>
      </c>
      <c r="AC18" s="4">
        <f t="shared" si="13"/>
        <v>950</v>
      </c>
      <c r="AD18">
        <v>800</v>
      </c>
      <c r="AE18" s="4">
        <f t="shared" si="14"/>
        <v>950</v>
      </c>
      <c r="AF18">
        <v>650</v>
      </c>
      <c r="AG18" s="4">
        <f t="shared" si="15"/>
        <v>1100</v>
      </c>
      <c r="AH18">
        <v>650</v>
      </c>
      <c r="AI18" s="4">
        <f t="shared" si="16"/>
        <v>1100</v>
      </c>
      <c r="AJ18">
        <v>650</v>
      </c>
      <c r="AK18" s="4">
        <f t="shared" si="17"/>
        <v>1100</v>
      </c>
      <c r="AL18">
        <v>650</v>
      </c>
      <c r="AM18" s="4">
        <f t="shared" si="18"/>
        <v>1100</v>
      </c>
      <c r="AN18">
        <v>650</v>
      </c>
      <c r="AO18" s="4">
        <f t="shared" si="18"/>
        <v>1100</v>
      </c>
      <c r="AP18">
        <v>650</v>
      </c>
      <c r="AQ18" s="4">
        <f t="shared" si="18"/>
        <v>1100</v>
      </c>
    </row>
    <row r="19" spans="1:43" x14ac:dyDescent="0.25">
      <c r="A19" t="s">
        <v>167</v>
      </c>
      <c r="B19" s="4">
        <f t="shared" si="3"/>
        <v>-216.48000000000002</v>
      </c>
      <c r="C19">
        <v>0</v>
      </c>
      <c r="D19">
        <v>0</v>
      </c>
      <c r="E19" s="4">
        <f t="shared" si="0"/>
        <v>0</v>
      </c>
      <c r="G19" s="4">
        <f t="shared" si="1"/>
        <v>0</v>
      </c>
      <c r="I19" s="4">
        <f t="shared" si="2"/>
        <v>0</v>
      </c>
      <c r="J19">
        <v>13.5</v>
      </c>
      <c r="K19" s="4">
        <f t="shared" si="4"/>
        <v>-13.5</v>
      </c>
      <c r="M19" s="4">
        <f t="shared" si="5"/>
        <v>0</v>
      </c>
      <c r="O19" s="4">
        <f t="shared" si="6"/>
        <v>0</v>
      </c>
      <c r="Q19" s="4">
        <f t="shared" si="7"/>
        <v>0</v>
      </c>
      <c r="S19" s="4">
        <f t="shared" si="8"/>
        <v>0</v>
      </c>
      <c r="U19" s="4">
        <f t="shared" si="9"/>
        <v>0</v>
      </c>
      <c r="V19">
        <v>73</v>
      </c>
      <c r="W19" s="4">
        <f t="shared" si="10"/>
        <v>-73</v>
      </c>
      <c r="Y19" s="4">
        <f t="shared" si="11"/>
        <v>0</v>
      </c>
      <c r="Z19">
        <v>21.76</v>
      </c>
      <c r="AA19" s="4">
        <f t="shared" si="12"/>
        <v>-21.76</v>
      </c>
      <c r="AC19" s="4">
        <f t="shared" si="13"/>
        <v>0</v>
      </c>
      <c r="AE19" s="4">
        <f t="shared" si="14"/>
        <v>0</v>
      </c>
      <c r="AF19">
        <v>26.9</v>
      </c>
      <c r="AG19" s="4">
        <f t="shared" si="15"/>
        <v>-26.9</v>
      </c>
      <c r="AH19">
        <v>36.74</v>
      </c>
      <c r="AI19" s="4">
        <f t="shared" si="16"/>
        <v>-36.74</v>
      </c>
      <c r="AJ19">
        <v>31.59</v>
      </c>
      <c r="AK19" s="4">
        <f t="shared" si="17"/>
        <v>-31.59</v>
      </c>
      <c r="AL19">
        <v>12.99</v>
      </c>
      <c r="AM19" s="4">
        <f t="shared" si="18"/>
        <v>-12.99</v>
      </c>
      <c r="AO19" s="4">
        <f t="shared" si="18"/>
        <v>0</v>
      </c>
      <c r="AP19">
        <v>10</v>
      </c>
      <c r="AQ19" s="4">
        <f t="shared" si="18"/>
        <v>-10</v>
      </c>
    </row>
    <row r="20" spans="1:43" x14ac:dyDescent="0.25">
      <c r="A20" t="s">
        <v>35</v>
      </c>
      <c r="B20" s="4">
        <f t="shared" si="3"/>
        <v>135.05000000000001</v>
      </c>
      <c r="C20">
        <v>15</v>
      </c>
      <c r="D20">
        <v>14.99</v>
      </c>
      <c r="E20" s="4">
        <f t="shared" si="0"/>
        <v>9.9999999999997868E-3</v>
      </c>
      <c r="F20">
        <v>15</v>
      </c>
      <c r="G20" s="4">
        <f t="shared" si="1"/>
        <v>0</v>
      </c>
      <c r="H20">
        <v>14.99</v>
      </c>
      <c r="I20" s="4">
        <f t="shared" si="2"/>
        <v>9.9999999999997868E-3</v>
      </c>
      <c r="J20">
        <v>14.99</v>
      </c>
      <c r="K20" s="4">
        <f t="shared" si="4"/>
        <v>9.9999999999997868E-3</v>
      </c>
      <c r="L20">
        <v>14.99</v>
      </c>
      <c r="M20" s="4">
        <f t="shared" si="5"/>
        <v>9.9999999999997868E-3</v>
      </c>
      <c r="N20">
        <v>14.99</v>
      </c>
      <c r="O20" s="4">
        <f t="shared" si="6"/>
        <v>9.9999999999997868E-3</v>
      </c>
      <c r="P20">
        <v>15</v>
      </c>
      <c r="Q20" s="4">
        <f t="shared" si="7"/>
        <v>0</v>
      </c>
      <c r="S20" s="4">
        <f t="shared" si="8"/>
        <v>15</v>
      </c>
      <c r="U20" s="4">
        <f t="shared" si="9"/>
        <v>15</v>
      </c>
      <c r="W20" s="4">
        <f t="shared" si="10"/>
        <v>15</v>
      </c>
      <c r="Y20" s="4">
        <f t="shared" si="11"/>
        <v>15</v>
      </c>
      <c r="AA20" s="4">
        <f t="shared" si="12"/>
        <v>15</v>
      </c>
      <c r="AC20" s="4">
        <f t="shared" si="13"/>
        <v>15</v>
      </c>
      <c r="AE20" s="4">
        <f t="shared" si="14"/>
        <v>15</v>
      </c>
      <c r="AG20" s="4">
        <f t="shared" si="15"/>
        <v>15</v>
      </c>
      <c r="AI20">
        <f t="shared" si="16"/>
        <v>15</v>
      </c>
      <c r="AJ20">
        <v>15</v>
      </c>
      <c r="AK20" s="4">
        <f>$C20-AJ20</f>
        <v>0</v>
      </c>
      <c r="AL20">
        <v>15</v>
      </c>
      <c r="AM20" s="4">
        <f t="shared" si="18"/>
        <v>0</v>
      </c>
      <c r="AN20">
        <v>15</v>
      </c>
      <c r="AO20" s="4">
        <f t="shared" si="18"/>
        <v>0</v>
      </c>
      <c r="AP20">
        <v>15</v>
      </c>
      <c r="AQ20" s="4">
        <f t="shared" si="18"/>
        <v>0</v>
      </c>
    </row>
    <row r="21" spans="1:43" x14ac:dyDescent="0.25">
      <c r="A21" t="s">
        <v>61</v>
      </c>
      <c r="B21" s="4">
        <f t="shared" si="3"/>
        <v>14259.19</v>
      </c>
      <c r="C21">
        <v>780</v>
      </c>
      <c r="D21">
        <v>0</v>
      </c>
      <c r="E21" s="4">
        <f t="shared" si="0"/>
        <v>780</v>
      </c>
      <c r="G21" s="4">
        <f t="shared" si="1"/>
        <v>780</v>
      </c>
      <c r="I21" s="4">
        <f t="shared" si="2"/>
        <v>780</v>
      </c>
      <c r="K21" s="4">
        <f t="shared" si="4"/>
        <v>780</v>
      </c>
      <c r="M21" s="4">
        <f t="shared" si="5"/>
        <v>780</v>
      </c>
      <c r="O21" s="4">
        <f t="shared" si="6"/>
        <v>780</v>
      </c>
      <c r="Q21" s="4">
        <f t="shared" si="7"/>
        <v>780</v>
      </c>
      <c r="S21" s="4">
        <f t="shared" si="8"/>
        <v>780</v>
      </c>
      <c r="U21" s="4">
        <f t="shared" si="9"/>
        <v>780</v>
      </c>
      <c r="V21">
        <v>53.24</v>
      </c>
      <c r="W21" s="4">
        <f t="shared" si="10"/>
        <v>726.76</v>
      </c>
      <c r="X21">
        <v>482.57</v>
      </c>
      <c r="Y21" s="4">
        <f t="shared" si="11"/>
        <v>297.43</v>
      </c>
      <c r="Z21">
        <v>25</v>
      </c>
      <c r="AA21" s="4">
        <f t="shared" si="12"/>
        <v>755</v>
      </c>
      <c r="AC21" s="4">
        <f t="shared" si="13"/>
        <v>780</v>
      </c>
      <c r="AE21" s="4">
        <f t="shared" si="14"/>
        <v>780</v>
      </c>
      <c r="AG21" s="4">
        <f t="shared" si="15"/>
        <v>780</v>
      </c>
      <c r="AI21">
        <f t="shared" si="16"/>
        <v>780</v>
      </c>
      <c r="AK21" s="4">
        <f>$C21-AJ21</f>
        <v>780</v>
      </c>
      <c r="AM21" s="4">
        <f t="shared" si="18"/>
        <v>780</v>
      </c>
      <c r="AO21" s="4">
        <f t="shared" si="18"/>
        <v>780</v>
      </c>
      <c r="AQ21" s="4">
        <f t="shared" si="18"/>
        <v>780</v>
      </c>
    </row>
    <row r="22" spans="1:43" x14ac:dyDescent="0.25">
      <c r="A22" t="s">
        <v>90</v>
      </c>
      <c r="B22" s="4">
        <f t="shared" si="3"/>
        <v>-769.75</v>
      </c>
      <c r="C22">
        <v>35</v>
      </c>
      <c r="D22">
        <v>60</v>
      </c>
      <c r="E22" s="4">
        <f t="shared" si="0"/>
        <v>-25</v>
      </c>
      <c r="F22">
        <v>104</v>
      </c>
      <c r="G22" s="4">
        <f t="shared" si="1"/>
        <v>-69</v>
      </c>
      <c r="H22">
        <v>104</v>
      </c>
      <c r="I22" s="4">
        <f t="shared" si="2"/>
        <v>-69</v>
      </c>
      <c r="J22">
        <v>45</v>
      </c>
      <c r="K22" s="4">
        <f t="shared" si="4"/>
        <v>-10</v>
      </c>
      <c r="L22">
        <v>35</v>
      </c>
      <c r="M22" s="4">
        <f t="shared" si="5"/>
        <v>0</v>
      </c>
      <c r="N22">
        <v>35</v>
      </c>
      <c r="O22" s="4">
        <f t="shared" si="6"/>
        <v>0</v>
      </c>
      <c r="P22">
        <v>65</v>
      </c>
      <c r="Q22" s="4">
        <f t="shared" si="7"/>
        <v>-30</v>
      </c>
      <c r="R22">
        <v>45</v>
      </c>
      <c r="S22" s="4">
        <f t="shared" si="8"/>
        <v>-10</v>
      </c>
      <c r="T22">
        <v>45</v>
      </c>
      <c r="U22" s="4">
        <f t="shared" si="9"/>
        <v>-10</v>
      </c>
      <c r="V22">
        <v>30</v>
      </c>
      <c r="W22" s="4">
        <f t="shared" si="10"/>
        <v>5</v>
      </c>
      <c r="Y22" s="4">
        <f t="shared" si="11"/>
        <v>35</v>
      </c>
      <c r="Z22">
        <f>84.75+35</f>
        <v>119.75</v>
      </c>
      <c r="AA22" s="4">
        <f t="shared" si="12"/>
        <v>-84.75</v>
      </c>
      <c r="AB22">
        <v>120</v>
      </c>
      <c r="AC22" s="4">
        <f t="shared" si="13"/>
        <v>-85</v>
      </c>
      <c r="AD22">
        <v>62</v>
      </c>
      <c r="AE22" s="4">
        <f t="shared" si="14"/>
        <v>-27</v>
      </c>
      <c r="AF22">
        <v>100</v>
      </c>
      <c r="AG22" s="4">
        <f t="shared" si="15"/>
        <v>-65</v>
      </c>
      <c r="AH22">
        <v>60</v>
      </c>
      <c r="AI22">
        <f t="shared" si="16"/>
        <v>-25</v>
      </c>
      <c r="AJ22">
        <v>155</v>
      </c>
      <c r="AK22" s="4">
        <f t="shared" ref="AK22:AK33" si="19">$C22-AJ22</f>
        <v>-120</v>
      </c>
      <c r="AL22">
        <v>190</v>
      </c>
      <c r="AM22" s="4">
        <f t="shared" si="18"/>
        <v>-155</v>
      </c>
      <c r="AN22">
        <v>60</v>
      </c>
      <c r="AO22" s="4">
        <f t="shared" si="18"/>
        <v>-25</v>
      </c>
      <c r="AP22">
        <v>190</v>
      </c>
      <c r="AQ22" s="4">
        <f t="shared" si="18"/>
        <v>-155</v>
      </c>
    </row>
    <row r="23" spans="1:43" x14ac:dyDescent="0.25">
      <c r="A23" t="s">
        <v>36</v>
      </c>
      <c r="B23" s="4">
        <f t="shared" si="3"/>
        <v>320</v>
      </c>
      <c r="C23">
        <v>50</v>
      </c>
      <c r="D23">
        <v>30</v>
      </c>
      <c r="E23" s="4">
        <f t="shared" si="0"/>
        <v>20</v>
      </c>
      <c r="F23">
        <v>30</v>
      </c>
      <c r="G23" s="4">
        <f t="shared" si="1"/>
        <v>20</v>
      </c>
      <c r="I23" s="4">
        <f t="shared" si="2"/>
        <v>50</v>
      </c>
      <c r="J23">
        <v>260</v>
      </c>
      <c r="K23" s="4">
        <f t="shared" si="4"/>
        <v>-210</v>
      </c>
      <c r="M23" s="4">
        <f t="shared" si="5"/>
        <v>50</v>
      </c>
      <c r="N23">
        <v>10</v>
      </c>
      <c r="O23" s="4">
        <f t="shared" si="6"/>
        <v>40</v>
      </c>
      <c r="Q23" s="4">
        <f>$C23-P23</f>
        <v>50</v>
      </c>
      <c r="S23" s="4">
        <f t="shared" si="8"/>
        <v>50</v>
      </c>
      <c r="U23" s="4">
        <f t="shared" si="9"/>
        <v>50</v>
      </c>
      <c r="W23" s="4">
        <f t="shared" si="10"/>
        <v>50</v>
      </c>
      <c r="X23">
        <v>300</v>
      </c>
      <c r="Y23" s="4">
        <f t="shared" si="11"/>
        <v>-250</v>
      </c>
      <c r="AA23" s="4">
        <f t="shared" si="12"/>
        <v>50</v>
      </c>
      <c r="AC23" s="4">
        <f t="shared" si="13"/>
        <v>50</v>
      </c>
      <c r="AE23" s="4">
        <f t="shared" si="14"/>
        <v>50</v>
      </c>
      <c r="AG23" s="4">
        <f t="shared" si="15"/>
        <v>50</v>
      </c>
      <c r="AI23">
        <f t="shared" si="16"/>
        <v>50</v>
      </c>
      <c r="AK23" s="4">
        <f t="shared" si="19"/>
        <v>50</v>
      </c>
      <c r="AM23" s="4">
        <f t="shared" si="18"/>
        <v>50</v>
      </c>
      <c r="AO23" s="4">
        <f t="shared" si="18"/>
        <v>50</v>
      </c>
      <c r="AQ23" s="4">
        <f t="shared" si="18"/>
        <v>50</v>
      </c>
    </row>
    <row r="24" spans="1:43" x14ac:dyDescent="0.25">
      <c r="A24" t="s">
        <v>41</v>
      </c>
      <c r="B24" s="4">
        <f t="shared" si="3"/>
        <v>268</v>
      </c>
      <c r="C24">
        <v>20</v>
      </c>
      <c r="D24">
        <v>0</v>
      </c>
      <c r="E24" s="4">
        <f t="shared" si="0"/>
        <v>20</v>
      </c>
      <c r="F24">
        <v>28</v>
      </c>
      <c r="G24" s="4">
        <f t="shared" si="1"/>
        <v>-8</v>
      </c>
      <c r="I24" s="4">
        <f t="shared" si="2"/>
        <v>20</v>
      </c>
      <c r="K24" s="4">
        <f t="shared" si="4"/>
        <v>20</v>
      </c>
      <c r="L24">
        <v>28</v>
      </c>
      <c r="M24" s="4">
        <f t="shared" si="5"/>
        <v>-8</v>
      </c>
      <c r="O24" s="4">
        <f t="shared" si="6"/>
        <v>20</v>
      </c>
      <c r="P24">
        <v>28</v>
      </c>
      <c r="Q24" s="4">
        <f t="shared" si="7"/>
        <v>-8</v>
      </c>
      <c r="R24">
        <v>28</v>
      </c>
      <c r="S24" s="4">
        <f t="shared" si="8"/>
        <v>-8</v>
      </c>
      <c r="U24" s="4">
        <f t="shared" si="9"/>
        <v>20</v>
      </c>
      <c r="W24" s="4">
        <f t="shared" si="10"/>
        <v>20</v>
      </c>
      <c r="Y24" s="4">
        <f t="shared" si="11"/>
        <v>20</v>
      </c>
      <c r="AA24" s="4">
        <f t="shared" si="12"/>
        <v>20</v>
      </c>
      <c r="AC24" s="4">
        <f t="shared" si="13"/>
        <v>20</v>
      </c>
      <c r="AE24" s="4">
        <f t="shared" si="14"/>
        <v>20</v>
      </c>
      <c r="AG24" s="4">
        <f t="shared" si="15"/>
        <v>20</v>
      </c>
      <c r="AI24">
        <f t="shared" si="16"/>
        <v>20</v>
      </c>
      <c r="AK24" s="4">
        <f t="shared" si="19"/>
        <v>20</v>
      </c>
      <c r="AM24" s="4">
        <f t="shared" si="18"/>
        <v>20</v>
      </c>
      <c r="AO24" s="4">
        <f t="shared" si="18"/>
        <v>20</v>
      </c>
      <c r="AQ24" s="4">
        <f t="shared" si="18"/>
        <v>20</v>
      </c>
    </row>
    <row r="25" spans="1:43" x14ac:dyDescent="0.25">
      <c r="A25" t="s">
        <v>60</v>
      </c>
      <c r="B25" s="4">
        <f t="shared" si="3"/>
        <v>-21115.77</v>
      </c>
      <c r="C25">
        <v>450</v>
      </c>
      <c r="D25">
        <v>420</v>
      </c>
      <c r="E25" s="4">
        <f t="shared" si="0"/>
        <v>30</v>
      </c>
      <c r="F25">
        <v>450</v>
      </c>
      <c r="G25" s="4">
        <f t="shared" si="1"/>
        <v>0</v>
      </c>
      <c r="H25">
        <v>450</v>
      </c>
      <c r="I25" s="4">
        <f t="shared" si="2"/>
        <v>0</v>
      </c>
      <c r="J25">
        <v>450</v>
      </c>
      <c r="K25" s="4">
        <f t="shared" si="4"/>
        <v>0</v>
      </c>
      <c r="L25">
        <v>450</v>
      </c>
      <c r="M25" s="4">
        <f t="shared" si="5"/>
        <v>0</v>
      </c>
      <c r="N25">
        <v>25645.77</v>
      </c>
      <c r="O25" s="4">
        <f t="shared" si="6"/>
        <v>-25195.77</v>
      </c>
      <c r="Q25" s="4">
        <v>0</v>
      </c>
      <c r="S25" s="4">
        <v>0</v>
      </c>
      <c r="U25" s="4">
        <v>0</v>
      </c>
      <c r="W25" s="4">
        <v>0</v>
      </c>
      <c r="Y25" s="4">
        <f t="shared" si="11"/>
        <v>450</v>
      </c>
      <c r="AA25" s="4">
        <f t="shared" si="12"/>
        <v>450</v>
      </c>
      <c r="AC25" s="4">
        <f t="shared" si="13"/>
        <v>450</v>
      </c>
      <c r="AE25" s="4">
        <f t="shared" si="14"/>
        <v>450</v>
      </c>
      <c r="AG25" s="4">
        <f t="shared" si="15"/>
        <v>450</v>
      </c>
      <c r="AI25">
        <f t="shared" si="16"/>
        <v>450</v>
      </c>
      <c r="AK25" s="4">
        <f t="shared" si="19"/>
        <v>450</v>
      </c>
      <c r="AM25" s="4">
        <f t="shared" si="18"/>
        <v>450</v>
      </c>
      <c r="AO25" s="4">
        <f t="shared" si="18"/>
        <v>450</v>
      </c>
      <c r="AQ25" s="4">
        <f t="shared" si="18"/>
        <v>450</v>
      </c>
    </row>
    <row r="26" spans="1:43" x14ac:dyDescent="0.25">
      <c r="A26" t="s">
        <v>92</v>
      </c>
      <c r="B26" s="4">
        <f t="shared" si="3"/>
        <v>428.70000000000005</v>
      </c>
      <c r="C26">
        <v>50</v>
      </c>
      <c r="D26">
        <v>136.31</v>
      </c>
      <c r="E26" s="4">
        <f t="shared" si="0"/>
        <v>-86.31</v>
      </c>
      <c r="F26">
        <v>65.77</v>
      </c>
      <c r="G26" s="4">
        <f t="shared" si="1"/>
        <v>-15.769999999999996</v>
      </c>
      <c r="H26">
        <f>28.77+5.9</f>
        <v>34.67</v>
      </c>
      <c r="I26" s="4">
        <f t="shared" si="2"/>
        <v>15.329999999999998</v>
      </c>
      <c r="K26" s="4">
        <f t="shared" si="4"/>
        <v>50</v>
      </c>
      <c r="L26">
        <v>20</v>
      </c>
      <c r="M26" s="4">
        <f t="shared" si="5"/>
        <v>30</v>
      </c>
      <c r="N26">
        <v>23.9</v>
      </c>
      <c r="O26" s="4">
        <f t="shared" si="6"/>
        <v>26.1</v>
      </c>
      <c r="Q26" s="4">
        <f t="shared" si="7"/>
        <v>50</v>
      </c>
      <c r="S26" s="4">
        <f t="shared" si="8"/>
        <v>50</v>
      </c>
      <c r="T26">
        <v>159.69999999999999</v>
      </c>
      <c r="U26" s="4">
        <f t="shared" si="9"/>
        <v>-109.69999999999999</v>
      </c>
      <c r="V26">
        <v>14.4</v>
      </c>
      <c r="W26" s="4">
        <f t="shared" si="10"/>
        <v>35.6</v>
      </c>
      <c r="Y26" s="4">
        <f t="shared" si="11"/>
        <v>50</v>
      </c>
      <c r="Z26">
        <v>2</v>
      </c>
      <c r="AA26" s="4">
        <f t="shared" si="12"/>
        <v>48</v>
      </c>
      <c r="AB26">
        <v>15.7</v>
      </c>
      <c r="AC26" s="4">
        <f t="shared" si="13"/>
        <v>34.299999999999997</v>
      </c>
      <c r="AD26">
        <v>48.85</v>
      </c>
      <c r="AE26" s="4">
        <f t="shared" si="14"/>
        <v>1.1499999999999986</v>
      </c>
      <c r="AG26" s="4">
        <f t="shared" si="15"/>
        <v>50</v>
      </c>
      <c r="AI26">
        <f t="shared" si="16"/>
        <v>50</v>
      </c>
      <c r="AK26" s="4">
        <f t="shared" si="19"/>
        <v>50</v>
      </c>
      <c r="AM26" s="4">
        <f t="shared" si="18"/>
        <v>50</v>
      </c>
      <c r="AO26" s="4">
        <f t="shared" si="18"/>
        <v>50</v>
      </c>
      <c r="AQ26" s="4">
        <f t="shared" si="18"/>
        <v>50</v>
      </c>
    </row>
    <row r="27" spans="1:43" x14ac:dyDescent="0.25">
      <c r="A27" t="s">
        <v>14</v>
      </c>
      <c r="B27" s="4">
        <f t="shared" si="3"/>
        <v>1800</v>
      </c>
      <c r="C27">
        <v>200</v>
      </c>
      <c r="E27" s="4"/>
      <c r="G27" s="4"/>
      <c r="I27" s="4"/>
      <c r="K27" s="4">
        <f t="shared" si="4"/>
        <v>200</v>
      </c>
      <c r="M27" s="4"/>
      <c r="O27" s="4"/>
      <c r="Q27" s="4">
        <f t="shared" si="7"/>
        <v>200</v>
      </c>
      <c r="S27" s="4">
        <f t="shared" si="8"/>
        <v>200</v>
      </c>
      <c r="U27" s="4"/>
      <c r="W27" s="4"/>
      <c r="Y27" s="4">
        <f t="shared" si="11"/>
        <v>200</v>
      </c>
      <c r="AA27" s="4"/>
      <c r="AC27" s="4"/>
      <c r="AE27" s="4"/>
      <c r="AG27" s="4">
        <f t="shared" si="15"/>
        <v>200</v>
      </c>
      <c r="AI27">
        <f t="shared" si="16"/>
        <v>200</v>
      </c>
      <c r="AK27" s="4">
        <f t="shared" si="19"/>
        <v>200</v>
      </c>
      <c r="AM27" s="4">
        <f t="shared" si="18"/>
        <v>200</v>
      </c>
      <c r="AO27" s="4">
        <f t="shared" si="18"/>
        <v>200</v>
      </c>
      <c r="AP27">
        <v>681.44</v>
      </c>
      <c r="AQ27" s="4">
        <f t="shared" si="18"/>
        <v>-481.44000000000005</v>
      </c>
    </row>
    <row r="28" spans="1:43" x14ac:dyDescent="0.25">
      <c r="A28" t="s">
        <v>166</v>
      </c>
      <c r="B28" s="4">
        <f t="shared" si="3"/>
        <v>205.90999999999997</v>
      </c>
      <c r="C28">
        <v>60</v>
      </c>
      <c r="E28" s="4">
        <f t="shared" si="0"/>
        <v>60</v>
      </c>
      <c r="G28" s="4">
        <f t="shared" si="1"/>
        <v>60</v>
      </c>
      <c r="I28" s="4">
        <f t="shared" si="2"/>
        <v>60</v>
      </c>
      <c r="K28" s="4">
        <f t="shared" si="4"/>
        <v>60</v>
      </c>
      <c r="M28" s="4">
        <f t="shared" si="5"/>
        <v>60</v>
      </c>
      <c r="O28" s="4">
        <f t="shared" si="6"/>
        <v>60</v>
      </c>
      <c r="Q28" s="4">
        <f t="shared" si="7"/>
        <v>60</v>
      </c>
      <c r="S28" s="4">
        <f t="shared" si="8"/>
        <v>60</v>
      </c>
      <c r="U28" s="4">
        <f t="shared" si="9"/>
        <v>60</v>
      </c>
      <c r="W28" s="4">
        <f t="shared" si="10"/>
        <v>60</v>
      </c>
      <c r="Y28" s="4">
        <f t="shared" si="11"/>
        <v>60</v>
      </c>
      <c r="AA28" s="4">
        <f t="shared" si="12"/>
        <v>60</v>
      </c>
      <c r="AC28" s="4">
        <f t="shared" si="13"/>
        <v>60</v>
      </c>
      <c r="AD28">
        <v>150</v>
      </c>
      <c r="AE28" s="4">
        <f t="shared" si="14"/>
        <v>-90</v>
      </c>
      <c r="AF28">
        <v>191.97</v>
      </c>
      <c r="AG28" s="4">
        <f t="shared" si="15"/>
        <v>-131.97</v>
      </c>
      <c r="AH28">
        <v>187.72</v>
      </c>
      <c r="AI28" s="4">
        <f t="shared" si="16"/>
        <v>-127.72</v>
      </c>
      <c r="AJ28">
        <v>116.65</v>
      </c>
      <c r="AK28" s="4">
        <f t="shared" si="19"/>
        <v>-56.650000000000006</v>
      </c>
      <c r="AL28">
        <v>129.19</v>
      </c>
      <c r="AM28" s="4">
        <f t="shared" si="18"/>
        <v>-69.19</v>
      </c>
      <c r="AN28">
        <v>158.56</v>
      </c>
      <c r="AO28" s="4">
        <f t="shared" si="18"/>
        <v>-98.56</v>
      </c>
      <c r="AP28">
        <v>206</v>
      </c>
      <c r="AQ28" s="4">
        <f t="shared" si="18"/>
        <v>-146</v>
      </c>
    </row>
    <row r="29" spans="1:43" x14ac:dyDescent="0.25">
      <c r="A29" t="s">
        <v>170</v>
      </c>
      <c r="B29" s="4">
        <f t="shared" si="3"/>
        <v>340</v>
      </c>
      <c r="C29">
        <v>20</v>
      </c>
      <c r="E29" s="4">
        <f t="shared" si="0"/>
        <v>20</v>
      </c>
      <c r="G29" s="4">
        <f t="shared" si="1"/>
        <v>20</v>
      </c>
      <c r="I29" s="4">
        <f t="shared" si="2"/>
        <v>20</v>
      </c>
      <c r="K29" s="4">
        <f t="shared" si="4"/>
        <v>20</v>
      </c>
      <c r="M29" s="4">
        <f t="shared" si="5"/>
        <v>20</v>
      </c>
      <c r="O29" s="4">
        <f t="shared" si="6"/>
        <v>20</v>
      </c>
      <c r="Q29" s="4">
        <f t="shared" si="7"/>
        <v>20</v>
      </c>
      <c r="S29" s="4">
        <f t="shared" si="8"/>
        <v>20</v>
      </c>
      <c r="U29" s="4">
        <f t="shared" si="9"/>
        <v>20</v>
      </c>
      <c r="W29" s="4">
        <f t="shared" si="10"/>
        <v>20</v>
      </c>
      <c r="Y29" s="4">
        <f t="shared" si="11"/>
        <v>20</v>
      </c>
      <c r="AA29" s="4">
        <f t="shared" si="12"/>
        <v>20</v>
      </c>
      <c r="AC29" s="4">
        <f t="shared" si="13"/>
        <v>20</v>
      </c>
      <c r="AE29" s="4"/>
      <c r="AG29" s="4"/>
      <c r="AI29" s="4">
        <f t="shared" si="16"/>
        <v>20</v>
      </c>
      <c r="AK29" s="4">
        <f t="shared" si="19"/>
        <v>20</v>
      </c>
      <c r="AM29" s="4">
        <f t="shared" si="18"/>
        <v>20</v>
      </c>
      <c r="AO29" s="4">
        <f t="shared" si="18"/>
        <v>20</v>
      </c>
      <c r="AQ29" s="4">
        <f t="shared" si="18"/>
        <v>20</v>
      </c>
    </row>
    <row r="30" spans="1:43" x14ac:dyDescent="0.25">
      <c r="A30" t="s">
        <v>102</v>
      </c>
      <c r="B30" s="4">
        <f t="shared" si="3"/>
        <v>-839.11999999999989</v>
      </c>
      <c r="C30">
        <v>0</v>
      </c>
      <c r="D30">
        <v>0</v>
      </c>
      <c r="E30" s="4">
        <f t="shared" si="0"/>
        <v>0</v>
      </c>
      <c r="F30">
        <v>29.95</v>
      </c>
      <c r="G30" s="4">
        <f t="shared" si="1"/>
        <v>-29.95</v>
      </c>
      <c r="H30">
        <v>150</v>
      </c>
      <c r="I30" s="4">
        <f t="shared" si="2"/>
        <v>-150</v>
      </c>
      <c r="J30">
        <v>15</v>
      </c>
      <c r="K30" s="4">
        <f t="shared" si="4"/>
        <v>-15</v>
      </c>
      <c r="L30">
        <f>-9.16-23</f>
        <v>-32.159999999999997</v>
      </c>
      <c r="M30" s="4">
        <f t="shared" si="5"/>
        <v>32.159999999999997</v>
      </c>
      <c r="N30">
        <f>130+30.49</f>
        <v>160.49</v>
      </c>
      <c r="O30" s="4">
        <f t="shared" si="6"/>
        <v>-160.49</v>
      </c>
      <c r="P30">
        <v>15</v>
      </c>
      <c r="Q30" s="4">
        <f t="shared" si="7"/>
        <v>-15</v>
      </c>
      <c r="R30">
        <v>7.57</v>
      </c>
      <c r="S30" s="4">
        <f t="shared" si="8"/>
        <v>-7.57</v>
      </c>
      <c r="U30" s="4">
        <f t="shared" si="9"/>
        <v>0</v>
      </c>
      <c r="V30">
        <v>289.06</v>
      </c>
      <c r="W30" s="4">
        <f t="shared" si="10"/>
        <v>-289.06</v>
      </c>
      <c r="X30">
        <v>120.94</v>
      </c>
      <c r="Y30" s="4">
        <f t="shared" si="11"/>
        <v>-120.94</v>
      </c>
      <c r="AA30" s="4">
        <f t="shared" si="12"/>
        <v>0</v>
      </c>
      <c r="AC30" s="4">
        <f t="shared" si="13"/>
        <v>0</v>
      </c>
      <c r="AD30">
        <v>27</v>
      </c>
      <c r="AE30" s="4">
        <f t="shared" si="14"/>
        <v>-27</v>
      </c>
      <c r="AF30">
        <v>45</v>
      </c>
      <c r="AG30" s="4">
        <f t="shared" si="15"/>
        <v>-45</v>
      </c>
      <c r="AI30">
        <f t="shared" si="16"/>
        <v>0</v>
      </c>
      <c r="AK30" s="4">
        <f t="shared" si="19"/>
        <v>0</v>
      </c>
      <c r="AL30">
        <v>11.27</v>
      </c>
      <c r="AM30" s="4">
        <f t="shared" si="18"/>
        <v>-11.27</v>
      </c>
      <c r="AO30" s="4">
        <f t="shared" si="18"/>
        <v>0</v>
      </c>
      <c r="AQ30" s="4">
        <f t="shared" si="18"/>
        <v>0</v>
      </c>
    </row>
    <row r="31" spans="1:43" x14ac:dyDescent="0.25">
      <c r="A31" t="s">
        <v>95</v>
      </c>
      <c r="B31" s="4">
        <f t="shared" si="3"/>
        <v>412</v>
      </c>
      <c r="C31">
        <v>40</v>
      </c>
      <c r="D31">
        <v>0</v>
      </c>
      <c r="E31" s="4">
        <f t="shared" si="0"/>
        <v>40</v>
      </c>
      <c r="F31">
        <v>0</v>
      </c>
      <c r="G31" s="4">
        <f t="shared" si="1"/>
        <v>40</v>
      </c>
      <c r="I31" s="4">
        <f t="shared" si="2"/>
        <v>40</v>
      </c>
      <c r="J31">
        <v>100</v>
      </c>
      <c r="K31" s="4">
        <f t="shared" si="4"/>
        <v>-60</v>
      </c>
      <c r="M31" s="4">
        <f t="shared" si="5"/>
        <v>40</v>
      </c>
      <c r="O31" s="4">
        <f t="shared" si="6"/>
        <v>40</v>
      </c>
      <c r="Q31" s="4">
        <f t="shared" si="7"/>
        <v>40</v>
      </c>
      <c r="R31">
        <v>68</v>
      </c>
      <c r="S31" s="4">
        <f t="shared" si="8"/>
        <v>-28</v>
      </c>
      <c r="T31">
        <v>40</v>
      </c>
      <c r="U31" s="4">
        <f t="shared" si="9"/>
        <v>0</v>
      </c>
      <c r="V31">
        <v>140</v>
      </c>
      <c r="W31" s="4">
        <f t="shared" si="10"/>
        <v>-100</v>
      </c>
      <c r="Y31" s="4">
        <f t="shared" si="11"/>
        <v>40</v>
      </c>
      <c r="AA31" s="4">
        <f t="shared" si="12"/>
        <v>40</v>
      </c>
      <c r="AC31" s="4">
        <f t="shared" si="13"/>
        <v>40</v>
      </c>
      <c r="AE31" s="4">
        <f t="shared" si="14"/>
        <v>40</v>
      </c>
      <c r="AG31" s="4">
        <f t="shared" si="15"/>
        <v>40</v>
      </c>
      <c r="AI31">
        <f t="shared" si="16"/>
        <v>40</v>
      </c>
      <c r="AK31" s="4">
        <f t="shared" si="19"/>
        <v>40</v>
      </c>
      <c r="AM31" s="4">
        <f t="shared" si="18"/>
        <v>40</v>
      </c>
      <c r="AO31" s="4">
        <f t="shared" si="18"/>
        <v>40</v>
      </c>
      <c r="AQ31" s="4">
        <f t="shared" si="18"/>
        <v>40</v>
      </c>
    </row>
    <row r="32" spans="1:43" x14ac:dyDescent="0.25">
      <c r="A32" t="s">
        <v>169</v>
      </c>
      <c r="B32" s="4">
        <f t="shared" si="3"/>
        <v>-97.19</v>
      </c>
      <c r="C32">
        <v>0</v>
      </c>
      <c r="E32" s="4"/>
      <c r="G32" s="4"/>
      <c r="I32" s="4">
        <f t="shared" si="2"/>
        <v>0</v>
      </c>
      <c r="K32" s="4"/>
      <c r="M32" s="4">
        <f t="shared" si="5"/>
        <v>0</v>
      </c>
      <c r="O32" s="4">
        <f t="shared" si="6"/>
        <v>0</v>
      </c>
      <c r="Q32" s="4">
        <f t="shared" si="7"/>
        <v>0</v>
      </c>
      <c r="S32" s="4"/>
      <c r="U32" s="4"/>
      <c r="W32" s="4"/>
      <c r="Y32" s="4">
        <f t="shared" si="11"/>
        <v>0</v>
      </c>
      <c r="AA32" s="4">
        <f t="shared" si="12"/>
        <v>0</v>
      </c>
      <c r="AC32" s="4">
        <f t="shared" si="13"/>
        <v>0</v>
      </c>
      <c r="AE32" s="4">
        <f t="shared" si="14"/>
        <v>0</v>
      </c>
      <c r="AG32" s="4">
        <f t="shared" si="15"/>
        <v>0</v>
      </c>
      <c r="AH32">
        <v>15.29</v>
      </c>
      <c r="AI32" s="4">
        <f t="shared" si="16"/>
        <v>-15.29</v>
      </c>
      <c r="AK32" s="4">
        <f t="shared" si="19"/>
        <v>0</v>
      </c>
      <c r="AL32">
        <v>57</v>
      </c>
      <c r="AM32" s="4">
        <f t="shared" si="18"/>
        <v>-57</v>
      </c>
      <c r="AN32">
        <v>24.9</v>
      </c>
      <c r="AO32" s="4">
        <f t="shared" si="18"/>
        <v>-24.9</v>
      </c>
      <c r="AP32">
        <v>50</v>
      </c>
      <c r="AQ32" s="4">
        <f t="shared" si="18"/>
        <v>-50</v>
      </c>
    </row>
    <row r="33" spans="1:43" x14ac:dyDescent="0.25">
      <c r="A33" t="s">
        <v>121</v>
      </c>
      <c r="B33" s="4">
        <f t="shared" si="3"/>
        <v>-1779.27</v>
      </c>
      <c r="E33" s="4"/>
      <c r="G33" s="4"/>
      <c r="I33" s="4"/>
      <c r="J33">
        <v>806.92</v>
      </c>
      <c r="K33" s="4">
        <f t="shared" si="4"/>
        <v>-806.92</v>
      </c>
      <c r="L33">
        <f>202+71.62</f>
        <v>273.62</v>
      </c>
      <c r="M33" s="4">
        <f t="shared" si="5"/>
        <v>-273.62</v>
      </c>
      <c r="N33">
        <v>61</v>
      </c>
      <c r="O33" s="4">
        <f t="shared" si="6"/>
        <v>-61</v>
      </c>
      <c r="Q33" s="4">
        <f t="shared" si="7"/>
        <v>0</v>
      </c>
      <c r="S33" s="4">
        <f t="shared" si="8"/>
        <v>0</v>
      </c>
      <c r="U33" s="4">
        <f t="shared" si="9"/>
        <v>0</v>
      </c>
      <c r="W33" s="4">
        <f t="shared" si="10"/>
        <v>0</v>
      </c>
      <c r="X33">
        <f>350</f>
        <v>350</v>
      </c>
      <c r="Y33" s="4">
        <f t="shared" si="11"/>
        <v>-350</v>
      </c>
      <c r="Z33">
        <v>52.48</v>
      </c>
      <c r="AA33" s="4">
        <f t="shared" si="12"/>
        <v>-52.48</v>
      </c>
      <c r="AB33">
        <v>30.45</v>
      </c>
      <c r="AC33" s="4">
        <f t="shared" si="13"/>
        <v>-30.45</v>
      </c>
      <c r="AE33" s="4">
        <f t="shared" si="14"/>
        <v>0</v>
      </c>
      <c r="AF33">
        <v>58.16</v>
      </c>
      <c r="AG33" s="4">
        <f t="shared" si="15"/>
        <v>-58.16</v>
      </c>
      <c r="AH33">
        <v>123.8</v>
      </c>
      <c r="AI33" s="4">
        <f t="shared" si="16"/>
        <v>-123.8</v>
      </c>
      <c r="AK33" s="4">
        <f t="shared" si="19"/>
        <v>0</v>
      </c>
      <c r="AL33">
        <v>22.84</v>
      </c>
      <c r="AM33" s="4">
        <f t="shared" si="18"/>
        <v>-22.84</v>
      </c>
      <c r="AO33" s="4">
        <f t="shared" si="18"/>
        <v>0</v>
      </c>
      <c r="AQ33" s="4">
        <f t="shared" si="18"/>
        <v>0</v>
      </c>
    </row>
    <row r="34" spans="1:43" x14ac:dyDescent="0.2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</row>
    <row r="35" spans="1:43" x14ac:dyDescent="0.25">
      <c r="A35" t="s">
        <v>9</v>
      </c>
      <c r="B35" s="4">
        <f>SUM(B3:B31)</f>
        <v>-3933.7900000000009</v>
      </c>
      <c r="C35">
        <f>SUM(C3:C32)</f>
        <v>4268</v>
      </c>
      <c r="D35">
        <f t="shared" ref="D35:M35" si="20">SUM(D3:D33)</f>
        <v>1321.6</v>
      </c>
      <c r="E35">
        <f t="shared" si="20"/>
        <v>2716.4</v>
      </c>
      <c r="F35">
        <f t="shared" si="20"/>
        <v>2579.9299999999998</v>
      </c>
      <c r="G35">
        <f t="shared" si="20"/>
        <v>1488.07</v>
      </c>
      <c r="H35">
        <f t="shared" si="20"/>
        <v>4677.3899999999994</v>
      </c>
      <c r="I35" s="4">
        <f t="shared" si="20"/>
        <v>-609.39</v>
      </c>
      <c r="J35">
        <f t="shared" si="20"/>
        <v>4853.03</v>
      </c>
      <c r="K35">
        <f t="shared" si="20"/>
        <v>-615.03</v>
      </c>
      <c r="L35">
        <f t="shared" si="20"/>
        <v>3325.3999999999996</v>
      </c>
      <c r="M35">
        <f t="shared" si="20"/>
        <v>742.59999999999991</v>
      </c>
      <c r="N35">
        <f>SUM(N3:N33)-N39</f>
        <v>3679.3900000000031</v>
      </c>
      <c r="O35" s="4">
        <f>SUM(O3:O33)+N39</f>
        <v>358.60999999999694</v>
      </c>
      <c r="P35">
        <f>SUM(P3:P33)-P39</f>
        <v>2876.91</v>
      </c>
      <c r="Q35" s="4">
        <f>SUM(Q3:Q33)+P39</f>
        <v>896.09</v>
      </c>
      <c r="R35">
        <f>SUM(R3:R33)-R39</f>
        <v>2811.63</v>
      </c>
      <c r="S35" s="4">
        <f>SUM(S3:S33)+R39</f>
        <v>1006.3700000000001</v>
      </c>
      <c r="T35">
        <f>SUM(T3:T33)-T39</f>
        <v>4285.5200000000004</v>
      </c>
      <c r="U35" s="4">
        <f>SUM(U3:U33)+T39</f>
        <v>-667.52</v>
      </c>
      <c r="V35">
        <f>SUM(V3:V33)-V39</f>
        <v>4832.16</v>
      </c>
      <c r="W35" s="4">
        <f>SUM(W3:W33)+V39</f>
        <v>-1214.1600000000001</v>
      </c>
      <c r="X35">
        <f>SUM(X3:X33)-X39</f>
        <v>2007.42</v>
      </c>
      <c r="Y35" s="4">
        <f>SUM(Y3:Y33)+X39</f>
        <v>2260.58</v>
      </c>
      <c r="Z35">
        <f>SUM(Z3:Z33)-Z39</f>
        <v>3194.28</v>
      </c>
      <c r="AA35" s="4">
        <f>SUM(AA3:AA33)+Z39</f>
        <v>873.72</v>
      </c>
      <c r="AB35">
        <f t="shared" ref="AB35:AQ35" si="21">SUM(AB3:AB33)-AB39</f>
        <v>2203.1999999999998</v>
      </c>
      <c r="AC35">
        <f t="shared" si="21"/>
        <v>1864.7999999999997</v>
      </c>
      <c r="AD35">
        <f t="shared" si="21"/>
        <v>1938.1</v>
      </c>
      <c r="AE35">
        <f t="shared" si="21"/>
        <v>2109.9</v>
      </c>
      <c r="AF35">
        <f t="shared" si="21"/>
        <v>2374.5799999999995</v>
      </c>
      <c r="AG35">
        <f t="shared" si="21"/>
        <v>1873.42</v>
      </c>
      <c r="AH35">
        <f t="shared" si="21"/>
        <v>3022.11</v>
      </c>
      <c r="AI35">
        <f t="shared" si="21"/>
        <v>1245.8900000000001</v>
      </c>
      <c r="AJ35">
        <f t="shared" si="21"/>
        <v>2621.02</v>
      </c>
      <c r="AK35">
        <f t="shared" si="21"/>
        <v>1646.9799999999998</v>
      </c>
      <c r="AL35">
        <f t="shared" si="21"/>
        <v>2326.4900000000002</v>
      </c>
      <c r="AM35">
        <f t="shared" si="21"/>
        <v>1941.51</v>
      </c>
      <c r="AN35">
        <f t="shared" si="21"/>
        <v>2801.32</v>
      </c>
      <c r="AO35">
        <f t="shared" si="21"/>
        <v>1466.68</v>
      </c>
      <c r="AP35">
        <f t="shared" si="21"/>
        <v>3569.22</v>
      </c>
      <c r="AQ35">
        <f t="shared" si="21"/>
        <v>698.78</v>
      </c>
    </row>
    <row r="36" spans="1:43" x14ac:dyDescent="0.25">
      <c r="A36" t="s">
        <v>119</v>
      </c>
      <c r="D36">
        <f>D35-D18</f>
        <v>1321.6</v>
      </c>
      <c r="E36" s="4"/>
      <c r="F36">
        <f>F35-F18</f>
        <v>1379.9299999999998</v>
      </c>
      <c r="H36">
        <f>H35-H18</f>
        <v>2627.3899999999994</v>
      </c>
      <c r="J36">
        <f>J35-J18</f>
        <v>2923.0299999999997</v>
      </c>
      <c r="L36">
        <f>L35-L18</f>
        <v>1575.3999999999996</v>
      </c>
      <c r="N36">
        <f>N35-N18</f>
        <v>1929.3900000000031</v>
      </c>
      <c r="P36">
        <f>P35-P18</f>
        <v>1126.9099999999999</v>
      </c>
      <c r="R36">
        <f>R35-R18</f>
        <v>1061.6300000000001</v>
      </c>
    </row>
    <row r="37" spans="1:43" x14ac:dyDescent="0.25">
      <c r="A37" t="s">
        <v>122</v>
      </c>
      <c r="E37" s="4"/>
      <c r="J37">
        <f>J36-J33</f>
        <v>2116.1099999999997</v>
      </c>
      <c r="L37">
        <f>L36-L33</f>
        <v>1301.7799999999997</v>
      </c>
      <c r="N37">
        <f>N36-N33</f>
        <v>1868.3900000000031</v>
      </c>
      <c r="P37">
        <f>P36-P33</f>
        <v>1126.9099999999999</v>
      </c>
      <c r="R37">
        <f>R36-R33</f>
        <v>1061.6300000000001</v>
      </c>
    </row>
    <row r="38" spans="1:43" x14ac:dyDescent="0.25">
      <c r="A38" t="s">
        <v>168</v>
      </c>
      <c r="E38" s="4"/>
      <c r="AH38">
        <v>1625</v>
      </c>
    </row>
    <row r="39" spans="1:43" x14ac:dyDescent="0.25">
      <c r="A39" t="s">
        <v>100</v>
      </c>
      <c r="D39">
        <v>10034.67</v>
      </c>
      <c r="N39">
        <f>25645.77-450</f>
        <v>25195.77</v>
      </c>
    </row>
    <row r="40" spans="1:43" x14ac:dyDescent="0.25">
      <c r="A40" t="s">
        <v>101</v>
      </c>
      <c r="D40">
        <v>129.59</v>
      </c>
    </row>
    <row r="41" spans="1:43" x14ac:dyDescent="0.25">
      <c r="A41" t="s">
        <v>120</v>
      </c>
      <c r="D41">
        <v>427.63</v>
      </c>
    </row>
    <row r="42" spans="1:43" x14ac:dyDescent="0.25">
      <c r="A42" t="s">
        <v>118</v>
      </c>
      <c r="F42">
        <f>6120+1700</f>
        <v>7820</v>
      </c>
      <c r="H42">
        <v>1161.08</v>
      </c>
    </row>
    <row r="43" spans="1:43" x14ac:dyDescent="0.25">
      <c r="A43" t="s">
        <v>107</v>
      </c>
      <c r="B43">
        <f t="shared" ref="B43:B48" si="22">SUM(D43:BR43)</f>
        <v>152736.13999999996</v>
      </c>
      <c r="F43">
        <v>2937.31</v>
      </c>
      <c r="H43">
        <v>5654.65</v>
      </c>
      <c r="J43">
        <v>5637.95</v>
      </c>
      <c r="L43">
        <v>5553.86</v>
      </c>
      <c r="N43">
        <v>26898.049999999996</v>
      </c>
      <c r="P43">
        <v>5176.3999999999996</v>
      </c>
      <c r="R43">
        <v>5176.3999999999996</v>
      </c>
      <c r="T43">
        <v>5176.3999999999996</v>
      </c>
      <c r="V43">
        <v>5176</v>
      </c>
      <c r="X43">
        <v>10160</v>
      </c>
      <c r="Z43">
        <v>5800</v>
      </c>
      <c r="AB43">
        <v>5800</v>
      </c>
      <c r="AD43">
        <v>6081</v>
      </c>
      <c r="AF43">
        <v>6000</v>
      </c>
      <c r="AH43">
        <v>5881</v>
      </c>
      <c r="AJ43">
        <v>5881</v>
      </c>
      <c r="AL43">
        <v>28803.519999999997</v>
      </c>
      <c r="AN43">
        <v>5471.2999999999993</v>
      </c>
      <c r="AP43">
        <v>5471.2999999999993</v>
      </c>
    </row>
    <row r="44" spans="1:43" x14ac:dyDescent="0.25">
      <c r="A44" t="s">
        <v>116</v>
      </c>
      <c r="B44">
        <f t="shared" si="22"/>
        <v>10353.9</v>
      </c>
      <c r="F44">
        <v>800</v>
      </c>
      <c r="H44">
        <v>6398.17</v>
      </c>
      <c r="J44">
        <v>105.73</v>
      </c>
      <c r="N44">
        <f>189+85</f>
        <v>274</v>
      </c>
      <c r="V44">
        <v>2268</v>
      </c>
      <c r="X44">
        <v>408</v>
      </c>
      <c r="Z44">
        <v>100</v>
      </c>
    </row>
    <row r="45" spans="1:43" x14ac:dyDescent="0.25">
      <c r="A45" t="s">
        <v>117</v>
      </c>
      <c r="B45" s="30">
        <f t="shared" si="22"/>
        <v>142631.84</v>
      </c>
      <c r="F45">
        <v>2000</v>
      </c>
      <c r="L45">
        <v>159.84</v>
      </c>
      <c r="N45">
        <f>500+12700</f>
        <v>13200</v>
      </c>
      <c r="P45">
        <v>4800</v>
      </c>
      <c r="R45">
        <v>7500</v>
      </c>
      <c r="X45">
        <v>89972</v>
      </c>
      <c r="AB45">
        <v>25000</v>
      </c>
    </row>
    <row r="46" spans="1:43" x14ac:dyDescent="0.25">
      <c r="A46" t="s">
        <v>133</v>
      </c>
      <c r="B46">
        <f t="shared" si="22"/>
        <v>1302</v>
      </c>
      <c r="R46">
        <v>1302</v>
      </c>
    </row>
    <row r="47" spans="1:43" x14ac:dyDescent="0.25">
      <c r="A47" t="s">
        <v>162</v>
      </c>
      <c r="B47">
        <f t="shared" si="22"/>
        <v>85000</v>
      </c>
      <c r="X47">
        <v>30000</v>
      </c>
      <c r="Z47">
        <v>40000</v>
      </c>
      <c r="AB47">
        <v>15000</v>
      </c>
    </row>
    <row r="48" spans="1:43" x14ac:dyDescent="0.25">
      <c r="A48" t="s">
        <v>173</v>
      </c>
      <c r="B48">
        <f t="shared" si="22"/>
        <v>25500</v>
      </c>
      <c r="AP48">
        <v>25500</v>
      </c>
    </row>
  </sheetData>
  <autoFilter ref="A2:K2">
    <sortState ref="A3:K28">
      <sortCondition ref="A2"/>
    </sortState>
  </autoFilter>
  <mergeCells count="1">
    <mergeCell ref="A34:P34"/>
  </mergeCells>
  <phoneticPr fontId="32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0"/>
  <sheetViews>
    <sheetView topLeftCell="A22" workbookViewId="0">
      <pane xSplit="3" topLeftCell="N1" activePane="topRight" state="frozen"/>
      <selection activeCell="A6" sqref="A6"/>
      <selection pane="topRight" activeCell="E59" sqref="E59"/>
    </sheetView>
  </sheetViews>
  <sheetFormatPr defaultColWidth="8.85546875" defaultRowHeight="15.75" x14ac:dyDescent="0.25"/>
  <cols>
    <col min="1" max="1" width="19.7109375" bestFit="1" customWidth="1"/>
    <col min="2" max="2" width="15.28515625" customWidth="1"/>
    <col min="3" max="3" width="9.42578125" customWidth="1"/>
    <col min="4" max="4" width="8.85546875" customWidth="1"/>
    <col min="5" max="5" width="11.7109375" customWidth="1"/>
    <col min="6" max="6" width="8.85546875" customWidth="1"/>
    <col min="7" max="7" width="10.42578125" customWidth="1"/>
    <col min="8" max="8" width="8.85546875" customWidth="1"/>
    <col min="9" max="9" width="9.42578125" customWidth="1"/>
    <col min="10" max="10" width="12.42578125" customWidth="1"/>
    <col min="11" max="12" width="9.140625" customWidth="1"/>
    <col min="13" max="13" width="9.85546875" bestFit="1" customWidth="1"/>
    <col min="16" max="16" width="11.42578125" customWidth="1"/>
    <col min="17" max="17" width="12.42578125" customWidth="1"/>
    <col min="21" max="21" width="11.28515625" customWidth="1"/>
    <col min="23" max="23" width="11.28515625" customWidth="1"/>
    <col min="27" max="27" width="11.140625" customWidth="1"/>
  </cols>
  <sheetData>
    <row r="1" spans="1:27" x14ac:dyDescent="0.25">
      <c r="A1" s="26"/>
      <c r="B1" s="28"/>
      <c r="C1" s="26"/>
    </row>
    <row r="2" spans="1:27" ht="47.25" x14ac:dyDescent="0.25">
      <c r="A2" t="s">
        <v>113</v>
      </c>
      <c r="B2" s="2" t="s">
        <v>617</v>
      </c>
      <c r="C2" t="s">
        <v>91</v>
      </c>
      <c r="D2" s="41">
        <v>201501</v>
      </c>
      <c r="E2" s="41" t="s">
        <v>93</v>
      </c>
      <c r="F2" s="41">
        <v>201502</v>
      </c>
      <c r="G2" s="41" t="s">
        <v>93</v>
      </c>
      <c r="H2" s="41">
        <v>201503</v>
      </c>
      <c r="I2" s="41" t="s">
        <v>93</v>
      </c>
      <c r="J2" s="41">
        <v>201504</v>
      </c>
      <c r="K2" s="41" t="s">
        <v>93</v>
      </c>
      <c r="L2" s="41">
        <v>201505</v>
      </c>
      <c r="M2" s="41" t="s">
        <v>93</v>
      </c>
      <c r="N2" s="41">
        <v>201506</v>
      </c>
      <c r="O2" s="41" t="s">
        <v>93</v>
      </c>
      <c r="P2" s="41">
        <v>201507</v>
      </c>
      <c r="Q2" s="41" t="s">
        <v>93</v>
      </c>
      <c r="R2" s="41">
        <v>201508</v>
      </c>
      <c r="S2" s="41" t="s">
        <v>93</v>
      </c>
      <c r="T2" s="41">
        <v>201509</v>
      </c>
      <c r="U2" s="41" t="s">
        <v>93</v>
      </c>
      <c r="V2" s="41">
        <v>201510</v>
      </c>
      <c r="W2" t="s">
        <v>93</v>
      </c>
      <c r="X2" s="41">
        <v>201511</v>
      </c>
      <c r="Y2" t="s">
        <v>93</v>
      </c>
      <c r="Z2" s="41">
        <v>201512</v>
      </c>
      <c r="AA2" s="42" t="s">
        <v>93</v>
      </c>
    </row>
    <row r="3" spans="1:27" x14ac:dyDescent="0.25">
      <c r="A3" t="s">
        <v>42</v>
      </c>
      <c r="B3" s="4">
        <f>E3+G3+I3+K3+M3+O3+Q3+S3+U3+W3+Y3+AA3</f>
        <v>52.56</v>
      </c>
      <c r="C3">
        <v>10</v>
      </c>
      <c r="D3">
        <f>-SUMIFS('transaction details'!$G:$G,'transaction details'!$H:$H,'Budget Detail-Own 2015'!D$2,'transaction details'!$D:$D,'Budget Detail-Own 2015'!$A3)</f>
        <v>0</v>
      </c>
      <c r="E3" s="38">
        <f>$C3-D3</f>
        <v>10</v>
      </c>
      <c r="F3" s="42">
        <f>-SUMIFS('transaction details'!$G:$G,'transaction details'!$H:$H,'Budget Detail-Own 2015'!F$2,'transaction details'!$D:$D,'Budget Detail-Own 2015'!$A3)</f>
        <v>0</v>
      </c>
      <c r="G3" s="38">
        <f>$C3-F3</f>
        <v>10</v>
      </c>
      <c r="H3" s="42">
        <f>-SUMIFS('transaction details'!$G:$G,'transaction details'!$H:$H,'Budget Detail-Own 2015'!H$2,'transaction details'!$D:$D,'Budget Detail-Own 2015'!$A3)</f>
        <v>0</v>
      </c>
      <c r="I3" s="38">
        <f>$C3-H3</f>
        <v>10</v>
      </c>
      <c r="J3" s="42">
        <f>-SUMIFS('transaction details'!$G:$G,'transaction details'!$H:$H,'Budget Detail-Own 2015'!J$2,'transaction details'!$D:$D,'Budget Detail-Own 2015'!$A3)</f>
        <v>0</v>
      </c>
      <c r="K3" s="38">
        <f>$C3-J3</f>
        <v>10</v>
      </c>
      <c r="L3" s="42">
        <f>-SUMIFS('transaction details'!$G:$G,'transaction details'!$H:$H,'Budget Detail-Own 2015'!L$2,'transaction details'!$D:$D,'Budget Detail-Own 2015'!$A3)</f>
        <v>26.479999999999997</v>
      </c>
      <c r="M3" s="38">
        <f>$C3-L3</f>
        <v>-16.479999999999997</v>
      </c>
      <c r="N3" s="42">
        <f>-SUMIFS('transaction details'!$G:$G,'transaction details'!$H:$H,'Budget Detail-Own 2015'!N$2,'transaction details'!$D:$D,'Budget Detail-Own 2015'!$A3)</f>
        <v>9.99</v>
      </c>
      <c r="O3" s="38">
        <f>$C3-N3</f>
        <v>9.9999999999997868E-3</v>
      </c>
      <c r="P3" s="42">
        <f>-SUMIFS('transaction details'!$G:$G,'transaction details'!$H:$H,'Budget Detail-Own 2015'!P$2,'transaction details'!$D:$D,'Budget Detail-Own 2015'!$A3)</f>
        <v>20.98</v>
      </c>
      <c r="Q3" s="38">
        <f>$C3-P3</f>
        <v>-10.98</v>
      </c>
      <c r="R3" s="42">
        <f>-SUMIFS('transaction details'!$G:$G,'transaction details'!$H:$H,'Budget Detail-Own 2015'!R$2,'transaction details'!$D:$D,'Budget Detail-Own 2015'!$A3)</f>
        <v>9.99</v>
      </c>
      <c r="S3" s="38">
        <f>$C3-R3</f>
        <v>9.9999999999997868E-3</v>
      </c>
      <c r="T3" s="42">
        <f>-SUMIFS('transaction details'!$G:$G,'transaction details'!$H:$H,'Budget Detail-Own 2015'!T$2,'transaction details'!$D:$D,'Budget Detail-Own 2015'!$A3)</f>
        <v>0</v>
      </c>
      <c r="U3" s="38">
        <f>$C3-T3</f>
        <v>10</v>
      </c>
      <c r="V3" s="42">
        <f>-SUMIFS('transaction details'!$G:$G,'transaction details'!$H:$H,'Budget Detail-Own 2015'!V$2,'transaction details'!$D:$D,'Budget Detail-Own 2015'!$A3)</f>
        <v>0</v>
      </c>
      <c r="W3" s="38">
        <f>$C3-V3</f>
        <v>10</v>
      </c>
      <c r="X3" s="42">
        <f>-SUMIFS('transaction details'!$G:$G,'transaction details'!$H:$H,'Budget Detail-Own 2015'!X$2,'transaction details'!$D:$D,'Budget Detail-Own 2015'!$A3)</f>
        <v>0</v>
      </c>
      <c r="Y3" s="38">
        <f>$C3-X3</f>
        <v>10</v>
      </c>
      <c r="Z3" s="42">
        <f>-SUMIFS('transaction details'!$G:$G,'transaction details'!$H:$H,'Budget Detail-Own 2015'!Z$2,'transaction details'!$D:$D,'Budget Detail-Own 2015'!$A3)</f>
        <v>0</v>
      </c>
      <c r="AA3" s="38">
        <f>$C3-Z3</f>
        <v>10</v>
      </c>
    </row>
    <row r="4" spans="1:27" s="42" customFormat="1" x14ac:dyDescent="0.25">
      <c r="A4" s="42" t="s">
        <v>875</v>
      </c>
      <c r="B4" s="4">
        <f t="shared" ref="B4:B38" si="0">E4+G4+I4+K4+M4+O4+Q4+S4+U4+W4+Y4+AA4</f>
        <v>-256.67</v>
      </c>
      <c r="C4" s="42">
        <v>0</v>
      </c>
      <c r="E4" s="38"/>
      <c r="G4" s="38"/>
      <c r="I4" s="38"/>
      <c r="K4" s="38"/>
      <c r="M4" s="38"/>
      <c r="O4" s="38"/>
      <c r="Q4" s="38"/>
      <c r="S4" s="38"/>
      <c r="T4" s="42">
        <f>-SUMIFS('transaction details'!$G:$G,'transaction details'!$H:$H,'Budget Detail-Own 2015'!T$2,'transaction details'!$D:$D,'Budget Detail-Own 2015'!$A4)</f>
        <v>245.98</v>
      </c>
      <c r="U4" s="38">
        <f>$C4-T4</f>
        <v>-245.98</v>
      </c>
      <c r="V4" s="42">
        <f>-SUMIFS('transaction details'!$G:$G,'transaction details'!$H:$H,'Budget Detail-Own 2015'!V$2,'transaction details'!$D:$D,'Budget Detail-Own 2015'!$A4)</f>
        <v>10.69</v>
      </c>
      <c r="W4" s="38">
        <f>$C4-V4</f>
        <v>-10.69</v>
      </c>
      <c r="X4" s="42">
        <f>-SUMIFS('transaction details'!$G:$G,'transaction details'!$H:$H,'Budget Detail-Own 2015'!X$2,'transaction details'!$D:$D,'Budget Detail-Own 2015'!$A4)</f>
        <v>0</v>
      </c>
      <c r="Y4" s="38">
        <f>$C4-X4</f>
        <v>0</v>
      </c>
      <c r="Z4" s="42">
        <f>-SUMIFS('transaction details'!$G:$G,'transaction details'!$H:$H,'Budget Detail-Own 2015'!Z$2,'transaction details'!$D:$D,'Budget Detail-Own 2015'!$A4)</f>
        <v>0</v>
      </c>
      <c r="AA4" s="38">
        <f>$C4-Z4</f>
        <v>0</v>
      </c>
    </row>
    <row r="5" spans="1:27" x14ac:dyDescent="0.25">
      <c r="A5" t="s">
        <v>96</v>
      </c>
      <c r="B5" s="4">
        <f t="shared" si="0"/>
        <v>-1238.6399999999999</v>
      </c>
      <c r="C5">
        <v>170</v>
      </c>
      <c r="D5">
        <f>-SUMIFS('transaction details'!$G:$G,'transaction details'!$H:$H,'Budget Detail-Own 2015'!D$2,'transaction details'!$D:$D,'Budget Detail-Own 2015'!$A5)</f>
        <v>180.24</v>
      </c>
      <c r="E5" s="38">
        <f t="shared" ref="E5:G38" si="1">$C5-D5</f>
        <v>-10.240000000000009</v>
      </c>
      <c r="F5" s="42">
        <f>-SUMIFS('transaction details'!$G:$G,'transaction details'!$H:$H,'Budget Detail-Own 2015'!F$2,'transaction details'!$D:$D,'Budget Detail-Own 2015'!$A5)</f>
        <v>233.16</v>
      </c>
      <c r="G5" s="38">
        <f t="shared" si="1"/>
        <v>-63.16</v>
      </c>
      <c r="H5" s="42">
        <f>-SUMIFS('transaction details'!$G:$G,'transaction details'!$H:$H,'Budget Detail-Own 2015'!H$2,'transaction details'!$D:$D,'Budget Detail-Own 2015'!$A5)</f>
        <v>248.66</v>
      </c>
      <c r="I5" s="38">
        <f t="shared" ref="I5:I38" si="2">$C5-H5</f>
        <v>-78.66</v>
      </c>
      <c r="J5" s="42">
        <f>-SUMIFS('transaction details'!$G:$G,'transaction details'!$H:$H,'Budget Detail-Own 2015'!J$2,'transaction details'!$D:$D,'Budget Detail-Own 2015'!$A5)</f>
        <v>229.1</v>
      </c>
      <c r="K5" s="38">
        <f t="shared" ref="K5:K38" si="3">$C5-J5</f>
        <v>-59.099999999999994</v>
      </c>
      <c r="L5" s="42">
        <f>-SUMIFS('transaction details'!$G:$G,'transaction details'!$H:$H,'Budget Detail-Own 2015'!L$2,'transaction details'!$D:$D,'Budget Detail-Own 2015'!$A5)</f>
        <v>229.01</v>
      </c>
      <c r="M5" s="38">
        <f t="shared" ref="M5:M38" si="4">$C5-L5</f>
        <v>-59.009999999999991</v>
      </c>
      <c r="N5" s="42">
        <f>-SUMIFS('transaction details'!$G:$G,'transaction details'!$H:$H,'Budget Detail-Own 2015'!N$2,'transaction details'!$D:$D,'Budget Detail-Own 2015'!$A5)</f>
        <v>291.51</v>
      </c>
      <c r="O5" s="38">
        <f t="shared" ref="O5:O38" si="5">$C5-N5</f>
        <v>-121.50999999999999</v>
      </c>
      <c r="P5" s="42">
        <f>-SUMIFS('transaction details'!$G:$G,'transaction details'!$H:$H,'Budget Detail-Own 2015'!P$2,'transaction details'!$D:$D,'Budget Detail-Own 2015'!$A5)</f>
        <v>579.54</v>
      </c>
      <c r="Q5" s="38">
        <f t="shared" ref="Q5:Q38" si="6">$C5-P5</f>
        <v>-409.53999999999996</v>
      </c>
      <c r="R5" s="42">
        <f>-SUMIFS('transaction details'!$G:$G,'transaction details'!$H:$H,'Budget Detail-Own 2015'!R$2,'transaction details'!$D:$D,'Budget Detail-Own 2015'!$A5)</f>
        <v>271.11</v>
      </c>
      <c r="S5" s="38">
        <f t="shared" ref="S5:S38" si="7">$C5-R5</f>
        <v>-101.11000000000001</v>
      </c>
      <c r="T5" s="42">
        <f>-SUMIFS('transaction details'!$G:$G,'transaction details'!$H:$H,'Budget Detail-Own 2015'!T$2,'transaction details'!$D:$D,'Budget Detail-Own 2015'!$A5)</f>
        <v>253.5</v>
      </c>
      <c r="U5" s="38">
        <f t="shared" ref="U5:U36" si="8">$C5-T5</f>
        <v>-83.5</v>
      </c>
      <c r="V5" s="42">
        <f>-SUMIFS('transaction details'!$G:$G,'transaction details'!$H:$H,'Budget Detail-Own 2015'!V$2,'transaction details'!$D:$D,'Budget Detail-Own 2015'!$A5)</f>
        <v>254.26999999999998</v>
      </c>
      <c r="W5" s="38">
        <f t="shared" ref="W5:W36" si="9">$C5-V5</f>
        <v>-84.269999999999982</v>
      </c>
      <c r="X5" s="42">
        <f>-SUMIFS('transaction details'!$G:$G,'transaction details'!$H:$H,'Budget Detail-Own 2015'!X$2,'transaction details'!$D:$D,'Budget Detail-Own 2015'!$A5)</f>
        <v>254.26999999999998</v>
      </c>
      <c r="Y5" s="38">
        <f t="shared" ref="Y5:Y36" si="10">$C5-X5</f>
        <v>-84.269999999999982</v>
      </c>
      <c r="Z5" s="42">
        <f>-SUMIFS('transaction details'!$G:$G,'transaction details'!$H:$H,'Budget Detail-Own 2015'!Z$2,'transaction details'!$D:$D,'Budget Detail-Own 2015'!$A5)</f>
        <v>254.26999999999998</v>
      </c>
      <c r="AA5" s="38">
        <f t="shared" ref="AA5:AA36" si="11">$C5-Z5</f>
        <v>-84.269999999999982</v>
      </c>
    </row>
    <row r="6" spans="1:27" x14ac:dyDescent="0.25">
      <c r="A6" t="s">
        <v>37</v>
      </c>
      <c r="B6" s="4">
        <f t="shared" si="0"/>
        <v>-500</v>
      </c>
      <c r="C6" s="38">
        <f>Goals!P49</f>
        <v>10</v>
      </c>
      <c r="D6">
        <f>-SUMIFS('transaction details'!$G:$G,'transaction details'!$H:$H,'Budget Detail-Own 2015'!D$2,'transaction details'!$D:$D,'Budget Detail-Own 2015'!$A6)</f>
        <v>0</v>
      </c>
      <c r="E6" s="38">
        <f t="shared" si="1"/>
        <v>10</v>
      </c>
      <c r="F6" s="42">
        <f>-SUMIFS('transaction details'!$G:$G,'transaction details'!$H:$H,'Budget Detail-Own 2015'!F$2,'transaction details'!$D:$D,'Budget Detail-Own 2015'!$A6)</f>
        <v>0</v>
      </c>
      <c r="G6" s="38">
        <f t="shared" si="1"/>
        <v>10</v>
      </c>
      <c r="H6" s="42">
        <f>-SUMIFS('transaction details'!$G:$G,'transaction details'!$H:$H,'Budget Detail-Own 2015'!H$2,'transaction details'!$D:$D,'Budget Detail-Own 2015'!$A6)</f>
        <v>0</v>
      </c>
      <c r="I6" s="38">
        <f t="shared" si="2"/>
        <v>10</v>
      </c>
      <c r="J6" s="42">
        <f>-SUMIFS('transaction details'!$G:$G,'transaction details'!$H:$H,'Budget Detail-Own 2015'!J$2,'transaction details'!$D:$D,'Budget Detail-Own 2015'!$A6)</f>
        <v>0</v>
      </c>
      <c r="K6" s="38">
        <f t="shared" si="3"/>
        <v>10</v>
      </c>
      <c r="L6" s="42">
        <f>-SUMIFS('transaction details'!$G:$G,'transaction details'!$H:$H,'Budget Detail-Own 2015'!L$2,'transaction details'!$D:$D,'Budget Detail-Own 2015'!$A6)</f>
        <v>0</v>
      </c>
      <c r="M6" s="38">
        <f t="shared" si="4"/>
        <v>10</v>
      </c>
      <c r="N6" s="42">
        <f>-SUMIFS('transaction details'!$G:$G,'transaction details'!$H:$H,'Budget Detail-Own 2015'!N$2,'transaction details'!$D:$D,'Budget Detail-Own 2015'!$A6)</f>
        <v>0</v>
      </c>
      <c r="O6" s="38">
        <f t="shared" si="5"/>
        <v>10</v>
      </c>
      <c r="P6" s="42">
        <f>-SUMIFS('transaction details'!$G:$G,'transaction details'!$H:$H,'Budget Detail-Own 2015'!P$2,'transaction details'!$D:$D,'Budget Detail-Own 2015'!$A6)</f>
        <v>0</v>
      </c>
      <c r="Q6" s="38">
        <f t="shared" si="6"/>
        <v>10</v>
      </c>
      <c r="R6" s="42">
        <f>-SUMIFS('transaction details'!$G:$G,'transaction details'!$H:$H,'Budget Detail-Own 2015'!R$2,'transaction details'!$D:$D,'Budget Detail-Own 2015'!$A6)</f>
        <v>0</v>
      </c>
      <c r="S6" s="38">
        <f t="shared" si="7"/>
        <v>10</v>
      </c>
      <c r="T6" s="42">
        <f>-SUMIFS('transaction details'!$G:$G,'transaction details'!$H:$H,'Budget Detail-Own 2015'!T$2,'transaction details'!$D:$D,'Budget Detail-Own 2015'!$A6)</f>
        <v>420</v>
      </c>
      <c r="U6" s="38">
        <f t="shared" si="8"/>
        <v>-410</v>
      </c>
      <c r="V6" s="42">
        <f>-SUMIFS('transaction details'!$G:$G,'transaction details'!$H:$H,'Budget Detail-Own 2015'!V$2,'transaction details'!$D:$D,'Budget Detail-Own 2015'!$A6)</f>
        <v>0</v>
      </c>
      <c r="W6" s="38">
        <f t="shared" si="9"/>
        <v>10</v>
      </c>
      <c r="X6" s="42">
        <f>-SUMIFS('transaction details'!$G:$G,'transaction details'!$H:$H,'Budget Detail-Own 2015'!X$2,'transaction details'!$D:$D,'Budget Detail-Own 2015'!$A6)</f>
        <v>200</v>
      </c>
      <c r="Y6" s="38">
        <f t="shared" si="10"/>
        <v>-190</v>
      </c>
      <c r="Z6" s="42">
        <f>-SUMIFS('transaction details'!$G:$G,'transaction details'!$H:$H,'Budget Detail-Own 2015'!Z$2,'transaction details'!$D:$D,'Budget Detail-Own 2015'!$A6)</f>
        <v>0</v>
      </c>
      <c r="AA6" s="38">
        <f t="shared" si="11"/>
        <v>10</v>
      </c>
    </row>
    <row r="7" spans="1:27" x14ac:dyDescent="0.25">
      <c r="A7" t="s">
        <v>126</v>
      </c>
      <c r="B7" s="4">
        <f t="shared" si="0"/>
        <v>33</v>
      </c>
      <c r="C7" s="38">
        <f>Goals!P42</f>
        <v>10</v>
      </c>
      <c r="D7">
        <f>-SUMIFS('transaction details'!$G:$G,'transaction details'!$H:$H,'Budget Detail-Own 2015'!D$2,'transaction details'!$D:$D,'Budget Detail-Own 2015'!$A7)</f>
        <v>0</v>
      </c>
      <c r="E7" s="38">
        <f t="shared" si="1"/>
        <v>10</v>
      </c>
      <c r="F7" s="42">
        <f>-SUMIFS('transaction details'!$G:$G,'transaction details'!$H:$H,'Budget Detail-Own 2015'!F$2,'transaction details'!$D:$D,'Budget Detail-Own 2015'!$A7)</f>
        <v>27</v>
      </c>
      <c r="G7" s="38">
        <f t="shared" si="1"/>
        <v>-17</v>
      </c>
      <c r="H7" s="42">
        <f>-SUMIFS('transaction details'!$G:$G,'transaction details'!$H:$H,'Budget Detail-Own 2015'!H$2,'transaction details'!$D:$D,'Budget Detail-Own 2015'!$A7)</f>
        <v>0</v>
      </c>
      <c r="I7" s="38">
        <f t="shared" si="2"/>
        <v>10</v>
      </c>
      <c r="J7" s="42">
        <f>-SUMIFS('transaction details'!$G:$G,'transaction details'!$H:$H,'Budget Detail-Own 2015'!J$2,'transaction details'!$D:$D,'Budget Detail-Own 2015'!$A7)</f>
        <v>0</v>
      </c>
      <c r="K7" s="38">
        <f t="shared" si="3"/>
        <v>10</v>
      </c>
      <c r="L7" s="42">
        <f>-SUMIFS('transaction details'!$G:$G,'transaction details'!$H:$H,'Budget Detail-Own 2015'!L$2,'transaction details'!$D:$D,'Budget Detail-Own 2015'!$A7)</f>
        <v>0</v>
      </c>
      <c r="M7" s="38">
        <f t="shared" si="4"/>
        <v>10</v>
      </c>
      <c r="N7" s="42">
        <f>-SUMIFS('transaction details'!$G:$G,'transaction details'!$H:$H,'Budget Detail-Own 2015'!N$2,'transaction details'!$D:$D,'Budget Detail-Own 2015'!$A7)</f>
        <v>0</v>
      </c>
      <c r="O7" s="38">
        <f t="shared" si="5"/>
        <v>10</v>
      </c>
      <c r="P7" s="42">
        <f>-SUMIFS('transaction details'!$G:$G,'transaction details'!$H:$H,'Budget Detail-Own 2015'!P$2,'transaction details'!$D:$D,'Budget Detail-Own 2015'!$A7)</f>
        <v>0</v>
      </c>
      <c r="Q7" s="38">
        <f t="shared" si="6"/>
        <v>10</v>
      </c>
      <c r="R7" s="42">
        <f>-SUMIFS('transaction details'!$G:$G,'transaction details'!$H:$H,'Budget Detail-Own 2015'!R$2,'transaction details'!$D:$D,'Budget Detail-Own 2015'!$A7)</f>
        <v>0</v>
      </c>
      <c r="S7" s="38">
        <f t="shared" si="7"/>
        <v>10</v>
      </c>
      <c r="T7" s="42">
        <f>-SUMIFS('transaction details'!$G:$G,'transaction details'!$H:$H,'Budget Detail-Own 2015'!T$2,'transaction details'!$D:$D,'Budget Detail-Own 2015'!$A7)</f>
        <v>60</v>
      </c>
      <c r="U7" s="38">
        <f t="shared" si="8"/>
        <v>-50</v>
      </c>
      <c r="V7" s="42">
        <f>-SUMIFS('transaction details'!$G:$G,'transaction details'!$H:$H,'Budget Detail-Own 2015'!V$2,'transaction details'!$D:$D,'Budget Detail-Own 2015'!$A7)</f>
        <v>0</v>
      </c>
      <c r="W7" s="38">
        <f t="shared" si="9"/>
        <v>10</v>
      </c>
      <c r="X7" s="42">
        <f>-SUMIFS('transaction details'!$G:$G,'transaction details'!$H:$H,'Budget Detail-Own 2015'!X$2,'transaction details'!$D:$D,'Budget Detail-Own 2015'!$A7)</f>
        <v>0</v>
      </c>
      <c r="Y7" s="38">
        <f t="shared" si="10"/>
        <v>10</v>
      </c>
      <c r="Z7" s="42">
        <f>-SUMIFS('transaction details'!$G:$G,'transaction details'!$H:$H,'Budget Detail-Own 2015'!Z$2,'transaction details'!$D:$D,'Budget Detail-Own 2015'!$A7)</f>
        <v>0</v>
      </c>
      <c r="AA7" s="38">
        <f t="shared" si="11"/>
        <v>10</v>
      </c>
    </row>
    <row r="8" spans="1:27" x14ac:dyDescent="0.25">
      <c r="A8" t="s">
        <v>127</v>
      </c>
      <c r="B8" s="4">
        <f t="shared" si="0"/>
        <v>12.679999999999986</v>
      </c>
      <c r="C8">
        <v>30</v>
      </c>
      <c r="D8">
        <f>-SUMIFS('transaction details'!$G:$G,'transaction details'!$H:$H,'Budget Detail-Own 2015'!D$2,'transaction details'!$D:$D,'Budget Detail-Own 2015'!$A8)</f>
        <v>34.6</v>
      </c>
      <c r="E8" s="38">
        <f t="shared" si="1"/>
        <v>-4.6000000000000014</v>
      </c>
      <c r="F8" s="42">
        <f>-SUMIFS('transaction details'!$G:$G,'transaction details'!$H:$H,'Budget Detail-Own 2015'!F$2,'transaction details'!$D:$D,'Budget Detail-Own 2015'!$A8)</f>
        <v>47.180000000000007</v>
      </c>
      <c r="G8" s="38">
        <f t="shared" si="1"/>
        <v>-17.180000000000007</v>
      </c>
      <c r="H8" s="42">
        <f>-SUMIFS('transaction details'!$G:$G,'transaction details'!$H:$H,'Budget Detail-Own 2015'!H$2,'transaction details'!$D:$D,'Budget Detail-Own 2015'!$A8)</f>
        <v>50.480000000000004</v>
      </c>
      <c r="I8" s="38">
        <f t="shared" si="2"/>
        <v>-20.480000000000004</v>
      </c>
      <c r="J8" s="42">
        <f>-SUMIFS('transaction details'!$G:$G,'transaction details'!$H:$H,'Budget Detail-Own 2015'!J$2,'transaction details'!$D:$D,'Budget Detail-Own 2015'!$A8)</f>
        <v>12.5</v>
      </c>
      <c r="K8" s="38">
        <f t="shared" si="3"/>
        <v>17.5</v>
      </c>
      <c r="L8" s="42">
        <f>-SUMIFS('transaction details'!$G:$G,'transaction details'!$H:$H,'Budget Detail-Own 2015'!L$2,'transaction details'!$D:$D,'Budget Detail-Own 2015'!$A8)</f>
        <v>0</v>
      </c>
      <c r="M8" s="38">
        <f t="shared" si="4"/>
        <v>30</v>
      </c>
      <c r="N8" s="42">
        <f>-SUMIFS('transaction details'!$G:$G,'transaction details'!$H:$H,'Budget Detail-Own 2015'!N$2,'transaction details'!$D:$D,'Budget Detail-Own 2015'!$A8)</f>
        <v>10.26</v>
      </c>
      <c r="O8" s="38">
        <f t="shared" si="5"/>
        <v>19.740000000000002</v>
      </c>
      <c r="P8" s="42">
        <f>-SUMIFS('transaction details'!$G:$G,'transaction details'!$H:$H,'Budget Detail-Own 2015'!P$2,'transaction details'!$D:$D,'Budget Detail-Own 2015'!$A8)</f>
        <v>46.15</v>
      </c>
      <c r="Q8" s="38">
        <f t="shared" si="6"/>
        <v>-16.149999999999999</v>
      </c>
      <c r="R8" s="42">
        <f>-SUMIFS('transaction details'!$G:$G,'transaction details'!$H:$H,'Budget Detail-Own 2015'!R$2,'transaction details'!$D:$D,'Budget Detail-Own 2015'!$A8)</f>
        <v>37.14</v>
      </c>
      <c r="S8" s="38">
        <f t="shared" si="7"/>
        <v>-7.1400000000000006</v>
      </c>
      <c r="T8" s="42">
        <f>-SUMIFS('transaction details'!$G:$G,'transaction details'!$H:$H,'Budget Detail-Own 2015'!T$2,'transaction details'!$D:$D,'Budget Detail-Own 2015'!$A8)</f>
        <v>36.450000000000003</v>
      </c>
      <c r="U8" s="38">
        <f t="shared" si="8"/>
        <v>-6.4500000000000028</v>
      </c>
      <c r="V8" s="42">
        <f>-SUMIFS('transaction details'!$G:$G,'transaction details'!$H:$H,'Budget Detail-Own 2015'!V$2,'transaction details'!$D:$D,'Budget Detail-Own 2015'!$A8)</f>
        <v>32.450000000000003</v>
      </c>
      <c r="W8" s="38">
        <f t="shared" si="9"/>
        <v>-2.4500000000000028</v>
      </c>
      <c r="X8" s="42">
        <f>-SUMIFS('transaction details'!$G:$G,'transaction details'!$H:$H,'Budget Detail-Own 2015'!X$2,'transaction details'!$D:$D,'Budget Detail-Own 2015'!$A8)</f>
        <v>37.86</v>
      </c>
      <c r="Y8" s="38">
        <f t="shared" si="10"/>
        <v>-7.8599999999999994</v>
      </c>
      <c r="Z8" s="42">
        <f>-SUMIFS('transaction details'!$G:$G,'transaction details'!$H:$H,'Budget Detail-Own 2015'!Z$2,'transaction details'!$D:$D,'Budget Detail-Own 2015'!$A8)</f>
        <v>2.25</v>
      </c>
      <c r="AA8" s="38">
        <f t="shared" si="11"/>
        <v>27.75</v>
      </c>
    </row>
    <row r="9" spans="1:27" x14ac:dyDescent="0.25">
      <c r="A9" t="s">
        <v>128</v>
      </c>
      <c r="B9" s="4">
        <f t="shared" si="0"/>
        <v>1793.6599999999999</v>
      </c>
      <c r="C9">
        <v>150</v>
      </c>
      <c r="D9">
        <f>-SUMIFS('transaction details'!$G:$G,'transaction details'!$H:$H,'Budget Detail-Own 2015'!D$2,'transaction details'!$D:$D,'Budget Detail-Own 2015'!$A9)</f>
        <v>0</v>
      </c>
      <c r="E9" s="38">
        <f t="shared" si="1"/>
        <v>150</v>
      </c>
      <c r="F9" s="42">
        <f>-SUMIFS('transaction details'!$G:$G,'transaction details'!$H:$H,'Budget Detail-Own 2015'!F$2,'transaction details'!$D:$D,'Budget Detail-Own 2015'!$A9)</f>
        <v>6.34</v>
      </c>
      <c r="G9" s="38">
        <f t="shared" si="1"/>
        <v>143.66</v>
      </c>
      <c r="H9" s="42">
        <f>-SUMIFS('transaction details'!$G:$G,'transaction details'!$H:$H,'Budget Detail-Own 2015'!H$2,'transaction details'!$D:$D,'Budget Detail-Own 2015'!$A9)</f>
        <v>0</v>
      </c>
      <c r="I9" s="38">
        <f t="shared" si="2"/>
        <v>150</v>
      </c>
      <c r="J9" s="42">
        <f>-SUMIFS('transaction details'!$G:$G,'transaction details'!$H:$H,'Budget Detail-Own 2015'!J$2,'transaction details'!$D:$D,'Budget Detail-Own 2015'!$A9)</f>
        <v>0</v>
      </c>
      <c r="K9" s="38">
        <f t="shared" si="3"/>
        <v>150</v>
      </c>
      <c r="L9" s="42">
        <f>-SUMIFS('transaction details'!$G:$G,'transaction details'!$H:$H,'Budget Detail-Own 2015'!L$2,'transaction details'!$D:$D,'Budget Detail-Own 2015'!$A9)</f>
        <v>0</v>
      </c>
      <c r="M9" s="38">
        <f t="shared" si="4"/>
        <v>150</v>
      </c>
      <c r="N9" s="42">
        <f>-SUMIFS('transaction details'!$G:$G,'transaction details'!$H:$H,'Budget Detail-Own 2015'!N$2,'transaction details'!$D:$D,'Budget Detail-Own 2015'!$A9)</f>
        <v>0</v>
      </c>
      <c r="O9" s="38">
        <f t="shared" si="5"/>
        <v>150</v>
      </c>
      <c r="P9" s="42">
        <f>-SUMIFS('transaction details'!$G:$G,'transaction details'!$H:$H,'Budget Detail-Own 2015'!P$2,'transaction details'!$D:$D,'Budget Detail-Own 2015'!$A9)</f>
        <v>0</v>
      </c>
      <c r="Q9" s="38">
        <f t="shared" si="6"/>
        <v>150</v>
      </c>
      <c r="R9" s="42">
        <f>-SUMIFS('transaction details'!$G:$G,'transaction details'!$H:$H,'Budget Detail-Own 2015'!R$2,'transaction details'!$D:$D,'Budget Detail-Own 2015'!$A9)</f>
        <v>0</v>
      </c>
      <c r="S9" s="38">
        <f t="shared" si="7"/>
        <v>150</v>
      </c>
      <c r="T9" s="42">
        <f>-SUMIFS('transaction details'!$G:$G,'transaction details'!$H:$H,'Budget Detail-Own 2015'!T$2,'transaction details'!$D:$D,'Budget Detail-Own 2015'!$A9)</f>
        <v>0</v>
      </c>
      <c r="U9" s="38">
        <f t="shared" si="8"/>
        <v>150</v>
      </c>
      <c r="V9" s="42">
        <f>-SUMIFS('transaction details'!$G:$G,'transaction details'!$H:$H,'Budget Detail-Own 2015'!V$2,'transaction details'!$D:$D,'Budget Detail-Own 2015'!$A9)</f>
        <v>0</v>
      </c>
      <c r="W9" s="38">
        <f t="shared" si="9"/>
        <v>150</v>
      </c>
      <c r="X9" s="42">
        <f>-SUMIFS('transaction details'!$G:$G,'transaction details'!$H:$H,'Budget Detail-Own 2015'!X$2,'transaction details'!$D:$D,'Budget Detail-Own 2015'!$A9)</f>
        <v>0</v>
      </c>
      <c r="Y9" s="38">
        <f t="shared" si="10"/>
        <v>150</v>
      </c>
      <c r="Z9" s="42">
        <f>-SUMIFS('transaction details'!$G:$G,'transaction details'!$H:$H,'Budget Detail-Own 2015'!Z$2,'transaction details'!$D:$D,'Budget Detail-Own 2015'!$A9)</f>
        <v>0</v>
      </c>
      <c r="AA9" s="38">
        <f t="shared" si="11"/>
        <v>150</v>
      </c>
    </row>
    <row r="10" spans="1:27" x14ac:dyDescent="0.25">
      <c r="A10" t="s">
        <v>129</v>
      </c>
      <c r="B10" s="4">
        <f t="shared" si="0"/>
        <v>-3870.38</v>
      </c>
      <c r="C10">
        <v>50</v>
      </c>
      <c r="D10">
        <f>-SUMIFS('transaction details'!$G:$G,'transaction details'!$H:$H,'Budget Detail-Own 2015'!D$2,'transaction details'!$D:$D,'Budget Detail-Own 2015'!$A10)</f>
        <v>133.16</v>
      </c>
      <c r="E10" s="38">
        <f t="shared" si="1"/>
        <v>-83.16</v>
      </c>
      <c r="F10" s="42">
        <f>-SUMIFS('transaction details'!$G:$G,'transaction details'!$H:$H,'Budget Detail-Own 2015'!F$2,'transaction details'!$D:$D,'Budget Detail-Own 2015'!$A10)</f>
        <v>125.99</v>
      </c>
      <c r="G10" s="38">
        <f t="shared" si="1"/>
        <v>-75.989999999999995</v>
      </c>
      <c r="H10" s="42">
        <f>-SUMIFS('transaction details'!$G:$G,'transaction details'!$H:$H,'Budget Detail-Own 2015'!H$2,'transaction details'!$D:$D,'Budget Detail-Own 2015'!$A10)</f>
        <v>28.64</v>
      </c>
      <c r="I10" s="38">
        <f t="shared" si="2"/>
        <v>21.36</v>
      </c>
      <c r="J10" s="42">
        <f>-SUMIFS('transaction details'!$G:$G,'transaction details'!$H:$H,'Budget Detail-Own 2015'!J$2,'transaction details'!$D:$D,'Budget Detail-Own 2015'!$A10)</f>
        <v>409.75</v>
      </c>
      <c r="K10" s="38">
        <f t="shared" si="3"/>
        <v>-359.75</v>
      </c>
      <c r="L10" s="42">
        <f>-SUMIFS('transaction details'!$G:$G,'transaction details'!$H:$H,'Budget Detail-Own 2015'!L$2,'transaction details'!$D:$D,'Budget Detail-Own 2015'!$A10)</f>
        <v>0</v>
      </c>
      <c r="M10" s="38">
        <f t="shared" si="4"/>
        <v>50</v>
      </c>
      <c r="N10" s="42">
        <f>-SUMIFS('transaction details'!$G:$G,'transaction details'!$H:$H,'Budget Detail-Own 2015'!N$2,'transaction details'!$D:$D,'Budget Detail-Own 2015'!$A10)</f>
        <v>138.75</v>
      </c>
      <c r="O10" s="38">
        <f t="shared" si="5"/>
        <v>-88.75</v>
      </c>
      <c r="P10" s="42">
        <f>-SUMIFS('transaction details'!$G:$G,'transaction details'!$H:$H,'Budget Detail-Own 2015'!P$2,'transaction details'!$D:$D,'Budget Detail-Own 2015'!$A10)</f>
        <v>418.7</v>
      </c>
      <c r="Q10" s="38">
        <f t="shared" si="6"/>
        <v>-368.7</v>
      </c>
      <c r="R10" s="42">
        <f>-SUMIFS('transaction details'!$G:$G,'transaction details'!$H:$H,'Budget Detail-Own 2015'!R$2,'transaction details'!$D:$D,'Budget Detail-Own 2015'!$A10)</f>
        <v>853.35</v>
      </c>
      <c r="S10" s="38">
        <f t="shared" si="7"/>
        <v>-803.35</v>
      </c>
      <c r="T10" s="42">
        <f>-SUMIFS('transaction details'!$G:$G,'transaction details'!$H:$H,'Budget Detail-Own 2015'!T$2,'transaction details'!$D:$D,'Budget Detail-Own 2015'!$A10)</f>
        <v>342.04</v>
      </c>
      <c r="U10" s="38">
        <f t="shared" si="8"/>
        <v>-292.04000000000002</v>
      </c>
      <c r="V10" s="42">
        <f>-SUMIFS('transaction details'!$G:$G,'transaction details'!$H:$H,'Budget Detail-Own 2015'!V$2,'transaction details'!$D:$D,'Budget Detail-Own 2015'!$A10)</f>
        <v>798.06000000000006</v>
      </c>
      <c r="W10" s="38">
        <f t="shared" si="9"/>
        <v>-748.06000000000006</v>
      </c>
      <c r="X10" s="42">
        <f>-SUMIFS('transaction details'!$G:$G,'transaction details'!$H:$H,'Budget Detail-Own 2015'!X$2,'transaction details'!$D:$D,'Budget Detail-Own 2015'!$A10)</f>
        <v>618.04000000000008</v>
      </c>
      <c r="Y10" s="38">
        <f t="shared" si="10"/>
        <v>-568.04000000000008</v>
      </c>
      <c r="Z10" s="42">
        <f>-SUMIFS('transaction details'!$G:$G,'transaction details'!$H:$H,'Budget Detail-Own 2015'!Z$2,'transaction details'!$D:$D,'Budget Detail-Own 2015'!$A10)</f>
        <v>603.89999999999986</v>
      </c>
      <c r="AA10" s="38">
        <f t="shared" si="11"/>
        <v>-553.89999999999986</v>
      </c>
    </row>
    <row r="11" spans="1:27" x14ac:dyDescent="0.25">
      <c r="A11" t="s">
        <v>130</v>
      </c>
      <c r="B11" s="4">
        <f t="shared" si="0"/>
        <v>-4548.45</v>
      </c>
      <c r="C11">
        <v>50</v>
      </c>
      <c r="D11">
        <f>-SUMIFS('transaction details'!$G:$G,'transaction details'!$H:$H,'Budget Detail-Own 2015'!D$2,'transaction details'!$D:$D,'Budget Detail-Own 2015'!$A11)</f>
        <v>194.33999999999997</v>
      </c>
      <c r="E11" s="38">
        <f t="shared" si="1"/>
        <v>-144.33999999999997</v>
      </c>
      <c r="F11" s="42">
        <f>-SUMIFS('transaction details'!$G:$G,'transaction details'!$H:$H,'Budget Detail-Own 2015'!F$2,'transaction details'!$D:$D,'Budget Detail-Own 2015'!$A11)</f>
        <v>926.26</v>
      </c>
      <c r="G11" s="38">
        <f t="shared" si="1"/>
        <v>-876.26</v>
      </c>
      <c r="H11" s="42">
        <f>-SUMIFS('transaction details'!$G:$G,'transaction details'!$H:$H,'Budget Detail-Own 2015'!H$2,'transaction details'!$D:$D,'Budget Detail-Own 2015'!$A11)</f>
        <v>0</v>
      </c>
      <c r="I11" s="38">
        <f t="shared" si="2"/>
        <v>50</v>
      </c>
      <c r="J11" s="42">
        <f>-SUMIFS('transaction details'!$G:$G,'transaction details'!$H:$H,'Budget Detail-Own 2015'!J$2,'transaction details'!$D:$D,'Budget Detail-Own 2015'!$A11)</f>
        <v>43.83</v>
      </c>
      <c r="K11" s="38">
        <f t="shared" si="3"/>
        <v>6.1700000000000017</v>
      </c>
      <c r="L11" s="42">
        <f>-SUMIFS('transaction details'!$G:$G,'transaction details'!$H:$H,'Budget Detail-Own 2015'!L$2,'transaction details'!$D:$D,'Budget Detail-Own 2015'!$A11)</f>
        <v>958.4</v>
      </c>
      <c r="M11" s="38">
        <f t="shared" si="4"/>
        <v>-908.4</v>
      </c>
      <c r="N11" s="42">
        <f>-SUMIFS('transaction details'!$G:$G,'transaction details'!$H:$H,'Budget Detail-Own 2015'!N$2,'transaction details'!$D:$D,'Budget Detail-Own 2015'!$A11)</f>
        <v>77.39</v>
      </c>
      <c r="O11" s="38">
        <f t="shared" si="5"/>
        <v>-27.39</v>
      </c>
      <c r="P11" s="42">
        <f>-SUMIFS('transaction details'!$G:$G,'transaction details'!$H:$H,'Budget Detail-Own 2015'!P$2,'transaction details'!$D:$D,'Budget Detail-Own 2015'!$A11)</f>
        <v>-493.02</v>
      </c>
      <c r="Q11" s="38">
        <f t="shared" si="6"/>
        <v>543.02</v>
      </c>
      <c r="R11" s="42">
        <f>-SUMIFS('transaction details'!$G:$G,'transaction details'!$H:$H,'Budget Detail-Own 2015'!R$2,'transaction details'!$D:$D,'Budget Detail-Own 2015'!$A11)</f>
        <v>1368.74</v>
      </c>
      <c r="S11" s="38">
        <f t="shared" si="7"/>
        <v>-1318.74</v>
      </c>
      <c r="T11" s="42">
        <f>-SUMIFS('transaction details'!$G:$G,'transaction details'!$H:$H,'Budget Detail-Own 2015'!T$2,'transaction details'!$D:$D,'Budget Detail-Own 2015'!$A11)</f>
        <v>240.66</v>
      </c>
      <c r="U11" s="38">
        <f t="shared" si="8"/>
        <v>-190.66</v>
      </c>
      <c r="V11" s="42">
        <f>-SUMIFS('transaction details'!$G:$G,'transaction details'!$H:$H,'Budget Detail-Own 2015'!V$2,'transaction details'!$D:$D,'Budget Detail-Own 2015'!$A11)</f>
        <v>168</v>
      </c>
      <c r="W11" s="38">
        <f t="shared" si="9"/>
        <v>-118</v>
      </c>
      <c r="X11" s="42">
        <f>-SUMIFS('transaction details'!$G:$G,'transaction details'!$H:$H,'Budget Detail-Own 2015'!X$2,'transaction details'!$D:$D,'Budget Detail-Own 2015'!$A11)</f>
        <v>0</v>
      </c>
      <c r="Y11" s="38">
        <f t="shared" si="10"/>
        <v>50</v>
      </c>
      <c r="Z11" s="42">
        <f>-SUMIFS('transaction details'!$G:$G,'transaction details'!$H:$H,'Budget Detail-Own 2015'!Z$2,'transaction details'!$D:$D,'Budget Detail-Own 2015'!$A11)</f>
        <v>1663.85</v>
      </c>
      <c r="AA11" s="38">
        <f t="shared" si="11"/>
        <v>-1613.85</v>
      </c>
    </row>
    <row r="12" spans="1:27" x14ac:dyDescent="0.25">
      <c r="A12" t="s">
        <v>40</v>
      </c>
      <c r="B12" s="4">
        <f t="shared" si="0"/>
        <v>-4474.72</v>
      </c>
      <c r="C12">
        <v>100</v>
      </c>
      <c r="D12" s="30">
        <f>-SUMIFS('transaction details'!$G:$G,'transaction details'!$H:$H,'Budget Detail-Own 2015'!D$2,'transaction details'!$D:$D,'Budget Detail-Own 2015'!$A12)</f>
        <v>1144.24</v>
      </c>
      <c r="E12" s="38">
        <f t="shared" si="1"/>
        <v>-1044.24</v>
      </c>
      <c r="F12" s="44">
        <f>-SUMIFS('transaction details'!$G:$G,'transaction details'!$H:$H,'Budget Detail-Own 2015'!F$2,'transaction details'!$D:$D,'Budget Detail-Own 2015'!$A12)</f>
        <v>123.42999999999999</v>
      </c>
      <c r="G12" s="38">
        <f t="shared" si="1"/>
        <v>-23.429999999999993</v>
      </c>
      <c r="H12" s="44">
        <f>-SUMIFS('transaction details'!$G:$G,'transaction details'!$H:$H,'Budget Detail-Own 2015'!H$2,'transaction details'!$D:$D,'Budget Detail-Own 2015'!$A12)</f>
        <v>479.08000000000004</v>
      </c>
      <c r="I12" s="38">
        <f t="shared" si="2"/>
        <v>-379.08000000000004</v>
      </c>
      <c r="J12" s="44">
        <f>-SUMIFS('transaction details'!$G:$G,'transaction details'!$H:$H,'Budget Detail-Own 2015'!J$2,'transaction details'!$D:$D,'Budget Detail-Own 2015'!$A12)</f>
        <v>0</v>
      </c>
      <c r="K12" s="38">
        <f t="shared" si="3"/>
        <v>100</v>
      </c>
      <c r="L12" s="44">
        <f>-SUMIFS('transaction details'!$G:$G,'transaction details'!$H:$H,'Budget Detail-Own 2015'!L$2,'transaction details'!$D:$D,'Budget Detail-Own 2015'!$A12)</f>
        <v>464.54</v>
      </c>
      <c r="M12" s="38">
        <f t="shared" si="4"/>
        <v>-364.54</v>
      </c>
      <c r="N12" s="44">
        <f>-SUMIFS('transaction details'!$G:$G,'transaction details'!$H:$H,'Budget Detail-Own 2015'!N$2,'transaction details'!$D:$D,'Budget Detail-Own 2015'!$A12)</f>
        <v>0</v>
      </c>
      <c r="O12" s="38">
        <f t="shared" si="5"/>
        <v>100</v>
      </c>
      <c r="P12" s="44">
        <f>-SUMIFS('transaction details'!$G:$G,'transaction details'!$H:$H,'Budget Detail-Own 2015'!P$2,'transaction details'!$D:$D,'Budget Detail-Own 2015'!$A12)</f>
        <v>516.91999999999996</v>
      </c>
      <c r="Q12" s="38">
        <f t="shared" si="6"/>
        <v>-416.91999999999996</v>
      </c>
      <c r="R12" s="44">
        <f>-SUMIFS('transaction details'!$G:$G,'transaction details'!$H:$H,'Budget Detail-Own 2015'!R$2,'transaction details'!$D:$D,'Budget Detail-Own 2015'!$A12)</f>
        <v>216.75</v>
      </c>
      <c r="S12" s="38">
        <f t="shared" si="7"/>
        <v>-116.75</v>
      </c>
      <c r="T12" s="44">
        <f>-SUMIFS('transaction details'!$G:$G,'transaction details'!$H:$H,'Budget Detail-Own 2015'!T$2,'transaction details'!$D:$D,'Budget Detail-Own 2015'!$A12)</f>
        <v>1417.66</v>
      </c>
      <c r="U12" s="38">
        <f t="shared" si="8"/>
        <v>-1317.66</v>
      </c>
      <c r="V12" s="44">
        <f>-SUMIFS('transaction details'!$G:$G,'transaction details'!$H:$H,'Budget Detail-Own 2015'!V$2,'transaction details'!$D:$D,'Budget Detail-Own 2015'!$A12)</f>
        <v>527</v>
      </c>
      <c r="W12" s="38">
        <f t="shared" si="9"/>
        <v>-427</v>
      </c>
      <c r="X12" s="44">
        <f>-SUMIFS('transaction details'!$G:$G,'transaction details'!$H:$H,'Budget Detail-Own 2015'!X$2,'transaction details'!$D:$D,'Budget Detail-Own 2015'!$A12)</f>
        <v>587.80000000000007</v>
      </c>
      <c r="Y12" s="38">
        <f t="shared" si="10"/>
        <v>-487.80000000000007</v>
      </c>
      <c r="Z12" s="44">
        <f>-SUMIFS('transaction details'!$G:$G,'transaction details'!$H:$H,'Budget Detail-Own 2015'!Z$2,'transaction details'!$D:$D,'Budget Detail-Own 2015'!$A12)</f>
        <v>197.3</v>
      </c>
      <c r="AA12" s="38">
        <f t="shared" si="11"/>
        <v>-97.300000000000011</v>
      </c>
    </row>
    <row r="13" spans="1:27" x14ac:dyDescent="0.25">
      <c r="A13" t="s">
        <v>89</v>
      </c>
      <c r="B13" s="4">
        <f t="shared" si="0"/>
        <v>-4111.84</v>
      </c>
      <c r="C13">
        <v>100</v>
      </c>
      <c r="D13" s="30">
        <f>-SUMIFS('transaction details'!$G:$G,'transaction details'!$H:$H,'Budget Detail-Own 2015'!D$2,'transaction details'!$D:$D,'Budget Detail-Own 2015'!$A13)</f>
        <v>421.79</v>
      </c>
      <c r="E13" s="38">
        <f t="shared" si="1"/>
        <v>-321.79000000000002</v>
      </c>
      <c r="F13" s="44">
        <f>-SUMIFS('transaction details'!$G:$G,'transaction details'!$H:$H,'Budget Detail-Own 2015'!F$2,'transaction details'!$D:$D,'Budget Detail-Own 2015'!$A13)</f>
        <v>414.45</v>
      </c>
      <c r="G13" s="38">
        <f t="shared" si="1"/>
        <v>-314.45</v>
      </c>
      <c r="H13" s="44">
        <f>-SUMIFS('transaction details'!$G:$G,'transaction details'!$H:$H,'Budget Detail-Own 2015'!H$2,'transaction details'!$D:$D,'Budget Detail-Own 2015'!$A13)</f>
        <v>327.52</v>
      </c>
      <c r="I13" s="38">
        <f t="shared" si="2"/>
        <v>-227.51999999999998</v>
      </c>
      <c r="J13" s="44">
        <f>-SUMIFS('transaction details'!$G:$G,'transaction details'!$H:$H,'Budget Detail-Own 2015'!J$2,'transaction details'!$D:$D,'Budget Detail-Own 2015'!$A13)</f>
        <v>239.95999999999995</v>
      </c>
      <c r="K13" s="38">
        <f t="shared" si="3"/>
        <v>-139.95999999999995</v>
      </c>
      <c r="L13" s="44">
        <f>-SUMIFS('transaction details'!$G:$G,'transaction details'!$H:$H,'Budget Detail-Own 2015'!L$2,'transaction details'!$D:$D,'Budget Detail-Own 2015'!$A13)</f>
        <v>0</v>
      </c>
      <c r="M13" s="38">
        <f t="shared" si="4"/>
        <v>100</v>
      </c>
      <c r="N13" s="44">
        <f>-SUMIFS('transaction details'!$G:$G,'transaction details'!$H:$H,'Budget Detail-Own 2015'!N$2,'transaction details'!$D:$D,'Budget Detail-Own 2015'!$A13)</f>
        <v>35.559999999999995</v>
      </c>
      <c r="O13" s="38">
        <f t="shared" si="5"/>
        <v>64.44</v>
      </c>
      <c r="P13" s="44">
        <f>-SUMIFS('transaction details'!$G:$G,'transaction details'!$H:$H,'Budget Detail-Own 2015'!P$2,'transaction details'!$D:$D,'Budget Detail-Own 2015'!$A13)</f>
        <v>683.50000000000011</v>
      </c>
      <c r="Q13" s="38">
        <f t="shared" si="6"/>
        <v>-583.50000000000011</v>
      </c>
      <c r="R13" s="44">
        <f>-SUMIFS('transaction details'!$G:$G,'transaction details'!$H:$H,'Budget Detail-Own 2015'!R$2,'transaction details'!$D:$D,'Budget Detail-Own 2015'!$A13)</f>
        <v>517.88</v>
      </c>
      <c r="S13" s="38">
        <f t="shared" si="7"/>
        <v>-417.88</v>
      </c>
      <c r="T13" s="44">
        <f>-SUMIFS('transaction details'!$G:$G,'transaction details'!$H:$H,'Budget Detail-Own 2015'!T$2,'transaction details'!$D:$D,'Budget Detail-Own 2015'!$A13)</f>
        <v>613.82000000000005</v>
      </c>
      <c r="U13" s="38">
        <f t="shared" si="8"/>
        <v>-513.82000000000005</v>
      </c>
      <c r="V13" s="44">
        <f>-SUMIFS('transaction details'!$G:$G,'transaction details'!$H:$H,'Budget Detail-Own 2015'!V$2,'transaction details'!$D:$D,'Budget Detail-Own 2015'!$A13)</f>
        <v>1157.3399999999999</v>
      </c>
      <c r="W13" s="38">
        <f t="shared" si="9"/>
        <v>-1057.3399999999999</v>
      </c>
      <c r="X13" s="44">
        <f>-SUMIFS('transaction details'!$G:$G,'transaction details'!$H:$H,'Budget Detail-Own 2015'!X$2,'transaction details'!$D:$D,'Budget Detail-Own 2015'!$A13)</f>
        <v>573.39999999999986</v>
      </c>
      <c r="Y13" s="38">
        <f t="shared" si="10"/>
        <v>-473.39999999999986</v>
      </c>
      <c r="Z13" s="44">
        <f>-SUMIFS('transaction details'!$G:$G,'transaction details'!$H:$H,'Budget Detail-Own 2015'!Z$2,'transaction details'!$D:$D,'Budget Detail-Own 2015'!$A13)</f>
        <v>326.62</v>
      </c>
      <c r="AA13" s="38">
        <f t="shared" si="11"/>
        <v>-226.62</v>
      </c>
    </row>
    <row r="14" spans="1:27" x14ac:dyDescent="0.25">
      <c r="A14" t="s">
        <v>32</v>
      </c>
      <c r="B14" s="4">
        <f t="shared" si="0"/>
        <v>-659.98</v>
      </c>
      <c r="C14">
        <v>0</v>
      </c>
      <c r="D14" s="30">
        <f>-SUMIFS('transaction details'!$G:$G,'transaction details'!$H:$H,'Budget Detail-Own 2015'!D$2,'transaction details'!$D:$D,'Budget Detail-Own 2015'!$A14)</f>
        <v>0</v>
      </c>
      <c r="E14" s="38">
        <f t="shared" si="1"/>
        <v>0</v>
      </c>
      <c r="F14" s="44">
        <f>-SUMIFS('transaction details'!$G:$G,'transaction details'!$H:$H,'Budget Detail-Own 2015'!F$2,'transaction details'!$D:$D,'Budget Detail-Own 2015'!$A14)</f>
        <v>659.98</v>
      </c>
      <c r="G14" s="38">
        <f t="shared" si="1"/>
        <v>-659.98</v>
      </c>
      <c r="H14" s="44">
        <f>-SUMIFS('transaction details'!$G:$G,'transaction details'!$H:$H,'Budget Detail-Own 2015'!H$2,'transaction details'!$D:$D,'Budget Detail-Own 2015'!$A14)</f>
        <v>0</v>
      </c>
      <c r="I14" s="38">
        <f t="shared" si="2"/>
        <v>0</v>
      </c>
      <c r="J14" s="44">
        <f>-SUMIFS('transaction details'!$G:$G,'transaction details'!$H:$H,'Budget Detail-Own 2015'!J$2,'transaction details'!$D:$D,'Budget Detail-Own 2015'!$A14)</f>
        <v>0</v>
      </c>
      <c r="K14" s="38">
        <f t="shared" si="3"/>
        <v>0</v>
      </c>
      <c r="L14" s="44">
        <f>-SUMIFS('transaction details'!$G:$G,'transaction details'!$H:$H,'Budget Detail-Own 2015'!L$2,'transaction details'!$D:$D,'Budget Detail-Own 2015'!$A14)</f>
        <v>0</v>
      </c>
      <c r="M14" s="38">
        <f t="shared" si="4"/>
        <v>0</v>
      </c>
      <c r="N14" s="44">
        <f>-SUMIFS('transaction details'!$G:$G,'transaction details'!$H:$H,'Budget Detail-Own 2015'!N$2,'transaction details'!$D:$D,'Budget Detail-Own 2015'!$A14)</f>
        <v>0</v>
      </c>
      <c r="O14" s="38">
        <f t="shared" si="5"/>
        <v>0</v>
      </c>
      <c r="P14" s="44">
        <f>-SUMIFS('transaction details'!$G:$G,'transaction details'!$H:$H,'Budget Detail-Own 2015'!P$2,'transaction details'!$D:$D,'Budget Detail-Own 2015'!$A14)</f>
        <v>0</v>
      </c>
      <c r="Q14" s="38">
        <f t="shared" si="6"/>
        <v>0</v>
      </c>
      <c r="R14" s="44">
        <f>-SUMIFS('transaction details'!$G:$G,'transaction details'!$H:$H,'Budget Detail-Own 2015'!R$2,'transaction details'!$D:$D,'Budget Detail-Own 2015'!$A14)</f>
        <v>0</v>
      </c>
      <c r="S14" s="38">
        <f t="shared" si="7"/>
        <v>0</v>
      </c>
      <c r="T14" s="44">
        <f>-SUMIFS('transaction details'!$G:$G,'transaction details'!$H:$H,'Budget Detail-Own 2015'!T$2,'transaction details'!$D:$D,'Budget Detail-Own 2015'!$A14)</f>
        <v>0</v>
      </c>
      <c r="U14" s="38">
        <f t="shared" si="8"/>
        <v>0</v>
      </c>
      <c r="V14" s="44">
        <f>-SUMIFS('transaction details'!$G:$G,'transaction details'!$H:$H,'Budget Detail-Own 2015'!V$2,'transaction details'!$D:$D,'Budget Detail-Own 2015'!$A14)</f>
        <v>0</v>
      </c>
      <c r="W14" s="38">
        <f t="shared" si="9"/>
        <v>0</v>
      </c>
      <c r="X14" s="44">
        <f>-SUMIFS('transaction details'!$G:$G,'transaction details'!$H:$H,'Budget Detail-Own 2015'!X$2,'transaction details'!$D:$D,'Budget Detail-Own 2015'!$A14)</f>
        <v>0</v>
      </c>
      <c r="Y14" s="38">
        <f t="shared" si="10"/>
        <v>0</v>
      </c>
      <c r="Z14" s="44">
        <f>-SUMIFS('transaction details'!$G:$G,'transaction details'!$H:$H,'Budget Detail-Own 2015'!Z$2,'transaction details'!$D:$D,'Budget Detail-Own 2015'!$A14)</f>
        <v>0</v>
      </c>
      <c r="AA14" s="38">
        <f t="shared" si="11"/>
        <v>0</v>
      </c>
    </row>
    <row r="15" spans="1:27" x14ac:dyDescent="0.25">
      <c r="A15" t="s">
        <v>160</v>
      </c>
      <c r="B15" s="4">
        <f t="shared" si="0"/>
        <v>194.5</v>
      </c>
      <c r="C15">
        <v>20</v>
      </c>
      <c r="D15" s="30">
        <f>-SUMIFS('transaction details'!$G:$G,'transaction details'!$H:$H,'Budget Detail-Own 2015'!D$2,'transaction details'!$D:$D,'Budget Detail-Own 2015'!$A15)</f>
        <v>45.5</v>
      </c>
      <c r="E15" s="38">
        <f t="shared" si="1"/>
        <v>-25.5</v>
      </c>
      <c r="F15" s="44">
        <f>-SUMIFS('transaction details'!$G:$G,'transaction details'!$H:$H,'Budget Detail-Own 2015'!F$2,'transaction details'!$D:$D,'Budget Detail-Own 2015'!$A15)</f>
        <v>0</v>
      </c>
      <c r="G15" s="38">
        <f t="shared" si="1"/>
        <v>20</v>
      </c>
      <c r="H15" s="44">
        <f>-SUMIFS('transaction details'!$G:$G,'transaction details'!$H:$H,'Budget Detail-Own 2015'!H$2,'transaction details'!$D:$D,'Budget Detail-Own 2015'!$A15)</f>
        <v>0</v>
      </c>
      <c r="I15" s="38">
        <f t="shared" si="2"/>
        <v>20</v>
      </c>
      <c r="J15" s="44">
        <f>-SUMIFS('transaction details'!$G:$G,'transaction details'!$H:$H,'Budget Detail-Own 2015'!J$2,'transaction details'!$D:$D,'Budget Detail-Own 2015'!$A15)</f>
        <v>0</v>
      </c>
      <c r="K15" s="38">
        <f t="shared" si="3"/>
        <v>20</v>
      </c>
      <c r="L15" s="44">
        <f>-SUMIFS('transaction details'!$G:$G,'transaction details'!$H:$H,'Budget Detail-Own 2015'!L$2,'transaction details'!$D:$D,'Budget Detail-Own 2015'!$A15)</f>
        <v>0</v>
      </c>
      <c r="M15" s="38">
        <f t="shared" si="4"/>
        <v>20</v>
      </c>
      <c r="N15" s="44">
        <f>-SUMIFS('transaction details'!$G:$G,'transaction details'!$H:$H,'Budget Detail-Own 2015'!N$2,'transaction details'!$D:$D,'Budget Detail-Own 2015'!$A15)</f>
        <v>0</v>
      </c>
      <c r="O15" s="38">
        <f t="shared" si="5"/>
        <v>20</v>
      </c>
      <c r="P15" s="44">
        <f>-SUMIFS('transaction details'!$G:$G,'transaction details'!$H:$H,'Budget Detail-Own 2015'!P$2,'transaction details'!$D:$D,'Budget Detail-Own 2015'!$A15)</f>
        <v>0</v>
      </c>
      <c r="Q15" s="38">
        <f t="shared" si="6"/>
        <v>20</v>
      </c>
      <c r="R15" s="44">
        <f>-SUMIFS('transaction details'!$G:$G,'transaction details'!$H:$H,'Budget Detail-Own 2015'!R$2,'transaction details'!$D:$D,'Budget Detail-Own 2015'!$A15)</f>
        <v>0</v>
      </c>
      <c r="S15" s="38">
        <f t="shared" si="7"/>
        <v>20</v>
      </c>
      <c r="T15" s="44">
        <f>-SUMIFS('transaction details'!$G:$G,'transaction details'!$H:$H,'Budget Detail-Own 2015'!T$2,'transaction details'!$D:$D,'Budget Detail-Own 2015'!$A15)</f>
        <v>0</v>
      </c>
      <c r="U15" s="38">
        <f t="shared" si="8"/>
        <v>20</v>
      </c>
      <c r="V15" s="44">
        <f>-SUMIFS('transaction details'!$G:$G,'transaction details'!$H:$H,'Budget Detail-Own 2015'!V$2,'transaction details'!$D:$D,'Budget Detail-Own 2015'!$A15)</f>
        <v>0</v>
      </c>
      <c r="W15" s="38">
        <f t="shared" si="9"/>
        <v>20</v>
      </c>
      <c r="X15" s="44">
        <f>-SUMIFS('transaction details'!$G:$G,'transaction details'!$H:$H,'Budget Detail-Own 2015'!X$2,'transaction details'!$D:$D,'Budget Detail-Own 2015'!$A15)</f>
        <v>0</v>
      </c>
      <c r="Y15" s="38">
        <f t="shared" si="10"/>
        <v>20</v>
      </c>
      <c r="Z15" s="44">
        <f>-SUMIFS('transaction details'!$G:$G,'transaction details'!$H:$H,'Budget Detail-Own 2015'!Z$2,'transaction details'!$D:$D,'Budget Detail-Own 2015'!$A15)</f>
        <v>0</v>
      </c>
      <c r="AA15" s="38">
        <f t="shared" si="11"/>
        <v>20</v>
      </c>
    </row>
    <row r="16" spans="1:27" x14ac:dyDescent="0.25">
      <c r="A16" t="s">
        <v>177</v>
      </c>
      <c r="B16" s="4">
        <f t="shared" si="0"/>
        <v>-3656.71</v>
      </c>
      <c r="C16" s="38">
        <f>Goals!P7</f>
        <v>500</v>
      </c>
      <c r="D16" s="30">
        <f>-SUMIFS('transaction details'!$G:$G,'transaction details'!$H:$H,'Budget Detail-Own 2015'!D$2,'transaction details'!$D:$D,'Budget Detail-Own 2015'!$A16)</f>
        <v>4944.55</v>
      </c>
      <c r="E16" s="38">
        <f t="shared" si="1"/>
        <v>-4444.55</v>
      </c>
      <c r="F16" s="44">
        <f>-SUMIFS('transaction details'!$G:$G,'transaction details'!$H:$H,'Budget Detail-Own 2015'!F$2,'transaction details'!$D:$D,'Budget Detail-Own 2015'!$A16)</f>
        <v>0</v>
      </c>
      <c r="G16" s="38">
        <f t="shared" si="1"/>
        <v>500</v>
      </c>
      <c r="H16" s="44">
        <f>-SUMIFS('transaction details'!$G:$G,'transaction details'!$H:$H,'Budget Detail-Own 2015'!H$2,'transaction details'!$D:$D,'Budget Detail-Own 2015'!$A16)</f>
        <v>0</v>
      </c>
      <c r="I16" s="38">
        <f t="shared" si="2"/>
        <v>500</v>
      </c>
      <c r="J16" s="44">
        <f>-SUMIFS('transaction details'!$G:$G,'transaction details'!$H:$H,'Budget Detail-Own 2015'!J$2,'transaction details'!$D:$D,'Budget Detail-Own 2015'!$A16)</f>
        <v>0</v>
      </c>
      <c r="K16" s="38">
        <f t="shared" si="3"/>
        <v>500</v>
      </c>
      <c r="L16" s="44">
        <f>-SUMIFS('transaction details'!$G:$G,'transaction details'!$H:$H,'Budget Detail-Own 2015'!L$2,'transaction details'!$D:$D,'Budget Detail-Own 2015'!$A16)</f>
        <v>0</v>
      </c>
      <c r="M16" s="38">
        <f t="shared" si="4"/>
        <v>500</v>
      </c>
      <c r="N16" s="44">
        <f>-SUMIFS('transaction details'!$G:$G,'transaction details'!$H:$H,'Budget Detail-Own 2015'!N$2,'transaction details'!$D:$D,'Budget Detail-Own 2015'!$A16)</f>
        <v>0</v>
      </c>
      <c r="O16" s="38">
        <f t="shared" si="5"/>
        <v>500</v>
      </c>
      <c r="P16" s="44">
        <f>-SUMIFS('transaction details'!$G:$G,'transaction details'!$H:$H,'Budget Detail-Own 2015'!P$2,'transaction details'!$D:$D,'Budget Detail-Own 2015'!$A16)</f>
        <v>0</v>
      </c>
      <c r="Q16" s="38">
        <f t="shared" si="6"/>
        <v>500</v>
      </c>
      <c r="R16" s="44">
        <f>-SUMIFS('transaction details'!$G:$G,'transaction details'!$H:$H,'Budget Detail-Own 2015'!R$2,'transaction details'!$D:$D,'Budget Detail-Own 2015'!$A16)</f>
        <v>0</v>
      </c>
      <c r="S16" s="38">
        <f t="shared" si="7"/>
        <v>500</v>
      </c>
      <c r="T16" s="44">
        <f>-SUMIFS('transaction details'!$G:$G,'transaction details'!$H:$H,'Budget Detail-Own 2015'!T$2,'transaction details'!$D:$D,'Budget Detail-Own 2015'!$A16)</f>
        <v>0</v>
      </c>
      <c r="U16" s="38">
        <f t="shared" si="8"/>
        <v>500</v>
      </c>
      <c r="V16" s="44">
        <f>-SUMIFS('transaction details'!$G:$G,'transaction details'!$H:$H,'Budget Detail-Own 2015'!V$2,'transaction details'!$D:$D,'Budget Detail-Own 2015'!$A16)</f>
        <v>0</v>
      </c>
      <c r="W16" s="38">
        <f t="shared" si="9"/>
        <v>500</v>
      </c>
      <c r="X16" s="44">
        <f>-SUMIFS('transaction details'!$G:$G,'transaction details'!$H:$H,'Budget Detail-Own 2015'!X$2,'transaction details'!$D:$D,'Budget Detail-Own 2015'!$A16)</f>
        <v>0</v>
      </c>
      <c r="Y16" s="38">
        <f t="shared" si="10"/>
        <v>500</v>
      </c>
      <c r="Z16" s="44">
        <f>-SUMIFS('transaction details'!$G:$G,'transaction details'!$H:$H,'Budget Detail-Own 2015'!Z$2,'transaction details'!$D:$D,'Budget Detail-Own 2015'!$A16)</f>
        <v>4712.16</v>
      </c>
      <c r="AA16" s="38">
        <f t="shared" si="11"/>
        <v>-4212.16</v>
      </c>
    </row>
    <row r="17" spans="1:27" x14ac:dyDescent="0.25">
      <c r="A17" t="s">
        <v>183</v>
      </c>
      <c r="B17" s="4">
        <f t="shared" si="0"/>
        <v>737.22</v>
      </c>
      <c r="C17" s="38">
        <v>100</v>
      </c>
      <c r="D17" s="30">
        <f>-SUMIFS('transaction details'!$G:$G,'transaction details'!$H:$H,'Budget Detail-Own 2015'!D$2,'transaction details'!$D:$D,'Budget Detail-Own 2015'!$A17)</f>
        <v>0</v>
      </c>
      <c r="E17" s="38">
        <f t="shared" si="1"/>
        <v>100</v>
      </c>
      <c r="F17" s="44">
        <f>-SUMIFS('transaction details'!$G:$G,'transaction details'!$H:$H,'Budget Detail-Own 2015'!F$2,'transaction details'!$D:$D,'Budget Detail-Own 2015'!$A17)</f>
        <v>12.5</v>
      </c>
      <c r="G17" s="38">
        <f t="shared" si="1"/>
        <v>87.5</v>
      </c>
      <c r="H17" s="44">
        <f>-SUMIFS('transaction details'!$G:$G,'transaction details'!$H:$H,'Budget Detail-Own 2015'!H$2,'transaction details'!$D:$D,'Budget Detail-Own 2015'!$A17)</f>
        <v>10.38</v>
      </c>
      <c r="I17" s="38">
        <f t="shared" si="2"/>
        <v>89.62</v>
      </c>
      <c r="J17" s="44">
        <f>-SUMIFS('transaction details'!$G:$G,'transaction details'!$H:$H,'Budget Detail-Own 2015'!J$2,'transaction details'!$D:$D,'Budget Detail-Own 2015'!$A17)</f>
        <v>0</v>
      </c>
      <c r="K17" s="38">
        <f t="shared" si="3"/>
        <v>100</v>
      </c>
      <c r="L17" s="44">
        <f>-SUMIFS('transaction details'!$G:$G,'transaction details'!$H:$H,'Budget Detail-Own 2015'!L$2,'transaction details'!$D:$D,'Budget Detail-Own 2015'!$A17)</f>
        <v>0</v>
      </c>
      <c r="M17" s="38">
        <f t="shared" si="4"/>
        <v>100</v>
      </c>
      <c r="N17" s="44">
        <f>-SUMIFS('transaction details'!$G:$G,'transaction details'!$H:$H,'Budget Detail-Own 2015'!N$2,'transaction details'!$D:$D,'Budget Detail-Own 2015'!$A17)</f>
        <v>0</v>
      </c>
      <c r="O17" s="38">
        <f t="shared" si="5"/>
        <v>100</v>
      </c>
      <c r="P17" s="44">
        <f>-SUMIFS('transaction details'!$G:$G,'transaction details'!$H:$H,'Budget Detail-Own 2015'!P$2,'transaction details'!$D:$D,'Budget Detail-Own 2015'!$A17)</f>
        <v>313.20999999999998</v>
      </c>
      <c r="Q17" s="38">
        <f t="shared" si="6"/>
        <v>-213.20999999999998</v>
      </c>
      <c r="R17" s="44">
        <f>-SUMIFS('transaction details'!$G:$G,'transaction details'!$H:$H,'Budget Detail-Own 2015'!R$2,'transaction details'!$D:$D,'Budget Detail-Own 2015'!$A17)</f>
        <v>-24.089999999999996</v>
      </c>
      <c r="S17" s="38">
        <f t="shared" si="7"/>
        <v>124.09</v>
      </c>
      <c r="T17" s="44">
        <f>-SUMIFS('transaction details'!$G:$G,'transaction details'!$H:$H,'Budget Detail-Own 2015'!T$2,'transaction details'!$D:$D,'Budget Detail-Own 2015'!$A17)</f>
        <v>109.4</v>
      </c>
      <c r="U17" s="38">
        <f t="shared" si="8"/>
        <v>-9.4000000000000057</v>
      </c>
      <c r="V17" s="44">
        <f>-SUMIFS('transaction details'!$G:$G,'transaction details'!$H:$H,'Budget Detail-Own 2015'!V$2,'transaction details'!$D:$D,'Budget Detail-Own 2015'!$A17)</f>
        <v>34.840000000000003</v>
      </c>
      <c r="W17" s="38">
        <f t="shared" si="9"/>
        <v>65.16</v>
      </c>
      <c r="X17" s="44">
        <f>-SUMIFS('transaction details'!$G:$G,'transaction details'!$H:$H,'Budget Detail-Own 2015'!X$2,'transaction details'!$D:$D,'Budget Detail-Own 2015'!$A17)</f>
        <v>6.54</v>
      </c>
      <c r="Y17" s="38">
        <f t="shared" si="10"/>
        <v>93.46</v>
      </c>
      <c r="Z17" s="44">
        <f>-SUMIFS('transaction details'!$G:$G,'transaction details'!$H:$H,'Budget Detail-Own 2015'!Z$2,'transaction details'!$D:$D,'Budget Detail-Own 2015'!$A17)</f>
        <v>0</v>
      </c>
      <c r="AA17" s="38">
        <f t="shared" si="11"/>
        <v>100</v>
      </c>
    </row>
    <row r="18" spans="1:27" x14ac:dyDescent="0.25">
      <c r="A18" t="s">
        <v>175</v>
      </c>
      <c r="B18" s="4">
        <f t="shared" si="0"/>
        <v>-712.96</v>
      </c>
      <c r="C18" s="38">
        <f>Goals!P8</f>
        <v>60</v>
      </c>
      <c r="D18" s="30">
        <f>-SUMIFS('transaction details'!$G:$G,'transaction details'!$H:$H,'Budget Detail-Own 2015'!D$2,'transaction details'!$D:$D,'Budget Detail-Own 2015'!$A18)</f>
        <v>0</v>
      </c>
      <c r="E18" s="38">
        <f t="shared" si="1"/>
        <v>60</v>
      </c>
      <c r="F18" s="44">
        <f>-SUMIFS('transaction details'!$G:$G,'transaction details'!$H:$H,'Budget Detail-Own 2015'!F$2,'transaction details'!$D:$D,'Budget Detail-Own 2015'!$A18)</f>
        <v>0</v>
      </c>
      <c r="G18" s="38">
        <f t="shared" si="1"/>
        <v>60</v>
      </c>
      <c r="H18" s="44">
        <f>-SUMIFS('transaction details'!$G:$G,'transaction details'!$H:$H,'Budget Detail-Own 2015'!H$2,'transaction details'!$D:$D,'Budget Detail-Own 2015'!$A18)</f>
        <v>0</v>
      </c>
      <c r="I18" s="38">
        <f t="shared" si="2"/>
        <v>60</v>
      </c>
      <c r="J18" s="44">
        <f>-SUMIFS('transaction details'!$G:$G,'transaction details'!$H:$H,'Budget Detail-Own 2015'!J$2,'transaction details'!$D:$D,'Budget Detail-Own 2015'!$A18)</f>
        <v>0</v>
      </c>
      <c r="K18" s="38">
        <f t="shared" si="3"/>
        <v>60</v>
      </c>
      <c r="L18" s="44">
        <f>-SUMIFS('transaction details'!$G:$G,'transaction details'!$H:$H,'Budget Detail-Own 2015'!L$2,'transaction details'!$D:$D,'Budget Detail-Own 2015'!$A18)</f>
        <v>897.09</v>
      </c>
      <c r="M18" s="38">
        <f t="shared" si="4"/>
        <v>-837.09</v>
      </c>
      <c r="N18" s="44">
        <f>-SUMIFS('transaction details'!$G:$G,'transaction details'!$H:$H,'Budget Detail-Own 2015'!N$2,'transaction details'!$D:$D,'Budget Detail-Own 2015'!$A18)</f>
        <v>0</v>
      </c>
      <c r="O18" s="38">
        <f t="shared" si="5"/>
        <v>60</v>
      </c>
      <c r="P18" s="44">
        <f>-SUMIFS('transaction details'!$G:$G,'transaction details'!$H:$H,'Budget Detail-Own 2015'!P$2,'transaction details'!$D:$D,'Budget Detail-Own 2015'!$A18)</f>
        <v>0</v>
      </c>
      <c r="Q18" s="38">
        <f t="shared" si="6"/>
        <v>60</v>
      </c>
      <c r="R18" s="44">
        <f>-SUMIFS('transaction details'!$G:$G,'transaction details'!$H:$H,'Budget Detail-Own 2015'!R$2,'transaction details'!$D:$D,'Budget Detail-Own 2015'!$A18)</f>
        <v>-14.89</v>
      </c>
      <c r="S18" s="38">
        <f t="shared" si="7"/>
        <v>74.89</v>
      </c>
      <c r="T18" s="44">
        <f>-SUMIFS('transaction details'!$G:$G,'transaction details'!$H:$H,'Budget Detail-Own 2015'!T$2,'transaction details'!$D:$D,'Budget Detail-Own 2015'!$A18)</f>
        <v>0</v>
      </c>
      <c r="U18" s="38">
        <f t="shared" si="8"/>
        <v>60</v>
      </c>
      <c r="V18" s="44">
        <f>-SUMIFS('transaction details'!$G:$G,'transaction details'!$H:$H,'Budget Detail-Own 2015'!V$2,'transaction details'!$D:$D,'Budget Detail-Own 2015'!$A18)</f>
        <v>550.76</v>
      </c>
      <c r="W18" s="38">
        <f t="shared" si="9"/>
        <v>-490.76</v>
      </c>
      <c r="X18" s="44">
        <f>-SUMIFS('transaction details'!$G:$G,'transaction details'!$H:$H,'Budget Detail-Own 2015'!X$2,'transaction details'!$D:$D,'Budget Detail-Own 2015'!$A18)</f>
        <v>0</v>
      </c>
      <c r="Y18" s="38">
        <f t="shared" si="10"/>
        <v>60</v>
      </c>
      <c r="Z18" s="44">
        <f>-SUMIFS('transaction details'!$G:$G,'transaction details'!$H:$H,'Budget Detail-Own 2015'!Z$2,'transaction details'!$D:$D,'Budget Detail-Own 2015'!$A18)</f>
        <v>0</v>
      </c>
      <c r="AA18" s="38">
        <f t="shared" si="11"/>
        <v>60</v>
      </c>
    </row>
    <row r="19" spans="1:27" x14ac:dyDescent="0.25">
      <c r="A19" t="s">
        <v>57</v>
      </c>
      <c r="B19" s="4">
        <f t="shared" si="0"/>
        <v>512.46</v>
      </c>
      <c r="C19">
        <v>48</v>
      </c>
      <c r="D19" s="30">
        <f>-SUMIFS('transaction details'!$G:$G,'transaction details'!$H:$H,'Budget Detail-Own 2015'!D$2,'transaction details'!$D:$D,'Budget Detail-Own 2015'!$A19)</f>
        <v>63.54</v>
      </c>
      <c r="E19" s="38">
        <f t="shared" si="1"/>
        <v>-15.54</v>
      </c>
      <c r="F19" s="44">
        <f>-SUMIFS('transaction details'!$G:$G,'transaction details'!$H:$H,'Budget Detail-Own 2015'!F$2,'transaction details'!$D:$D,'Budget Detail-Own 2015'!$A19)</f>
        <v>0</v>
      </c>
      <c r="G19" s="38">
        <f t="shared" si="1"/>
        <v>48</v>
      </c>
      <c r="H19" s="44">
        <f>-SUMIFS('transaction details'!$G:$G,'transaction details'!$H:$H,'Budget Detail-Own 2015'!H$2,'transaction details'!$D:$D,'Budget Detail-Own 2015'!$A19)</f>
        <v>0</v>
      </c>
      <c r="I19" s="38">
        <f t="shared" si="2"/>
        <v>48</v>
      </c>
      <c r="J19" s="44">
        <f>-SUMIFS('transaction details'!$G:$G,'transaction details'!$H:$H,'Budget Detail-Own 2015'!J$2,'transaction details'!$D:$D,'Budget Detail-Own 2015'!$A19)</f>
        <v>0</v>
      </c>
      <c r="K19" s="38">
        <f t="shared" si="3"/>
        <v>48</v>
      </c>
      <c r="L19" s="44">
        <f>-SUMIFS('transaction details'!$G:$G,'transaction details'!$H:$H,'Budget Detail-Own 2015'!L$2,'transaction details'!$D:$D,'Budget Detail-Own 2015'!$A19)</f>
        <v>0</v>
      </c>
      <c r="M19" s="38">
        <f t="shared" si="4"/>
        <v>48</v>
      </c>
      <c r="N19" s="44">
        <f>-SUMIFS('transaction details'!$G:$G,'transaction details'!$H:$H,'Budget Detail-Own 2015'!N$2,'transaction details'!$D:$D,'Budget Detail-Own 2015'!$A19)</f>
        <v>0</v>
      </c>
      <c r="O19" s="38">
        <f t="shared" si="5"/>
        <v>48</v>
      </c>
      <c r="P19" s="44">
        <f>-SUMIFS('transaction details'!$G:$G,'transaction details'!$H:$H,'Budget Detail-Own 2015'!P$2,'transaction details'!$D:$D,'Budget Detail-Own 2015'!$A19)</f>
        <v>0</v>
      </c>
      <c r="Q19" s="38">
        <f t="shared" si="6"/>
        <v>48</v>
      </c>
      <c r="R19" s="44">
        <f>-SUMIFS('transaction details'!$G:$G,'transaction details'!$H:$H,'Budget Detail-Own 2015'!R$2,'transaction details'!$D:$D,'Budget Detail-Own 2015'!$A19)</f>
        <v>0</v>
      </c>
      <c r="S19" s="38">
        <f t="shared" si="7"/>
        <v>48</v>
      </c>
      <c r="T19" s="44">
        <f>-SUMIFS('transaction details'!$G:$G,'transaction details'!$H:$H,'Budget Detail-Own 2015'!T$2,'transaction details'!$D:$D,'Budget Detail-Own 2015'!$A19)</f>
        <v>0</v>
      </c>
      <c r="U19" s="38">
        <f t="shared" si="8"/>
        <v>48</v>
      </c>
      <c r="V19" s="44">
        <f>-SUMIFS('transaction details'!$G:$G,'transaction details'!$H:$H,'Budget Detail-Own 2015'!V$2,'transaction details'!$D:$D,'Budget Detail-Own 2015'!$A19)</f>
        <v>0</v>
      </c>
      <c r="W19" s="38">
        <f t="shared" si="9"/>
        <v>48</v>
      </c>
      <c r="X19" s="44">
        <f>-SUMIFS('transaction details'!$G:$G,'transaction details'!$H:$H,'Budget Detail-Own 2015'!X$2,'transaction details'!$D:$D,'Budget Detail-Own 2015'!$A19)</f>
        <v>0</v>
      </c>
      <c r="Y19" s="38">
        <f t="shared" si="10"/>
        <v>48</v>
      </c>
      <c r="Z19" s="44">
        <f>-SUMIFS('transaction details'!$G:$G,'transaction details'!$H:$H,'Budget Detail-Own 2015'!Z$2,'transaction details'!$D:$D,'Budget Detail-Own 2015'!$A19)</f>
        <v>0</v>
      </c>
      <c r="AA19" s="38">
        <f t="shared" si="11"/>
        <v>48</v>
      </c>
    </row>
    <row r="20" spans="1:27" x14ac:dyDescent="0.25">
      <c r="A20" t="s">
        <v>112</v>
      </c>
      <c r="B20" s="4">
        <f t="shared" si="0"/>
        <v>-43.7</v>
      </c>
      <c r="C20">
        <v>0</v>
      </c>
      <c r="D20" s="30">
        <f>-SUMIFS('transaction details'!$G:$G,'transaction details'!$H:$H,'Budget Detail-Own 2015'!D$2,'transaction details'!$D:$D,'Budget Detail-Own 2015'!$A20)</f>
        <v>0</v>
      </c>
      <c r="E20" s="38">
        <f t="shared" si="1"/>
        <v>0</v>
      </c>
      <c r="F20" s="44">
        <f>-SUMIFS('transaction details'!$G:$G,'transaction details'!$H:$H,'Budget Detail-Own 2015'!F$2,'transaction details'!$D:$D,'Budget Detail-Own 2015'!$A20)</f>
        <v>0</v>
      </c>
      <c r="G20" s="38">
        <f t="shared" si="1"/>
        <v>0</v>
      </c>
      <c r="H20" s="44">
        <f>-SUMIFS('transaction details'!$G:$G,'transaction details'!$H:$H,'Budget Detail-Own 2015'!H$2,'transaction details'!$D:$D,'Budget Detail-Own 2015'!$A20)</f>
        <v>0</v>
      </c>
      <c r="I20" s="38">
        <f t="shared" si="2"/>
        <v>0</v>
      </c>
      <c r="J20" s="44">
        <f>-SUMIFS('transaction details'!$G:$G,'transaction details'!$H:$H,'Budget Detail-Own 2015'!J$2,'transaction details'!$D:$D,'Budget Detail-Own 2015'!$A20)</f>
        <v>0</v>
      </c>
      <c r="K20" s="38">
        <f t="shared" si="3"/>
        <v>0</v>
      </c>
      <c r="L20" s="44">
        <f>-SUMIFS('transaction details'!$G:$G,'transaction details'!$H:$H,'Budget Detail-Own 2015'!L$2,'transaction details'!$D:$D,'Budget Detail-Own 2015'!$A20)</f>
        <v>0</v>
      </c>
      <c r="M20" s="38">
        <f t="shared" si="4"/>
        <v>0</v>
      </c>
      <c r="N20" s="44">
        <f>-SUMIFS('transaction details'!$G:$G,'transaction details'!$H:$H,'Budget Detail-Own 2015'!N$2,'transaction details'!$D:$D,'Budget Detail-Own 2015'!$A20)</f>
        <v>0</v>
      </c>
      <c r="O20" s="38">
        <f t="shared" si="5"/>
        <v>0</v>
      </c>
      <c r="P20" s="44">
        <f>-SUMIFS('transaction details'!$G:$G,'transaction details'!$H:$H,'Budget Detail-Own 2015'!P$2,'transaction details'!$D:$D,'Budget Detail-Own 2015'!$A20)</f>
        <v>0</v>
      </c>
      <c r="Q20" s="38">
        <f t="shared" si="6"/>
        <v>0</v>
      </c>
      <c r="R20" s="44">
        <f>-SUMIFS('transaction details'!$G:$G,'transaction details'!$H:$H,'Budget Detail-Own 2015'!R$2,'transaction details'!$D:$D,'Budget Detail-Own 2015'!$A20)</f>
        <v>0</v>
      </c>
      <c r="S20" s="38">
        <f t="shared" si="7"/>
        <v>0</v>
      </c>
      <c r="T20" s="44">
        <f>-SUMIFS('transaction details'!$G:$G,'transaction details'!$H:$H,'Budget Detail-Own 2015'!T$2,'transaction details'!$D:$D,'Budget Detail-Own 2015'!$A20)</f>
        <v>26</v>
      </c>
      <c r="U20" s="38">
        <f t="shared" si="8"/>
        <v>-26</v>
      </c>
      <c r="V20" s="44">
        <f>-SUMIFS('transaction details'!$G:$G,'transaction details'!$H:$H,'Budget Detail-Own 2015'!V$2,'transaction details'!$D:$D,'Budget Detail-Own 2015'!$A20)</f>
        <v>0</v>
      </c>
      <c r="W20" s="38">
        <f t="shared" si="9"/>
        <v>0</v>
      </c>
      <c r="X20" s="44">
        <f>-SUMIFS('transaction details'!$G:$G,'transaction details'!$H:$H,'Budget Detail-Own 2015'!X$2,'transaction details'!$D:$D,'Budget Detail-Own 2015'!$A20)</f>
        <v>0</v>
      </c>
      <c r="Y20" s="38">
        <f t="shared" si="10"/>
        <v>0</v>
      </c>
      <c r="Z20" s="44">
        <f>-SUMIFS('transaction details'!$G:$G,'transaction details'!$H:$H,'Budget Detail-Own 2015'!Z$2,'transaction details'!$D:$D,'Budget Detail-Own 2015'!$A20)</f>
        <v>17.7</v>
      </c>
      <c r="AA20" s="38">
        <f t="shared" si="11"/>
        <v>-17.7</v>
      </c>
    </row>
    <row r="21" spans="1:27" x14ac:dyDescent="0.25">
      <c r="A21" t="s">
        <v>34</v>
      </c>
      <c r="B21" s="4">
        <f t="shared" si="0"/>
        <v>-166.97000000000003</v>
      </c>
      <c r="C21">
        <v>0</v>
      </c>
      <c r="D21" s="30">
        <f>-SUMIFS('transaction details'!$G:$G,'transaction details'!$H:$H,'Budget Detail-Own 2015'!D$2,'transaction details'!$D:$D,'Budget Detail-Own 2015'!$A21)</f>
        <v>0</v>
      </c>
      <c r="E21" s="38">
        <f t="shared" si="1"/>
        <v>0</v>
      </c>
      <c r="F21" s="44">
        <f>-SUMIFS('transaction details'!$G:$G,'transaction details'!$H:$H,'Budget Detail-Own 2015'!F$2,'transaction details'!$D:$D,'Budget Detail-Own 2015'!$A21)</f>
        <v>0</v>
      </c>
      <c r="G21" s="38">
        <f t="shared" si="1"/>
        <v>0</v>
      </c>
      <c r="H21" s="44">
        <f>-SUMIFS('transaction details'!$G:$G,'transaction details'!$H:$H,'Budget Detail-Own 2015'!H$2,'transaction details'!$D:$D,'Budget Detail-Own 2015'!$A21)</f>
        <v>0</v>
      </c>
      <c r="I21" s="38">
        <f t="shared" si="2"/>
        <v>0</v>
      </c>
      <c r="J21" s="44">
        <f>-SUMIFS('transaction details'!$G:$G,'transaction details'!$H:$H,'Budget Detail-Own 2015'!J$2,'transaction details'!$D:$D,'Budget Detail-Own 2015'!$A21)</f>
        <v>0</v>
      </c>
      <c r="K21" s="38">
        <f t="shared" si="3"/>
        <v>0</v>
      </c>
      <c r="L21" s="44">
        <f>-SUMIFS('transaction details'!$G:$G,'transaction details'!$H:$H,'Budget Detail-Own 2015'!L$2,'transaction details'!$D:$D,'Budget Detail-Own 2015'!$A21)</f>
        <v>0</v>
      </c>
      <c r="M21" s="38">
        <f t="shared" si="4"/>
        <v>0</v>
      </c>
      <c r="N21" s="44">
        <f>-SUMIFS('transaction details'!$G:$G,'transaction details'!$H:$H,'Budget Detail-Own 2015'!N$2,'transaction details'!$D:$D,'Budget Detail-Own 2015'!$A21)</f>
        <v>0</v>
      </c>
      <c r="O21" s="38">
        <f t="shared" si="5"/>
        <v>0</v>
      </c>
      <c r="P21" s="44">
        <f>-SUMIFS('transaction details'!$G:$G,'transaction details'!$H:$H,'Budget Detail-Own 2015'!P$2,'transaction details'!$D:$D,'Budget Detail-Own 2015'!$A21)</f>
        <v>0</v>
      </c>
      <c r="Q21" s="38">
        <f t="shared" si="6"/>
        <v>0</v>
      </c>
      <c r="R21" s="44">
        <f>-SUMIFS('transaction details'!$G:$G,'transaction details'!$H:$H,'Budget Detail-Own 2015'!R$2,'transaction details'!$D:$D,'Budget Detail-Own 2015'!$A21)</f>
        <v>14.99</v>
      </c>
      <c r="S21" s="38">
        <f t="shared" si="7"/>
        <v>-14.99</v>
      </c>
      <c r="T21" s="44">
        <f>-SUMIFS('transaction details'!$G:$G,'transaction details'!$H:$H,'Budget Detail-Own 2015'!T$2,'transaction details'!$D:$D,'Budget Detail-Own 2015'!$A21)</f>
        <v>136.99</v>
      </c>
      <c r="U21" s="38">
        <f t="shared" si="8"/>
        <v>-136.99</v>
      </c>
      <c r="V21" s="44">
        <f>-SUMIFS('transaction details'!$G:$G,'transaction details'!$H:$H,'Budget Detail-Own 2015'!V$2,'transaction details'!$D:$D,'Budget Detail-Own 2015'!$A21)</f>
        <v>0</v>
      </c>
      <c r="W21" s="38">
        <f t="shared" si="9"/>
        <v>0</v>
      </c>
      <c r="X21" s="44">
        <f>-SUMIFS('transaction details'!$G:$G,'transaction details'!$H:$H,'Budget Detail-Own 2015'!X$2,'transaction details'!$D:$D,'Budget Detail-Own 2015'!$A21)</f>
        <v>0</v>
      </c>
      <c r="Y21" s="38">
        <f t="shared" si="10"/>
        <v>0</v>
      </c>
      <c r="Z21" s="44">
        <f>-SUMIFS('transaction details'!$G:$G,'transaction details'!$H:$H,'Budget Detail-Own 2015'!Z$2,'transaction details'!$D:$D,'Budget Detail-Own 2015'!$A21)</f>
        <v>14.99</v>
      </c>
      <c r="AA21" s="38">
        <f t="shared" si="11"/>
        <v>-14.99</v>
      </c>
    </row>
    <row r="22" spans="1:27" x14ac:dyDescent="0.25">
      <c r="A22" t="s">
        <v>179</v>
      </c>
      <c r="B22" s="4">
        <f t="shared" si="0"/>
        <v>12670.519999999997</v>
      </c>
      <c r="C22">
        <v>3116</v>
      </c>
      <c r="D22" s="30">
        <f>-SUMIFS('transaction details'!$G:$G,'transaction details'!$H:$H,'Budget Detail-Own 2015'!D$2,'transaction details'!$D:$D,'Budget Detail-Own 2015'!$A22)</f>
        <v>3329.45</v>
      </c>
      <c r="E22" s="38">
        <f t="shared" si="1"/>
        <v>-213.44999999999982</v>
      </c>
      <c r="F22" s="44">
        <f>-SUMIFS('transaction details'!$G:$G,'transaction details'!$H:$H,'Budget Detail-Own 2015'!F$2,'transaction details'!$D:$D,'Budget Detail-Own 2015'!$A22)</f>
        <v>0</v>
      </c>
      <c r="G22" s="38">
        <f t="shared" si="1"/>
        <v>3116</v>
      </c>
      <c r="H22" s="44">
        <f>-SUMIFS('transaction details'!$G:$G,'transaction details'!$H:$H,'Budget Detail-Own 2015'!H$2,'transaction details'!$D:$D,'Budget Detail-Own 2015'!$A22)</f>
        <v>0</v>
      </c>
      <c r="I22" s="38">
        <f t="shared" si="2"/>
        <v>3116</v>
      </c>
      <c r="J22" s="44">
        <f>-SUMIFS('transaction details'!$G:$G,'transaction details'!$H:$H,'Budget Detail-Own 2015'!J$2,'transaction details'!$D:$D,'Budget Detail-Own 2015'!$A22)</f>
        <v>-3542.1299999999997</v>
      </c>
      <c r="K22" s="38">
        <f t="shared" si="3"/>
        <v>6658.1299999999992</v>
      </c>
      <c r="L22" s="44">
        <f>-SUMIFS('transaction details'!$G:$G,'transaction details'!$H:$H,'Budget Detail-Own 2015'!L$2,'transaction details'!$D:$D,'Budget Detail-Own 2015'!$A22)</f>
        <v>3116.77</v>
      </c>
      <c r="M22" s="38">
        <f t="shared" si="4"/>
        <v>-0.76999999999998181</v>
      </c>
      <c r="N22" s="44">
        <f>-SUMIFS('transaction details'!$G:$G,'transaction details'!$H:$H,'Budget Detail-Own 2015'!N$2,'transaction details'!$D:$D,'Budget Detail-Own 2015'!$A22)</f>
        <v>3116.77</v>
      </c>
      <c r="O22" s="38">
        <f t="shared" si="5"/>
        <v>-0.76999999999998181</v>
      </c>
      <c r="P22" s="44">
        <f>-SUMIFS('transaction details'!$G:$G,'transaction details'!$H:$H,'Budget Detail-Own 2015'!P$2,'transaction details'!$D:$D,'Budget Detail-Own 2015'!$A22)</f>
        <v>3116.77</v>
      </c>
      <c r="Q22" s="38">
        <f t="shared" si="6"/>
        <v>-0.76999999999998181</v>
      </c>
      <c r="R22" s="44">
        <f>-SUMIFS('transaction details'!$G:$G,'transaction details'!$H:$H,'Budget Detail-Own 2015'!R$2,'transaction details'!$D:$D,'Budget Detail-Own 2015'!$A22)</f>
        <v>3116.77</v>
      </c>
      <c r="S22" s="38">
        <f t="shared" si="7"/>
        <v>-0.76999999999998181</v>
      </c>
      <c r="T22" s="44">
        <f>-SUMIFS('transaction details'!$G:$G,'transaction details'!$H:$H,'Budget Detail-Own 2015'!T$2,'transaction details'!$D:$D,'Budget Detail-Own 2015'!$A22)</f>
        <v>3116.77</v>
      </c>
      <c r="U22" s="38">
        <f t="shared" si="8"/>
        <v>-0.76999999999998181</v>
      </c>
      <c r="V22" s="44">
        <f>-SUMIFS('transaction details'!$G:$G,'transaction details'!$H:$H,'Budget Detail-Own 2015'!V$2,'transaction details'!$D:$D,'Budget Detail-Own 2015'!$A22)</f>
        <v>3116.77</v>
      </c>
      <c r="W22" s="38">
        <f t="shared" si="9"/>
        <v>-0.76999999999998181</v>
      </c>
      <c r="X22" s="44">
        <f>-SUMIFS('transaction details'!$G:$G,'transaction details'!$H:$H,'Budget Detail-Own 2015'!X$2,'transaction details'!$D:$D,'Budget Detail-Own 2015'!$A22)</f>
        <v>3116.77</v>
      </c>
      <c r="Y22" s="38">
        <f t="shared" si="10"/>
        <v>-0.76999999999998181</v>
      </c>
      <c r="Z22" s="44">
        <f>-SUMIFS('transaction details'!$G:$G,'transaction details'!$H:$H,'Budget Detail-Own 2015'!Z$2,'transaction details'!$D:$D,'Budget Detail-Own 2015'!$A22)</f>
        <v>3116.77</v>
      </c>
      <c r="AA22" s="38">
        <f t="shared" si="11"/>
        <v>-0.76999999999998181</v>
      </c>
    </row>
    <row r="23" spans="1:27" x14ac:dyDescent="0.25">
      <c r="A23" t="s">
        <v>167</v>
      </c>
      <c r="B23" s="4">
        <f t="shared" si="0"/>
        <v>-62.530000000000008</v>
      </c>
      <c r="C23">
        <v>0</v>
      </c>
      <c r="D23" s="30">
        <f>-SUMIFS('transaction details'!$G:$G,'transaction details'!$H:$H,'Budget Detail-Own 2015'!D$2,'transaction details'!$D:$D,'Budget Detail-Own 2015'!$A23)</f>
        <v>0</v>
      </c>
      <c r="E23" s="38">
        <f t="shared" si="1"/>
        <v>0</v>
      </c>
      <c r="F23" s="44">
        <f>-SUMIFS('transaction details'!$G:$G,'transaction details'!$H:$H,'Budget Detail-Own 2015'!F$2,'transaction details'!$D:$D,'Budget Detail-Own 2015'!$A23)</f>
        <v>0</v>
      </c>
      <c r="G23" s="38">
        <f t="shared" si="1"/>
        <v>0</v>
      </c>
      <c r="H23" s="44">
        <f>-SUMIFS('transaction details'!$G:$G,'transaction details'!$H:$H,'Budget Detail-Own 2015'!H$2,'transaction details'!$D:$D,'Budget Detail-Own 2015'!$A23)</f>
        <v>3.99</v>
      </c>
      <c r="I23" s="38">
        <f t="shared" si="2"/>
        <v>-3.99</v>
      </c>
      <c r="J23" s="44">
        <f>-SUMIFS('transaction details'!$G:$G,'transaction details'!$H:$H,'Budget Detail-Own 2015'!J$2,'transaction details'!$D:$D,'Budget Detail-Own 2015'!$A23)</f>
        <v>34.58</v>
      </c>
      <c r="K23" s="38">
        <f t="shared" si="3"/>
        <v>-34.58</v>
      </c>
      <c r="L23" s="44">
        <f>-SUMIFS('transaction details'!$G:$G,'transaction details'!$H:$H,'Budget Detail-Own 2015'!L$2,'transaction details'!$D:$D,'Budget Detail-Own 2015'!$A23)</f>
        <v>0</v>
      </c>
      <c r="M23" s="38">
        <f t="shared" si="4"/>
        <v>0</v>
      </c>
      <c r="N23" s="44">
        <f>-SUMIFS('transaction details'!$G:$G,'transaction details'!$H:$H,'Budget Detail-Own 2015'!N$2,'transaction details'!$D:$D,'Budget Detail-Own 2015'!$A23)</f>
        <v>0</v>
      </c>
      <c r="O23" s="38">
        <f t="shared" si="5"/>
        <v>0</v>
      </c>
      <c r="P23" s="44">
        <f>-SUMIFS('transaction details'!$G:$G,'transaction details'!$H:$H,'Budget Detail-Own 2015'!P$2,'transaction details'!$D:$D,'Budget Detail-Own 2015'!$A23)</f>
        <v>2.99</v>
      </c>
      <c r="Q23" s="38">
        <f t="shared" si="6"/>
        <v>-2.99</v>
      </c>
      <c r="R23" s="44">
        <f>-SUMIFS('transaction details'!$G:$G,'transaction details'!$H:$H,'Budget Detail-Own 2015'!R$2,'transaction details'!$D:$D,'Budget Detail-Own 2015'!$A23)</f>
        <v>4.99</v>
      </c>
      <c r="S23" s="38">
        <f t="shared" si="7"/>
        <v>-4.99</v>
      </c>
      <c r="T23" s="44">
        <f>-SUMIFS('transaction details'!$G:$G,'transaction details'!$H:$H,'Budget Detail-Own 2015'!T$2,'transaction details'!$D:$D,'Budget Detail-Own 2015'!$A23)</f>
        <v>0</v>
      </c>
      <c r="U23" s="38">
        <f t="shared" si="8"/>
        <v>0</v>
      </c>
      <c r="V23" s="44">
        <f>-SUMIFS('transaction details'!$G:$G,'transaction details'!$H:$H,'Budget Detail-Own 2015'!V$2,'transaction details'!$D:$D,'Budget Detail-Own 2015'!$A23)</f>
        <v>0</v>
      </c>
      <c r="W23" s="38">
        <f t="shared" si="9"/>
        <v>0</v>
      </c>
      <c r="X23" s="44">
        <f>-SUMIFS('transaction details'!$G:$G,'transaction details'!$H:$H,'Budget Detail-Own 2015'!X$2,'transaction details'!$D:$D,'Budget Detail-Own 2015'!$A23)</f>
        <v>7.99</v>
      </c>
      <c r="Y23" s="38">
        <f t="shared" si="10"/>
        <v>-7.99</v>
      </c>
      <c r="Z23" s="44">
        <f>-SUMIFS('transaction details'!$G:$G,'transaction details'!$H:$H,'Budget Detail-Own 2015'!Z$2,'transaction details'!$D:$D,'Budget Detail-Own 2015'!$A23)</f>
        <v>7.99</v>
      </c>
      <c r="AA23" s="38">
        <f t="shared" si="11"/>
        <v>-7.99</v>
      </c>
    </row>
    <row r="24" spans="1:27" x14ac:dyDescent="0.25">
      <c r="A24" t="s">
        <v>35</v>
      </c>
      <c r="B24" s="4">
        <f t="shared" si="0"/>
        <v>18.729999999999997</v>
      </c>
      <c r="C24">
        <v>15</v>
      </c>
      <c r="D24" s="30">
        <f>-SUMIFS('transaction details'!$G:$G,'transaction details'!$H:$H,'Budget Detail-Own 2015'!D$2,'transaction details'!$D:$D,'Budget Detail-Own 2015'!$A24)</f>
        <v>14.99</v>
      </c>
      <c r="E24" s="38">
        <f t="shared" si="1"/>
        <v>9.9999999999997868E-3</v>
      </c>
      <c r="F24" s="44">
        <f>-SUMIFS('transaction details'!$G:$G,'transaction details'!$H:$H,'Budget Detail-Own 2015'!F$2,'transaction details'!$D:$D,'Budget Detail-Own 2015'!$A24)</f>
        <v>14.99</v>
      </c>
      <c r="G24" s="38">
        <f t="shared" si="1"/>
        <v>9.9999999999997868E-3</v>
      </c>
      <c r="H24" s="44">
        <f>-SUMIFS('transaction details'!$G:$G,'transaction details'!$H:$H,'Budget Detail-Own 2015'!H$2,'transaction details'!$D:$D,'Budget Detail-Own 2015'!$A24)</f>
        <v>14.99</v>
      </c>
      <c r="I24" s="38">
        <f t="shared" si="2"/>
        <v>9.9999999999997868E-3</v>
      </c>
      <c r="J24" s="44">
        <f>-SUMIFS('transaction details'!$G:$G,'transaction details'!$H:$H,'Budget Detail-Own 2015'!J$2,'transaction details'!$D:$D,'Budget Detail-Own 2015'!$A24)</f>
        <v>14.99</v>
      </c>
      <c r="K24" s="38">
        <f t="shared" si="3"/>
        <v>9.9999999999997868E-3</v>
      </c>
      <c r="L24" s="44">
        <f>-SUMIFS('transaction details'!$G:$G,'transaction details'!$H:$H,'Budget Detail-Own 2015'!L$2,'transaction details'!$D:$D,'Budget Detail-Own 2015'!$A24)</f>
        <v>14.99</v>
      </c>
      <c r="M24" s="38">
        <f t="shared" si="4"/>
        <v>9.9999999999997868E-3</v>
      </c>
      <c r="N24" s="44">
        <f>-SUMIFS('transaction details'!$G:$G,'transaction details'!$H:$H,'Budget Detail-Own 2015'!N$2,'transaction details'!$D:$D,'Budget Detail-Own 2015'!$A24)</f>
        <v>14.99</v>
      </c>
      <c r="O24" s="38">
        <f t="shared" si="5"/>
        <v>9.9999999999997868E-3</v>
      </c>
      <c r="P24" s="44">
        <f>-SUMIFS('transaction details'!$G:$G,'transaction details'!$H:$H,'Budget Detail-Own 2015'!P$2,'transaction details'!$D:$D,'Budget Detail-Own 2015'!$A24)</f>
        <v>14.99</v>
      </c>
      <c r="Q24" s="38">
        <f t="shared" si="6"/>
        <v>9.9999999999997868E-3</v>
      </c>
      <c r="R24" s="44">
        <f>-SUMIFS('transaction details'!$G:$G,'transaction details'!$H:$H,'Budget Detail-Own 2015'!R$2,'transaction details'!$D:$D,'Budget Detail-Own 2015'!$A24)</f>
        <v>11.37</v>
      </c>
      <c r="S24" s="38">
        <f t="shared" si="7"/>
        <v>3.6300000000000008</v>
      </c>
      <c r="T24" s="44">
        <f>-SUMIFS('transaction details'!$G:$G,'transaction details'!$H:$H,'Budget Detail-Own 2015'!T$2,'transaction details'!$D:$D,'Budget Detail-Own 2015'!$A24)</f>
        <v>14.99</v>
      </c>
      <c r="U24" s="38">
        <f t="shared" si="8"/>
        <v>9.9999999999997868E-3</v>
      </c>
      <c r="V24" s="44">
        <f>-SUMIFS('transaction details'!$G:$G,'transaction details'!$H:$H,'Budget Detail-Own 2015'!V$2,'transaction details'!$D:$D,'Budget Detail-Own 2015'!$A24)</f>
        <v>14.99</v>
      </c>
      <c r="W24" s="38">
        <f t="shared" si="9"/>
        <v>9.9999999999997868E-3</v>
      </c>
      <c r="X24" s="44">
        <f>-SUMIFS('transaction details'!$G:$G,'transaction details'!$H:$H,'Budget Detail-Own 2015'!X$2,'transaction details'!$D:$D,'Budget Detail-Own 2015'!$A24)</f>
        <v>14.99</v>
      </c>
      <c r="Y24" s="38">
        <f t="shared" si="10"/>
        <v>9.9999999999997868E-3</v>
      </c>
      <c r="Z24" s="44">
        <f>-SUMIFS('transaction details'!$G:$G,'transaction details'!$H:$H,'Budget Detail-Own 2015'!Z$2,'transaction details'!$D:$D,'Budget Detail-Own 2015'!$A24)</f>
        <v>0</v>
      </c>
      <c r="AA24" s="38">
        <f t="shared" si="11"/>
        <v>15</v>
      </c>
    </row>
    <row r="25" spans="1:27" x14ac:dyDescent="0.25">
      <c r="A25" t="s">
        <v>61</v>
      </c>
      <c r="B25" s="4">
        <f t="shared" si="0"/>
        <v>-2036.2600000000011</v>
      </c>
      <c r="C25" s="38">
        <f>Goals!P15</f>
        <v>500</v>
      </c>
      <c r="D25" s="30">
        <f>-SUMIFS('transaction details'!$G:$G,'transaction details'!$H:$H,'Budget Detail-Own 2015'!D$2,'transaction details'!$D:$D,'Budget Detail-Own 2015'!$A25)</f>
        <v>-770.65000000000009</v>
      </c>
      <c r="E25" s="38">
        <f t="shared" si="1"/>
        <v>1270.6500000000001</v>
      </c>
      <c r="F25" s="44">
        <f>-SUMIFS('transaction details'!$G:$G,'transaction details'!$H:$H,'Budget Detail-Own 2015'!F$2,'transaction details'!$D:$D,'Budget Detail-Own 2015'!$A25)</f>
        <v>0</v>
      </c>
      <c r="G25" s="38">
        <f t="shared" si="1"/>
        <v>500</v>
      </c>
      <c r="H25" s="44">
        <f>-SUMIFS('transaction details'!$G:$G,'transaction details'!$H:$H,'Budget Detail-Own 2015'!H$2,'transaction details'!$D:$D,'Budget Detail-Own 2015'!$A25)</f>
        <v>0</v>
      </c>
      <c r="I25" s="38">
        <f t="shared" si="2"/>
        <v>500</v>
      </c>
      <c r="J25" s="44">
        <f>-SUMIFS('transaction details'!$G:$G,'transaction details'!$H:$H,'Budget Detail-Own 2015'!J$2,'transaction details'!$D:$D,'Budget Detail-Own 2015'!$A25)</f>
        <v>0</v>
      </c>
      <c r="K25" s="38">
        <f t="shared" si="3"/>
        <v>500</v>
      </c>
      <c r="L25" s="44">
        <f>-SUMIFS('transaction details'!$G:$G,'transaction details'!$H:$H,'Budget Detail-Own 2015'!L$2,'transaction details'!$D:$D,'Budget Detail-Own 2015'!$A25)</f>
        <v>647.37</v>
      </c>
      <c r="M25" s="38">
        <f t="shared" si="4"/>
        <v>-147.37</v>
      </c>
      <c r="N25" s="44">
        <f>-SUMIFS('transaction details'!$G:$G,'transaction details'!$H:$H,'Budget Detail-Own 2015'!N$2,'transaction details'!$D:$D,'Budget Detail-Own 2015'!$A25)</f>
        <v>0</v>
      </c>
      <c r="O25" s="38">
        <f t="shared" si="5"/>
        <v>500</v>
      </c>
      <c r="P25" s="44">
        <f>-SUMIFS('transaction details'!$G:$G,'transaction details'!$H:$H,'Budget Detail-Own 2015'!P$2,'transaction details'!$D:$D,'Budget Detail-Own 2015'!$A25)</f>
        <v>5387.2700000000013</v>
      </c>
      <c r="Q25" s="38">
        <f t="shared" si="6"/>
        <v>-4887.2700000000013</v>
      </c>
      <c r="R25" s="44">
        <f>-SUMIFS('transaction details'!$G:$G,'transaction details'!$H:$H,'Budget Detail-Own 2015'!R$2,'transaction details'!$D:$D,'Budget Detail-Own 2015'!$A25)</f>
        <v>778.51</v>
      </c>
      <c r="S25" s="38">
        <f t="shared" si="7"/>
        <v>-278.51</v>
      </c>
      <c r="T25" s="44">
        <f>-SUMIFS('transaction details'!$G:$G,'transaction details'!$H:$H,'Budget Detail-Own 2015'!T$2,'transaction details'!$D:$D,'Budget Detail-Own 2015'!$A25)</f>
        <v>1120.26</v>
      </c>
      <c r="U25" s="38">
        <f t="shared" si="8"/>
        <v>-620.26</v>
      </c>
      <c r="V25" s="44">
        <f>-SUMIFS('transaction details'!$G:$G,'transaction details'!$H:$H,'Budget Detail-Own 2015'!V$2,'transaction details'!$D:$D,'Budget Detail-Own 2015'!$A25)</f>
        <v>415.09999999999997</v>
      </c>
      <c r="W25" s="38">
        <f t="shared" si="9"/>
        <v>84.900000000000034</v>
      </c>
      <c r="X25" s="44">
        <f>-SUMIFS('transaction details'!$G:$G,'transaction details'!$H:$H,'Budget Detail-Own 2015'!X$2,'transaction details'!$D:$D,'Budget Detail-Own 2015'!$A25)</f>
        <v>458.4</v>
      </c>
      <c r="Y25" s="38">
        <f t="shared" si="10"/>
        <v>41.600000000000023</v>
      </c>
      <c r="Z25" s="44">
        <f>-SUMIFS('transaction details'!$G:$G,'transaction details'!$H:$H,'Budget Detail-Own 2015'!Z$2,'transaction details'!$D:$D,'Budget Detail-Own 2015'!$A25)</f>
        <v>0</v>
      </c>
      <c r="AA25" s="38">
        <f t="shared" si="11"/>
        <v>500</v>
      </c>
    </row>
    <row r="26" spans="1:27" x14ac:dyDescent="0.25">
      <c r="A26" t="s">
        <v>90</v>
      </c>
      <c r="B26" s="4">
        <f t="shared" si="0"/>
        <v>2095.1499999999996</v>
      </c>
      <c r="C26">
        <v>200</v>
      </c>
      <c r="D26" s="30">
        <f>-SUMIFS('transaction details'!$G:$G,'transaction details'!$H:$H,'Budget Detail-Own 2015'!D$2,'transaction details'!$D:$D,'Budget Detail-Own 2015'!$A26)</f>
        <v>0</v>
      </c>
      <c r="E26" s="38">
        <f t="shared" si="1"/>
        <v>200</v>
      </c>
      <c r="F26" s="44">
        <f>-SUMIFS('transaction details'!$G:$G,'transaction details'!$H:$H,'Budget Detail-Own 2015'!F$2,'transaction details'!$D:$D,'Budget Detail-Own 2015'!$A26)</f>
        <v>92</v>
      </c>
      <c r="G26" s="38">
        <f t="shared" si="1"/>
        <v>108</v>
      </c>
      <c r="H26" s="44">
        <f>-SUMIFS('transaction details'!$G:$G,'transaction details'!$H:$H,'Budget Detail-Own 2015'!H$2,'transaction details'!$D:$D,'Budget Detail-Own 2015'!$A26)</f>
        <v>80</v>
      </c>
      <c r="I26" s="38">
        <f t="shared" si="2"/>
        <v>120</v>
      </c>
      <c r="J26" s="44">
        <f>-SUMIFS('transaction details'!$G:$G,'transaction details'!$H:$H,'Budget Detail-Own 2015'!J$2,'transaction details'!$D:$D,'Budget Detail-Own 2015'!$A26)</f>
        <v>0</v>
      </c>
      <c r="K26" s="38">
        <f t="shared" si="3"/>
        <v>200</v>
      </c>
      <c r="L26" s="44">
        <f>-SUMIFS('transaction details'!$G:$G,'transaction details'!$H:$H,'Budget Detail-Own 2015'!L$2,'transaction details'!$D:$D,'Budget Detail-Own 2015'!$A26)</f>
        <v>0</v>
      </c>
      <c r="M26" s="38">
        <f t="shared" si="4"/>
        <v>200</v>
      </c>
      <c r="N26" s="44">
        <f>-SUMIFS('transaction details'!$G:$G,'transaction details'!$H:$H,'Budget Detail-Own 2015'!N$2,'transaction details'!$D:$D,'Budget Detail-Own 2015'!$A26)</f>
        <v>0</v>
      </c>
      <c r="O26" s="38">
        <f t="shared" si="5"/>
        <v>200</v>
      </c>
      <c r="P26" s="44">
        <f>-SUMIFS('transaction details'!$G:$G,'transaction details'!$H:$H,'Budget Detail-Own 2015'!P$2,'transaction details'!$D:$D,'Budget Detail-Own 2015'!$A26)</f>
        <v>2</v>
      </c>
      <c r="Q26" s="38">
        <f t="shared" si="6"/>
        <v>198</v>
      </c>
      <c r="R26" s="44">
        <f>-SUMIFS('transaction details'!$G:$G,'transaction details'!$H:$H,'Budget Detail-Own 2015'!R$2,'transaction details'!$D:$D,'Budget Detail-Own 2015'!$A26)</f>
        <v>0</v>
      </c>
      <c r="S26" s="38">
        <f t="shared" si="7"/>
        <v>200</v>
      </c>
      <c r="T26" s="44">
        <f>-SUMIFS('transaction details'!$G:$G,'transaction details'!$H:$H,'Budget Detail-Own 2015'!T$2,'transaction details'!$D:$D,'Budget Detail-Own 2015'!$A26)</f>
        <v>10</v>
      </c>
      <c r="U26" s="38">
        <f t="shared" si="8"/>
        <v>190</v>
      </c>
      <c r="V26" s="44">
        <f>-SUMIFS('transaction details'!$G:$G,'transaction details'!$H:$H,'Budget Detail-Own 2015'!V$2,'transaction details'!$D:$D,'Budget Detail-Own 2015'!$A26)</f>
        <v>19.649999999999999</v>
      </c>
      <c r="W26" s="38">
        <f t="shared" si="9"/>
        <v>180.35</v>
      </c>
      <c r="X26" s="44">
        <f>-SUMIFS('transaction details'!$G:$G,'transaction details'!$H:$H,'Budget Detail-Own 2015'!X$2,'transaction details'!$D:$D,'Budget Detail-Own 2015'!$A26)</f>
        <v>61.2</v>
      </c>
      <c r="Y26" s="38">
        <f t="shared" si="10"/>
        <v>138.80000000000001</v>
      </c>
      <c r="Z26" s="44">
        <f>-SUMIFS('transaction details'!$G:$G,'transaction details'!$H:$H,'Budget Detail-Own 2015'!Z$2,'transaction details'!$D:$D,'Budget Detail-Own 2015'!$A26)</f>
        <v>40</v>
      </c>
      <c r="AA26" s="38">
        <f t="shared" si="11"/>
        <v>160</v>
      </c>
    </row>
    <row r="27" spans="1:27" x14ac:dyDescent="0.25">
      <c r="A27" t="s">
        <v>36</v>
      </c>
      <c r="B27" s="4">
        <f t="shared" si="0"/>
        <v>240</v>
      </c>
      <c r="C27">
        <v>20</v>
      </c>
      <c r="D27" s="30">
        <f>-SUMIFS('transaction details'!$G:$G,'transaction details'!$H:$H,'Budget Detail-Own 2015'!D$2,'transaction details'!$D:$D,'Budget Detail-Own 2015'!$A27)</f>
        <v>0</v>
      </c>
      <c r="E27" s="38">
        <f t="shared" si="1"/>
        <v>20</v>
      </c>
      <c r="F27" s="44">
        <f>-SUMIFS('transaction details'!$G:$G,'transaction details'!$H:$H,'Budget Detail-Own 2015'!F$2,'transaction details'!$D:$D,'Budget Detail-Own 2015'!$A27)</f>
        <v>0</v>
      </c>
      <c r="G27" s="38">
        <f t="shared" si="1"/>
        <v>20</v>
      </c>
      <c r="H27" s="44">
        <f>-SUMIFS('transaction details'!$G:$G,'transaction details'!$H:$H,'Budget Detail-Own 2015'!H$2,'transaction details'!$D:$D,'Budget Detail-Own 2015'!$A27)</f>
        <v>0</v>
      </c>
      <c r="I27" s="38">
        <f t="shared" si="2"/>
        <v>20</v>
      </c>
      <c r="J27" s="44">
        <f>-SUMIFS('transaction details'!$G:$G,'transaction details'!$H:$H,'Budget Detail-Own 2015'!J$2,'transaction details'!$D:$D,'Budget Detail-Own 2015'!$A27)</f>
        <v>0</v>
      </c>
      <c r="K27" s="38">
        <f t="shared" si="3"/>
        <v>20</v>
      </c>
      <c r="L27" s="44">
        <f>-SUMIFS('transaction details'!$G:$G,'transaction details'!$H:$H,'Budget Detail-Own 2015'!L$2,'transaction details'!$D:$D,'Budget Detail-Own 2015'!$A27)</f>
        <v>0</v>
      </c>
      <c r="M27" s="38">
        <f t="shared" si="4"/>
        <v>20</v>
      </c>
      <c r="N27" s="44">
        <f>-SUMIFS('transaction details'!$G:$G,'transaction details'!$H:$H,'Budget Detail-Own 2015'!N$2,'transaction details'!$D:$D,'Budget Detail-Own 2015'!$A27)</f>
        <v>0</v>
      </c>
      <c r="O27" s="38">
        <f t="shared" si="5"/>
        <v>20</v>
      </c>
      <c r="P27" s="44">
        <f>-SUMIFS('transaction details'!$G:$G,'transaction details'!$H:$H,'Budget Detail-Own 2015'!P$2,'transaction details'!$D:$D,'Budget Detail-Own 2015'!$A27)</f>
        <v>0</v>
      </c>
      <c r="Q27" s="38">
        <f t="shared" si="6"/>
        <v>20</v>
      </c>
      <c r="R27" s="44">
        <f>-SUMIFS('transaction details'!$G:$G,'transaction details'!$H:$H,'Budget Detail-Own 2015'!R$2,'transaction details'!$D:$D,'Budget Detail-Own 2015'!$A27)</f>
        <v>0</v>
      </c>
      <c r="S27" s="38">
        <f t="shared" si="7"/>
        <v>20</v>
      </c>
      <c r="T27" s="44">
        <f>-SUMIFS('transaction details'!$G:$G,'transaction details'!$H:$H,'Budget Detail-Own 2015'!T$2,'transaction details'!$D:$D,'Budget Detail-Own 2015'!$A27)</f>
        <v>0</v>
      </c>
      <c r="U27" s="38">
        <f t="shared" si="8"/>
        <v>20</v>
      </c>
      <c r="V27" s="44">
        <f>-SUMIFS('transaction details'!$G:$G,'transaction details'!$H:$H,'Budget Detail-Own 2015'!V$2,'transaction details'!$D:$D,'Budget Detail-Own 2015'!$A27)</f>
        <v>0</v>
      </c>
      <c r="W27" s="38">
        <f t="shared" si="9"/>
        <v>20</v>
      </c>
      <c r="X27" s="44">
        <f>-SUMIFS('transaction details'!$G:$G,'transaction details'!$H:$H,'Budget Detail-Own 2015'!X$2,'transaction details'!$D:$D,'Budget Detail-Own 2015'!$A27)</f>
        <v>0</v>
      </c>
      <c r="Y27" s="38">
        <f t="shared" si="10"/>
        <v>20</v>
      </c>
      <c r="Z27" s="44">
        <f>-SUMIFS('transaction details'!$G:$G,'transaction details'!$H:$H,'Budget Detail-Own 2015'!Z$2,'transaction details'!$D:$D,'Budget Detail-Own 2015'!$A27)</f>
        <v>0</v>
      </c>
      <c r="AA27" s="38">
        <f t="shared" si="11"/>
        <v>20</v>
      </c>
    </row>
    <row r="28" spans="1:27" x14ac:dyDescent="0.25">
      <c r="A28" t="s">
        <v>41</v>
      </c>
      <c r="B28" s="4">
        <f t="shared" si="0"/>
        <v>200</v>
      </c>
      <c r="C28">
        <v>20</v>
      </c>
      <c r="D28" s="30">
        <f>-SUMIFS('transaction details'!$G:$G,'transaction details'!$H:$H,'Budget Detail-Own 2015'!D$2,'transaction details'!$D:$D,'Budget Detail-Own 2015'!$A28)</f>
        <v>0</v>
      </c>
      <c r="E28" s="38">
        <f t="shared" si="1"/>
        <v>20</v>
      </c>
      <c r="F28" s="44">
        <f>-SUMIFS('transaction details'!$G:$G,'transaction details'!$H:$H,'Budget Detail-Own 2015'!F$2,'transaction details'!$D:$D,'Budget Detail-Own 2015'!$A28)</f>
        <v>0</v>
      </c>
      <c r="G28" s="38">
        <f t="shared" si="1"/>
        <v>20</v>
      </c>
      <c r="H28" s="44">
        <f>-SUMIFS('transaction details'!$G:$G,'transaction details'!$H:$H,'Budget Detail-Own 2015'!H$2,'transaction details'!$D:$D,'Budget Detail-Own 2015'!$A28)</f>
        <v>0</v>
      </c>
      <c r="I28" s="38">
        <f t="shared" si="2"/>
        <v>20</v>
      </c>
      <c r="J28" s="44">
        <f>-SUMIFS('transaction details'!$G:$G,'transaction details'!$H:$H,'Budget Detail-Own 2015'!J$2,'transaction details'!$D:$D,'Budget Detail-Own 2015'!$A28)</f>
        <v>0</v>
      </c>
      <c r="K28" s="38">
        <f t="shared" si="3"/>
        <v>20</v>
      </c>
      <c r="L28" s="44">
        <f>-SUMIFS('transaction details'!$G:$G,'transaction details'!$H:$H,'Budget Detail-Own 2015'!L$2,'transaction details'!$D:$D,'Budget Detail-Own 2015'!$A28)</f>
        <v>0</v>
      </c>
      <c r="M28" s="38">
        <f t="shared" si="4"/>
        <v>20</v>
      </c>
      <c r="N28" s="44">
        <f>-SUMIFS('transaction details'!$G:$G,'transaction details'!$H:$H,'Budget Detail-Own 2015'!N$2,'transaction details'!$D:$D,'Budget Detail-Own 2015'!$A28)</f>
        <v>0</v>
      </c>
      <c r="O28" s="38">
        <f t="shared" si="5"/>
        <v>20</v>
      </c>
      <c r="P28" s="44">
        <f>-SUMIFS('transaction details'!$G:$G,'transaction details'!$H:$H,'Budget Detail-Own 2015'!P$2,'transaction details'!$D:$D,'Budget Detail-Own 2015'!$A28)</f>
        <v>0</v>
      </c>
      <c r="Q28" s="38">
        <f t="shared" si="6"/>
        <v>20</v>
      </c>
      <c r="R28" s="44">
        <f>-SUMIFS('transaction details'!$G:$G,'transaction details'!$H:$H,'Budget Detail-Own 2015'!R$2,'transaction details'!$D:$D,'Budget Detail-Own 2015'!$A28)</f>
        <v>0</v>
      </c>
      <c r="S28" s="38">
        <f t="shared" si="7"/>
        <v>20</v>
      </c>
      <c r="T28" s="44">
        <f>-SUMIFS('transaction details'!$G:$G,'transaction details'!$H:$H,'Budget Detail-Own 2015'!T$2,'transaction details'!$D:$D,'Budget Detail-Own 2015'!$A28)</f>
        <v>40</v>
      </c>
      <c r="U28" s="38">
        <f t="shared" si="8"/>
        <v>-20</v>
      </c>
      <c r="V28" s="44">
        <f>-SUMIFS('transaction details'!$G:$G,'transaction details'!$H:$H,'Budget Detail-Own 2015'!V$2,'transaction details'!$D:$D,'Budget Detail-Own 2015'!$A28)</f>
        <v>0</v>
      </c>
      <c r="W28" s="38">
        <f t="shared" si="9"/>
        <v>20</v>
      </c>
      <c r="X28" s="44">
        <f>-SUMIFS('transaction details'!$G:$G,'transaction details'!$H:$H,'Budget Detail-Own 2015'!X$2,'transaction details'!$D:$D,'Budget Detail-Own 2015'!$A28)</f>
        <v>0</v>
      </c>
      <c r="Y28" s="38">
        <f t="shared" si="10"/>
        <v>20</v>
      </c>
      <c r="Z28" s="44">
        <f>-SUMIFS('transaction details'!$G:$G,'transaction details'!$H:$H,'Budget Detail-Own 2015'!Z$2,'transaction details'!$D:$D,'Budget Detail-Own 2015'!$A28)</f>
        <v>0</v>
      </c>
      <c r="AA28" s="38">
        <f t="shared" si="11"/>
        <v>20</v>
      </c>
    </row>
    <row r="29" spans="1:27" x14ac:dyDescent="0.25">
      <c r="A29" t="s">
        <v>92</v>
      </c>
      <c r="B29" s="4">
        <f t="shared" si="0"/>
        <v>219.19</v>
      </c>
      <c r="C29">
        <v>20</v>
      </c>
      <c r="D29" s="30">
        <f>-SUMIFS('transaction details'!$G:$G,'transaction details'!$H:$H,'Budget Detail-Own 2015'!D$2,'transaction details'!$D:$D,'Budget Detail-Own 2015'!$A29)</f>
        <v>0</v>
      </c>
      <c r="E29" s="38">
        <f t="shared" si="1"/>
        <v>20</v>
      </c>
      <c r="F29" s="44">
        <f>-SUMIFS('transaction details'!$G:$G,'transaction details'!$H:$H,'Budget Detail-Own 2015'!F$2,'transaction details'!$D:$D,'Budget Detail-Own 2015'!$A29)</f>
        <v>0</v>
      </c>
      <c r="G29" s="38">
        <f t="shared" si="1"/>
        <v>20</v>
      </c>
      <c r="H29" s="44">
        <f>-SUMIFS('transaction details'!$G:$G,'transaction details'!$H:$H,'Budget Detail-Own 2015'!H$2,'transaction details'!$D:$D,'Budget Detail-Own 2015'!$A29)</f>
        <v>0</v>
      </c>
      <c r="I29" s="38">
        <f t="shared" si="2"/>
        <v>20</v>
      </c>
      <c r="J29" s="44">
        <f>-SUMIFS('transaction details'!$G:$G,'transaction details'!$H:$H,'Budget Detail-Own 2015'!J$2,'transaction details'!$D:$D,'Budget Detail-Own 2015'!$A29)</f>
        <v>0</v>
      </c>
      <c r="K29" s="38">
        <f t="shared" si="3"/>
        <v>20</v>
      </c>
      <c r="L29" s="44">
        <f>-SUMIFS('transaction details'!$G:$G,'transaction details'!$H:$H,'Budget Detail-Own 2015'!L$2,'transaction details'!$D:$D,'Budget Detail-Own 2015'!$A29)</f>
        <v>0</v>
      </c>
      <c r="M29" s="38">
        <f t="shared" si="4"/>
        <v>20</v>
      </c>
      <c r="N29" s="44">
        <f>-SUMIFS('transaction details'!$G:$G,'transaction details'!$H:$H,'Budget Detail-Own 2015'!N$2,'transaction details'!$D:$D,'Budget Detail-Own 2015'!$A29)</f>
        <v>0</v>
      </c>
      <c r="O29" s="38">
        <f t="shared" si="5"/>
        <v>20</v>
      </c>
      <c r="P29" s="44">
        <f>-SUMIFS('transaction details'!$G:$G,'transaction details'!$H:$H,'Budget Detail-Own 2015'!P$2,'transaction details'!$D:$D,'Budget Detail-Own 2015'!$A29)</f>
        <v>20.81</v>
      </c>
      <c r="Q29" s="38">
        <f t="shared" si="6"/>
        <v>-0.80999999999999872</v>
      </c>
      <c r="R29" s="44">
        <f>-SUMIFS('transaction details'!$G:$G,'transaction details'!$H:$H,'Budget Detail-Own 2015'!R$2,'transaction details'!$D:$D,'Budget Detail-Own 2015'!$A29)</f>
        <v>0</v>
      </c>
      <c r="S29" s="38">
        <f t="shared" si="7"/>
        <v>20</v>
      </c>
      <c r="T29" s="44">
        <f>-SUMIFS('transaction details'!$G:$G,'transaction details'!$H:$H,'Budget Detail-Own 2015'!T$2,'transaction details'!$D:$D,'Budget Detail-Own 2015'!$A29)</f>
        <v>0</v>
      </c>
      <c r="U29" s="38">
        <f t="shared" si="8"/>
        <v>20</v>
      </c>
      <c r="V29" s="44">
        <f>-SUMIFS('transaction details'!$G:$G,'transaction details'!$H:$H,'Budget Detail-Own 2015'!V$2,'transaction details'!$D:$D,'Budget Detail-Own 2015'!$A29)</f>
        <v>0</v>
      </c>
      <c r="W29" s="38">
        <f t="shared" si="9"/>
        <v>20</v>
      </c>
      <c r="X29" s="44">
        <f>-SUMIFS('transaction details'!$G:$G,'transaction details'!$H:$H,'Budget Detail-Own 2015'!X$2,'transaction details'!$D:$D,'Budget Detail-Own 2015'!$A29)</f>
        <v>0</v>
      </c>
      <c r="Y29" s="38">
        <f t="shared" si="10"/>
        <v>20</v>
      </c>
      <c r="Z29" s="44">
        <f>-SUMIFS('transaction details'!$G:$G,'transaction details'!$H:$H,'Budget Detail-Own 2015'!Z$2,'transaction details'!$D:$D,'Budget Detail-Own 2015'!$A29)</f>
        <v>0</v>
      </c>
      <c r="AA29" s="38">
        <f t="shared" si="11"/>
        <v>20</v>
      </c>
    </row>
    <row r="30" spans="1:27" x14ac:dyDescent="0.25">
      <c r="A30" t="s">
        <v>14</v>
      </c>
      <c r="B30" s="4">
        <f t="shared" si="0"/>
        <v>7344.239999999998</v>
      </c>
      <c r="C30">
        <v>170</v>
      </c>
      <c r="D30" s="30">
        <f>-SUMIFS('transaction details'!$G:$G,'transaction details'!$H:$H,'Budget Detail-Own 2015'!D$2,'transaction details'!$D:$D,'Budget Detail-Own 2015'!$A30)</f>
        <v>17.2</v>
      </c>
      <c r="E30" s="38">
        <f t="shared" si="1"/>
        <v>152.80000000000001</v>
      </c>
      <c r="F30" s="44">
        <f>-SUMIFS('transaction details'!$G:$G,'transaction details'!$H:$H,'Budget Detail-Own 2015'!F$2,'transaction details'!$D:$D,'Budget Detail-Own 2015'!$A30)</f>
        <v>0.73000000000000009</v>
      </c>
      <c r="G30" s="38">
        <f t="shared" si="1"/>
        <v>169.27</v>
      </c>
      <c r="H30" s="44">
        <f>-SUMIFS('transaction details'!$G:$G,'transaction details'!$H:$H,'Budget Detail-Own 2015'!H$2,'transaction details'!$D:$D,'Budget Detail-Own 2015'!$A30)</f>
        <v>2208.89</v>
      </c>
      <c r="I30" s="38">
        <f t="shared" si="2"/>
        <v>-2038.8899999999999</v>
      </c>
      <c r="J30" s="44">
        <f>-SUMIFS('transaction details'!$G:$G,'transaction details'!$H:$H,'Budget Detail-Own 2015'!J$2,'transaction details'!$D:$D,'Budget Detail-Own 2015'!$A30)</f>
        <v>-7532.7799999999988</v>
      </c>
      <c r="K30" s="38">
        <f t="shared" si="3"/>
        <v>7702.7799999999988</v>
      </c>
      <c r="L30" s="44">
        <f>-SUMIFS('transaction details'!$G:$G,'transaction details'!$H:$H,'Budget Detail-Own 2015'!L$2,'transaction details'!$D:$D,'Budget Detail-Own 2015'!$A30)</f>
        <v>0.19</v>
      </c>
      <c r="M30" s="38">
        <f t="shared" si="4"/>
        <v>169.81</v>
      </c>
      <c r="N30" s="44">
        <f>-SUMIFS('transaction details'!$G:$G,'transaction details'!$H:$H,'Budget Detail-Own 2015'!N$2,'transaction details'!$D:$D,'Budget Detail-Own 2015'!$A30)</f>
        <v>0.27</v>
      </c>
      <c r="O30" s="38">
        <f t="shared" si="5"/>
        <v>169.73</v>
      </c>
      <c r="P30" s="44">
        <f>-SUMIFS('transaction details'!$G:$G,'transaction details'!$H:$H,'Budget Detail-Own 2015'!P$2,'transaction details'!$D:$D,'Budget Detail-Own 2015'!$A30)</f>
        <v>0.21000000000000002</v>
      </c>
      <c r="Q30" s="38">
        <f t="shared" si="6"/>
        <v>169.79</v>
      </c>
      <c r="R30" s="44">
        <f>-SUMIFS('transaction details'!$G:$G,'transaction details'!$H:$H,'Budget Detail-Own 2015'!R$2,'transaction details'!$D:$D,'Budget Detail-Own 2015'!$A30)</f>
        <v>0.18</v>
      </c>
      <c r="S30" s="38">
        <f t="shared" si="7"/>
        <v>169.82</v>
      </c>
      <c r="T30" s="44">
        <f>-SUMIFS('transaction details'!$G:$G,'transaction details'!$H:$H,'Budget Detail-Own 2015'!T$2,'transaction details'!$D:$D,'Budget Detail-Own 2015'!$A30)</f>
        <v>0.31</v>
      </c>
      <c r="U30" s="38">
        <f t="shared" si="8"/>
        <v>169.69</v>
      </c>
      <c r="V30" s="44">
        <f>-SUMIFS('transaction details'!$G:$G,'transaction details'!$H:$H,'Budget Detail-Own 2015'!V$2,'transaction details'!$D:$D,'Budget Detail-Own 2015'!$A30)</f>
        <v>0.35</v>
      </c>
      <c r="W30" s="38">
        <f t="shared" si="9"/>
        <v>169.65</v>
      </c>
      <c r="X30" s="44">
        <f>-SUMIFS('transaction details'!$G:$G,'transaction details'!$H:$H,'Budget Detail-Own 2015'!X$2,'transaction details'!$D:$D,'Budget Detail-Own 2015'!$A30)</f>
        <v>0</v>
      </c>
      <c r="Y30" s="38">
        <f t="shared" si="10"/>
        <v>170</v>
      </c>
      <c r="Z30" s="44">
        <f>-SUMIFS('transaction details'!$G:$G,'transaction details'!$H:$H,'Budget Detail-Own 2015'!Z$2,'transaction details'!$D:$D,'Budget Detail-Own 2015'!$A30)</f>
        <v>0.21000000000000002</v>
      </c>
      <c r="AA30" s="38">
        <f t="shared" si="11"/>
        <v>169.79</v>
      </c>
    </row>
    <row r="31" spans="1:27" x14ac:dyDescent="0.25">
      <c r="A31" t="s">
        <v>166</v>
      </c>
      <c r="B31" s="4">
        <f t="shared" si="0"/>
        <v>-191.00999999999996</v>
      </c>
      <c r="C31" s="38">
        <f>Goals!P28</f>
        <v>100</v>
      </c>
      <c r="D31" s="30">
        <f>-SUMIFS('transaction details'!$G:$G,'transaction details'!$H:$H,'Budget Detail-Own 2015'!D$2,'transaction details'!$D:$D,'Budget Detail-Own 2015'!$A31)</f>
        <v>84</v>
      </c>
      <c r="E31" s="38">
        <f t="shared" si="1"/>
        <v>16</v>
      </c>
      <c r="F31" s="44">
        <f>-SUMIFS('transaction details'!$G:$G,'transaction details'!$H:$H,'Budget Detail-Own 2015'!F$2,'transaction details'!$D:$D,'Budget Detail-Own 2015'!$A31)</f>
        <v>30.48</v>
      </c>
      <c r="G31" s="38">
        <f t="shared" si="1"/>
        <v>69.52</v>
      </c>
      <c r="H31" s="44">
        <f>-SUMIFS('transaction details'!$G:$G,'transaction details'!$H:$H,'Budget Detail-Own 2015'!H$2,'transaction details'!$D:$D,'Budget Detail-Own 2015'!$A31)</f>
        <v>9</v>
      </c>
      <c r="I31" s="38">
        <f t="shared" si="2"/>
        <v>91</v>
      </c>
      <c r="J31" s="44">
        <f>-SUMIFS('transaction details'!$G:$G,'transaction details'!$H:$H,'Budget Detail-Own 2015'!J$2,'transaction details'!$D:$D,'Budget Detail-Own 2015'!$A31)</f>
        <v>73.819999999999993</v>
      </c>
      <c r="K31" s="38">
        <f t="shared" si="3"/>
        <v>26.180000000000007</v>
      </c>
      <c r="L31" s="44">
        <f>-SUMIFS('transaction details'!$G:$G,'transaction details'!$H:$H,'Budget Detail-Own 2015'!L$2,'transaction details'!$D:$D,'Budget Detail-Own 2015'!$A31)</f>
        <v>0</v>
      </c>
      <c r="M31" s="38">
        <f t="shared" si="4"/>
        <v>100</v>
      </c>
      <c r="N31" s="44">
        <f>-SUMIFS('transaction details'!$G:$G,'transaction details'!$H:$H,'Budget Detail-Own 2015'!N$2,'transaction details'!$D:$D,'Budget Detail-Own 2015'!$A31)</f>
        <v>4.1500000000000004</v>
      </c>
      <c r="O31" s="38">
        <f t="shared" si="5"/>
        <v>95.85</v>
      </c>
      <c r="P31" s="44">
        <f>-SUMIFS('transaction details'!$G:$G,'transaction details'!$H:$H,'Budget Detail-Own 2015'!P$2,'transaction details'!$D:$D,'Budget Detail-Own 2015'!$A31)</f>
        <v>232.6</v>
      </c>
      <c r="Q31" s="38">
        <f t="shared" si="6"/>
        <v>-132.6</v>
      </c>
      <c r="R31" s="44">
        <f>-SUMIFS('transaction details'!$G:$G,'transaction details'!$H:$H,'Budget Detail-Own 2015'!R$2,'transaction details'!$D:$D,'Budget Detail-Own 2015'!$A31)</f>
        <v>128.30000000000001</v>
      </c>
      <c r="S31" s="38">
        <f t="shared" si="7"/>
        <v>-28.300000000000011</v>
      </c>
      <c r="T31" s="44">
        <f>-SUMIFS('transaction details'!$G:$G,'transaction details'!$H:$H,'Budget Detail-Own 2015'!T$2,'transaction details'!$D:$D,'Budget Detail-Own 2015'!$A31)</f>
        <v>152.30000000000001</v>
      </c>
      <c r="U31" s="38">
        <f t="shared" si="8"/>
        <v>-52.300000000000011</v>
      </c>
      <c r="V31" s="44">
        <f>-SUMIFS('transaction details'!$G:$G,'transaction details'!$H:$H,'Budget Detail-Own 2015'!V$2,'transaction details'!$D:$D,'Budget Detail-Own 2015'!$A31)</f>
        <v>418.18999999999988</v>
      </c>
      <c r="W31" s="38">
        <f t="shared" si="9"/>
        <v>-318.18999999999988</v>
      </c>
      <c r="X31" s="44">
        <f>-SUMIFS('transaction details'!$G:$G,'transaction details'!$H:$H,'Budget Detail-Own 2015'!X$2,'transaction details'!$D:$D,'Budget Detail-Own 2015'!$A31)</f>
        <v>108.75999999999999</v>
      </c>
      <c r="Y31" s="38">
        <f t="shared" si="10"/>
        <v>-8.7599999999999909</v>
      </c>
      <c r="Z31" s="44">
        <f>-SUMIFS('transaction details'!$G:$G,'transaction details'!$H:$H,'Budget Detail-Own 2015'!Z$2,'transaction details'!$D:$D,'Budget Detail-Own 2015'!$A31)</f>
        <v>149.41</v>
      </c>
      <c r="AA31" s="38">
        <f t="shared" si="11"/>
        <v>-49.41</v>
      </c>
    </row>
    <row r="32" spans="1:27" x14ac:dyDescent="0.25">
      <c r="A32" t="s">
        <v>185</v>
      </c>
      <c r="B32" s="4">
        <f t="shared" si="0"/>
        <v>-1339.62</v>
      </c>
      <c r="C32" s="4">
        <f>Goals!P29</f>
        <v>19.100000000000001</v>
      </c>
      <c r="D32" s="30">
        <f>-SUMIFS('transaction details'!$G:$G,'transaction details'!$H:$H,'Budget Detail-Own 2015'!D$2,'transaction details'!$D:$D,'Budget Detail-Own 2015'!$A32)</f>
        <v>0</v>
      </c>
      <c r="E32" s="38">
        <f t="shared" si="1"/>
        <v>19.100000000000001</v>
      </c>
      <c r="F32" s="44">
        <f>-SUMIFS('transaction details'!$G:$G,'transaction details'!$H:$H,'Budget Detail-Own 2015'!F$2,'transaction details'!$D:$D,'Budget Detail-Own 2015'!$A32)</f>
        <v>0</v>
      </c>
      <c r="G32" s="38">
        <f t="shared" si="1"/>
        <v>19.100000000000001</v>
      </c>
      <c r="H32" s="44">
        <f>-SUMIFS('transaction details'!$G:$G,'transaction details'!$H:$H,'Budget Detail-Own 2015'!H$2,'transaction details'!$D:$D,'Budget Detail-Own 2015'!$A32)</f>
        <v>0</v>
      </c>
      <c r="I32" s="38">
        <f t="shared" si="2"/>
        <v>19.100000000000001</v>
      </c>
      <c r="J32" s="44">
        <f>-SUMIFS('transaction details'!$G:$G,'transaction details'!$H:$H,'Budget Detail-Own 2015'!J$2,'transaction details'!$D:$D,'Budget Detail-Own 2015'!$A32)</f>
        <v>0</v>
      </c>
      <c r="K32" s="38">
        <f t="shared" si="3"/>
        <v>19.100000000000001</v>
      </c>
      <c r="L32" s="44">
        <f>-SUMIFS('transaction details'!$G:$G,'transaction details'!$H:$H,'Budget Detail-Own 2015'!L$2,'transaction details'!$D:$D,'Budget Detail-Own 2015'!$A32)</f>
        <v>0</v>
      </c>
      <c r="M32" s="38">
        <f t="shared" si="4"/>
        <v>19.100000000000001</v>
      </c>
      <c r="N32" s="44">
        <f>-SUMIFS('transaction details'!$G:$G,'transaction details'!$H:$H,'Budget Detail-Own 2015'!N$2,'transaction details'!$D:$D,'Budget Detail-Own 2015'!$A32)</f>
        <v>35</v>
      </c>
      <c r="O32" s="38">
        <f t="shared" si="5"/>
        <v>-15.899999999999999</v>
      </c>
      <c r="P32" s="44">
        <f>-SUMIFS('transaction details'!$G:$G,'transaction details'!$H:$H,'Budget Detail-Own 2015'!P$2,'transaction details'!$D:$D,'Budget Detail-Own 2015'!$A32)</f>
        <v>0</v>
      </c>
      <c r="Q32" s="38">
        <f t="shared" si="6"/>
        <v>19.100000000000001</v>
      </c>
      <c r="R32" s="44">
        <f>-SUMIFS('transaction details'!$G:$G,'transaction details'!$H:$H,'Budget Detail-Own 2015'!R$2,'transaction details'!$D:$D,'Budget Detail-Own 2015'!$A32)</f>
        <v>0</v>
      </c>
      <c r="S32" s="38">
        <f t="shared" si="7"/>
        <v>19.100000000000001</v>
      </c>
      <c r="T32" s="44">
        <f>-SUMIFS('transaction details'!$G:$G,'transaction details'!$H:$H,'Budget Detail-Own 2015'!T$2,'transaction details'!$D:$D,'Budget Detail-Own 2015'!$A32)</f>
        <v>569.26</v>
      </c>
      <c r="U32" s="38">
        <f t="shared" si="8"/>
        <v>-550.16</v>
      </c>
      <c r="V32" s="44">
        <f>-SUMIFS('transaction details'!$G:$G,'transaction details'!$H:$H,'Budget Detail-Own 2015'!V$2,'transaction details'!$D:$D,'Budget Detail-Own 2015'!$A32)</f>
        <v>321.52</v>
      </c>
      <c r="W32" s="38">
        <f t="shared" si="9"/>
        <v>-302.41999999999996</v>
      </c>
      <c r="X32" s="44">
        <f>-SUMIFS('transaction details'!$G:$G,'transaction details'!$H:$H,'Budget Detail-Own 2015'!X$2,'transaction details'!$D:$D,'Budget Detail-Own 2015'!$A32)</f>
        <v>321.52</v>
      </c>
      <c r="Y32" s="38">
        <f t="shared" si="10"/>
        <v>-302.41999999999996</v>
      </c>
      <c r="Z32" s="44">
        <f>-SUMIFS('transaction details'!$G:$G,'transaction details'!$H:$H,'Budget Detail-Own 2015'!Z$2,'transaction details'!$D:$D,'Budget Detail-Own 2015'!$A32)</f>
        <v>321.52</v>
      </c>
      <c r="AA32" s="38">
        <f t="shared" si="11"/>
        <v>-302.41999999999996</v>
      </c>
    </row>
    <row r="33" spans="1:27" x14ac:dyDescent="0.25">
      <c r="A33" t="s">
        <v>170</v>
      </c>
      <c r="B33" s="4">
        <f t="shared" si="0"/>
        <v>-129.64999999999998</v>
      </c>
      <c r="C33">
        <v>0</v>
      </c>
      <c r="D33" s="30">
        <f>-SUMIFS('transaction details'!$G:$G,'transaction details'!$H:$H,'Budget Detail-Own 2015'!D$2,'transaction details'!$D:$D,'Budget Detail-Own 2015'!$A33)</f>
        <v>0</v>
      </c>
      <c r="E33" s="38">
        <f t="shared" si="1"/>
        <v>0</v>
      </c>
      <c r="F33" s="44">
        <f>-SUMIFS('transaction details'!$G:$G,'transaction details'!$H:$H,'Budget Detail-Own 2015'!F$2,'transaction details'!$D:$D,'Budget Detail-Own 2015'!$A33)</f>
        <v>0</v>
      </c>
      <c r="G33" s="38">
        <f t="shared" si="1"/>
        <v>0</v>
      </c>
      <c r="H33" s="44">
        <f>-SUMIFS('transaction details'!$G:$G,'transaction details'!$H:$H,'Budget Detail-Own 2015'!H$2,'transaction details'!$D:$D,'Budget Detail-Own 2015'!$A33)</f>
        <v>0</v>
      </c>
      <c r="I33" s="38">
        <f t="shared" si="2"/>
        <v>0</v>
      </c>
      <c r="J33" s="44">
        <f>-SUMIFS('transaction details'!$G:$G,'transaction details'!$H:$H,'Budget Detail-Own 2015'!J$2,'transaction details'!$D:$D,'Budget Detail-Own 2015'!$A33)</f>
        <v>0</v>
      </c>
      <c r="K33" s="38">
        <f t="shared" si="3"/>
        <v>0</v>
      </c>
      <c r="L33" s="44">
        <f>-SUMIFS('transaction details'!$G:$G,'transaction details'!$H:$H,'Budget Detail-Own 2015'!L$2,'transaction details'!$D:$D,'Budget Detail-Own 2015'!$A33)</f>
        <v>0</v>
      </c>
      <c r="M33" s="38">
        <f t="shared" si="4"/>
        <v>0</v>
      </c>
      <c r="N33" s="44">
        <f>-SUMIFS('transaction details'!$G:$G,'transaction details'!$H:$H,'Budget Detail-Own 2015'!N$2,'transaction details'!$D:$D,'Budget Detail-Own 2015'!$A33)</f>
        <v>0</v>
      </c>
      <c r="O33" s="38">
        <f t="shared" si="5"/>
        <v>0</v>
      </c>
      <c r="P33" s="44">
        <f>-SUMIFS('transaction details'!$G:$G,'transaction details'!$H:$H,'Budget Detail-Own 2015'!P$2,'transaction details'!$D:$D,'Budget Detail-Own 2015'!$A33)</f>
        <v>5.5</v>
      </c>
      <c r="Q33" s="38">
        <f t="shared" si="6"/>
        <v>-5.5</v>
      </c>
      <c r="R33" s="44">
        <f>-SUMIFS('transaction details'!$G:$G,'transaction details'!$H:$H,'Budget Detail-Own 2015'!R$2,'transaction details'!$D:$D,'Budget Detail-Own 2015'!$A33)</f>
        <v>0</v>
      </c>
      <c r="S33" s="38">
        <f t="shared" si="7"/>
        <v>0</v>
      </c>
      <c r="T33" s="44">
        <f>-SUMIFS('transaction details'!$G:$G,'transaction details'!$H:$H,'Budget Detail-Own 2015'!T$2,'transaction details'!$D:$D,'Budget Detail-Own 2015'!$A33)</f>
        <v>18.52</v>
      </c>
      <c r="U33" s="38">
        <f t="shared" si="8"/>
        <v>-18.52</v>
      </c>
      <c r="V33" s="44">
        <f>-SUMIFS('transaction details'!$G:$G,'transaction details'!$H:$H,'Budget Detail-Own 2015'!V$2,'transaction details'!$D:$D,'Budget Detail-Own 2015'!$A33)</f>
        <v>54.629999999999995</v>
      </c>
      <c r="W33" s="38">
        <f t="shared" si="9"/>
        <v>-54.629999999999995</v>
      </c>
      <c r="X33" s="44">
        <f>-SUMIFS('transaction details'!$G:$G,'transaction details'!$H:$H,'Budget Detail-Own 2015'!X$2,'transaction details'!$D:$D,'Budget Detail-Own 2015'!$A33)</f>
        <v>45</v>
      </c>
      <c r="Y33" s="38">
        <f t="shared" si="10"/>
        <v>-45</v>
      </c>
      <c r="Z33" s="44">
        <f>-SUMIFS('transaction details'!$G:$G,'transaction details'!$H:$H,'Budget Detail-Own 2015'!Z$2,'transaction details'!$D:$D,'Budget Detail-Own 2015'!$A33)</f>
        <v>6</v>
      </c>
      <c r="AA33" s="38">
        <f t="shared" si="11"/>
        <v>-6</v>
      </c>
    </row>
    <row r="34" spans="1:27" x14ac:dyDescent="0.25">
      <c r="A34" t="s">
        <v>102</v>
      </c>
      <c r="B34" s="4">
        <f t="shared" si="0"/>
        <v>-342.61</v>
      </c>
      <c r="C34">
        <v>0</v>
      </c>
      <c r="D34" s="30">
        <f>-SUMIFS('transaction details'!$G:$G,'transaction details'!$H:$H,'Budget Detail-Own 2015'!D$2,'transaction details'!$D:$D,'Budget Detail-Own 2015'!$A34)</f>
        <v>80</v>
      </c>
      <c r="E34" s="38">
        <f t="shared" si="1"/>
        <v>-80</v>
      </c>
      <c r="F34" s="44">
        <f>-SUMIFS('transaction details'!$G:$G,'transaction details'!$H:$H,'Budget Detail-Own 2015'!F$2,'transaction details'!$D:$D,'Budget Detail-Own 2015'!$A34)</f>
        <v>0</v>
      </c>
      <c r="G34" s="38">
        <f t="shared" si="1"/>
        <v>0</v>
      </c>
      <c r="H34" s="44">
        <f>-SUMIFS('transaction details'!$G:$G,'transaction details'!$H:$H,'Budget Detail-Own 2015'!H$2,'transaction details'!$D:$D,'Budget Detail-Own 2015'!$A34)</f>
        <v>0</v>
      </c>
      <c r="I34" s="38">
        <f t="shared" si="2"/>
        <v>0</v>
      </c>
      <c r="J34" s="44">
        <f>-SUMIFS('transaction details'!$G:$G,'transaction details'!$H:$H,'Budget Detail-Own 2015'!J$2,'transaction details'!$D:$D,'Budget Detail-Own 2015'!$A34)</f>
        <v>11.75</v>
      </c>
      <c r="K34" s="38">
        <f t="shared" si="3"/>
        <v>-11.75</v>
      </c>
      <c r="L34" s="44">
        <f>-SUMIFS('transaction details'!$G:$G,'transaction details'!$H:$H,'Budget Detail-Own 2015'!L$2,'transaction details'!$D:$D,'Budget Detail-Own 2015'!$A34)</f>
        <v>0</v>
      </c>
      <c r="M34" s="38">
        <f t="shared" si="4"/>
        <v>0</v>
      </c>
      <c r="N34" s="44">
        <f>-SUMIFS('transaction details'!$G:$G,'transaction details'!$H:$H,'Budget Detail-Own 2015'!N$2,'transaction details'!$D:$D,'Budget Detail-Own 2015'!$A34)</f>
        <v>0</v>
      </c>
      <c r="O34" s="38">
        <f t="shared" si="5"/>
        <v>0</v>
      </c>
      <c r="P34" s="44">
        <f>-SUMIFS('transaction details'!$G:$G,'transaction details'!$H:$H,'Budget Detail-Own 2015'!P$2,'transaction details'!$D:$D,'Budget Detail-Own 2015'!$A34)</f>
        <v>0</v>
      </c>
      <c r="Q34" s="38">
        <f t="shared" si="6"/>
        <v>0</v>
      </c>
      <c r="R34" s="44">
        <f>-SUMIFS('transaction details'!$G:$G,'transaction details'!$H:$H,'Budget Detail-Own 2015'!R$2,'transaction details'!$D:$D,'Budget Detail-Own 2015'!$A34)</f>
        <v>2.5</v>
      </c>
      <c r="S34" s="38">
        <f t="shared" si="7"/>
        <v>-2.5</v>
      </c>
      <c r="T34" s="44">
        <f>-SUMIFS('transaction details'!$G:$G,'transaction details'!$H:$H,'Budget Detail-Own 2015'!T$2,'transaction details'!$D:$D,'Budget Detail-Own 2015'!$A34)</f>
        <v>12</v>
      </c>
      <c r="U34" s="38">
        <f t="shared" si="8"/>
        <v>-12</v>
      </c>
      <c r="V34" s="44">
        <f>-SUMIFS('transaction details'!$G:$G,'transaction details'!$H:$H,'Budget Detail-Own 2015'!V$2,'transaction details'!$D:$D,'Budget Detail-Own 2015'!$A34)</f>
        <v>119.45000000000002</v>
      </c>
      <c r="W34" s="38">
        <f t="shared" si="9"/>
        <v>-119.45000000000002</v>
      </c>
      <c r="X34" s="44">
        <f>-SUMIFS('transaction details'!$G:$G,'transaction details'!$H:$H,'Budget Detail-Own 2015'!X$2,'transaction details'!$D:$D,'Budget Detail-Own 2015'!$A34)</f>
        <v>116.91</v>
      </c>
      <c r="Y34" s="38">
        <f t="shared" si="10"/>
        <v>-116.91</v>
      </c>
      <c r="Z34" s="44">
        <f>-SUMIFS('transaction details'!$G:$G,'transaction details'!$H:$H,'Budget Detail-Own 2015'!Z$2,'transaction details'!$D:$D,'Budget Detail-Own 2015'!$A34)</f>
        <v>0</v>
      </c>
      <c r="AA34" s="38">
        <f t="shared" si="11"/>
        <v>0</v>
      </c>
    </row>
    <row r="35" spans="1:27" x14ac:dyDescent="0.25">
      <c r="A35" t="s">
        <v>95</v>
      </c>
      <c r="B35" s="4">
        <f t="shared" si="0"/>
        <v>-1029.6200000000001</v>
      </c>
      <c r="C35">
        <v>100</v>
      </c>
      <c r="D35" s="30">
        <f>-SUMIFS('transaction details'!$G:$G,'transaction details'!$H:$H,'Budget Detail-Own 2015'!D$2,'transaction details'!$D:$D,'Budget Detail-Own 2015'!$A35)</f>
        <v>481.40999999999997</v>
      </c>
      <c r="E35" s="38">
        <f t="shared" si="1"/>
        <v>-381.40999999999997</v>
      </c>
      <c r="F35" s="44">
        <f>-SUMIFS('transaction details'!$G:$G,'transaction details'!$H:$H,'Budget Detail-Own 2015'!F$2,'transaction details'!$D:$D,'Budget Detail-Own 2015'!$A35)</f>
        <v>101.11</v>
      </c>
      <c r="G35" s="38">
        <f t="shared" si="1"/>
        <v>-1.1099999999999994</v>
      </c>
      <c r="H35" s="44">
        <f>-SUMIFS('transaction details'!$G:$G,'transaction details'!$H:$H,'Budget Detail-Own 2015'!H$2,'transaction details'!$D:$D,'Budget Detail-Own 2015'!$A35)</f>
        <v>141.24</v>
      </c>
      <c r="I35" s="38">
        <f t="shared" si="2"/>
        <v>-41.240000000000009</v>
      </c>
      <c r="J35" s="44">
        <f>-SUMIFS('transaction details'!$G:$G,'transaction details'!$H:$H,'Budget Detail-Own 2015'!J$2,'transaction details'!$D:$D,'Budget Detail-Own 2015'!$A35)</f>
        <v>38.24</v>
      </c>
      <c r="K35" s="38">
        <f t="shared" si="3"/>
        <v>61.76</v>
      </c>
      <c r="L35" s="44">
        <f>-SUMIFS('transaction details'!$G:$G,'transaction details'!$H:$H,'Budget Detail-Own 2015'!L$2,'transaction details'!$D:$D,'Budget Detail-Own 2015'!$A35)</f>
        <v>290.93</v>
      </c>
      <c r="M35" s="38">
        <f t="shared" si="4"/>
        <v>-190.93</v>
      </c>
      <c r="N35" s="44">
        <f>-SUMIFS('transaction details'!$G:$G,'transaction details'!$H:$H,'Budget Detail-Own 2015'!N$2,'transaction details'!$D:$D,'Budget Detail-Own 2015'!$A35)</f>
        <v>21.94</v>
      </c>
      <c r="O35" s="38">
        <f t="shared" si="5"/>
        <v>78.06</v>
      </c>
      <c r="P35" s="44">
        <f>-SUMIFS('transaction details'!$G:$G,'transaction details'!$H:$H,'Budget Detail-Own 2015'!P$2,'transaction details'!$D:$D,'Budget Detail-Own 2015'!$A35)</f>
        <v>222.19</v>
      </c>
      <c r="Q35" s="38">
        <f t="shared" si="6"/>
        <v>-122.19</v>
      </c>
      <c r="R35" s="44">
        <f>-SUMIFS('transaction details'!$G:$G,'transaction details'!$H:$H,'Budget Detail-Own 2015'!R$2,'transaction details'!$D:$D,'Budget Detail-Own 2015'!$A35)</f>
        <v>70.38</v>
      </c>
      <c r="S35" s="38">
        <f t="shared" si="7"/>
        <v>29.620000000000005</v>
      </c>
      <c r="T35" s="44">
        <f>-SUMIFS('transaction details'!$G:$G,'transaction details'!$H:$H,'Budget Detail-Own 2015'!T$2,'transaction details'!$D:$D,'Budget Detail-Own 2015'!$A35)</f>
        <v>60.23</v>
      </c>
      <c r="U35" s="38">
        <f t="shared" si="8"/>
        <v>39.770000000000003</v>
      </c>
      <c r="V35" s="44">
        <f>-SUMIFS('transaction details'!$G:$G,'transaction details'!$H:$H,'Budget Detail-Own 2015'!V$2,'transaction details'!$D:$D,'Budget Detail-Own 2015'!$A35)</f>
        <v>356.31</v>
      </c>
      <c r="W35" s="38">
        <f t="shared" si="9"/>
        <v>-256.31</v>
      </c>
      <c r="X35" s="44">
        <f>-SUMIFS('transaction details'!$G:$G,'transaction details'!$H:$H,'Budget Detail-Own 2015'!X$2,'transaction details'!$D:$D,'Budget Detail-Own 2015'!$A35)</f>
        <v>321.93</v>
      </c>
      <c r="Y35" s="38">
        <f t="shared" si="10"/>
        <v>-221.93</v>
      </c>
      <c r="Z35" s="44">
        <f>-SUMIFS('transaction details'!$G:$G,'transaction details'!$H:$H,'Budget Detail-Own 2015'!Z$2,'transaction details'!$D:$D,'Budget Detail-Own 2015'!$A35)</f>
        <v>123.71</v>
      </c>
      <c r="AA35" s="38">
        <f t="shared" si="11"/>
        <v>-23.709999999999994</v>
      </c>
    </row>
    <row r="36" spans="1:27" x14ac:dyDescent="0.25">
      <c r="A36" t="s">
        <v>169</v>
      </c>
      <c r="B36" s="4">
        <f t="shared" si="0"/>
        <v>-19.240000000000002</v>
      </c>
      <c r="C36">
        <v>0</v>
      </c>
      <c r="D36" s="30">
        <f>-SUMIFS('transaction details'!$G:$G,'transaction details'!$H:$H,'Budget Detail-Own 2015'!D$2,'transaction details'!$D:$D,'Budget Detail-Own 2015'!$A36)</f>
        <v>0</v>
      </c>
      <c r="E36" s="38">
        <f t="shared" si="1"/>
        <v>0</v>
      </c>
      <c r="F36" s="44">
        <f>-SUMIFS('transaction details'!$G:$G,'transaction details'!$H:$H,'Budget Detail-Own 2015'!F$2,'transaction details'!$D:$D,'Budget Detail-Own 2015'!$A36)</f>
        <v>16.670000000000002</v>
      </c>
      <c r="G36" s="38">
        <f t="shared" si="1"/>
        <v>-16.670000000000002</v>
      </c>
      <c r="H36" s="44">
        <f>-SUMIFS('transaction details'!$G:$G,'transaction details'!$H:$H,'Budget Detail-Own 2015'!H$2,'transaction details'!$D:$D,'Budget Detail-Own 2015'!$A36)</f>
        <v>1.5</v>
      </c>
      <c r="I36" s="38">
        <f t="shared" si="2"/>
        <v>-1.5</v>
      </c>
      <c r="J36" s="44">
        <f>-SUMIFS('transaction details'!$G:$G,'transaction details'!$H:$H,'Budget Detail-Own 2015'!J$2,'transaction details'!$D:$D,'Budget Detail-Own 2015'!$A36)</f>
        <v>0.93</v>
      </c>
      <c r="K36" s="38">
        <f t="shared" si="3"/>
        <v>-0.93</v>
      </c>
      <c r="L36" s="44">
        <f>-SUMIFS('transaction details'!$G:$G,'transaction details'!$H:$H,'Budget Detail-Own 2015'!L$2,'transaction details'!$D:$D,'Budget Detail-Own 2015'!$A36)</f>
        <v>0</v>
      </c>
      <c r="M36" s="38">
        <f t="shared" si="4"/>
        <v>0</v>
      </c>
      <c r="N36" s="44">
        <f>-SUMIFS('transaction details'!$G:$G,'transaction details'!$H:$H,'Budget Detail-Own 2015'!N$2,'transaction details'!$D:$D,'Budget Detail-Own 2015'!$A36)</f>
        <v>0</v>
      </c>
      <c r="O36" s="38">
        <f t="shared" si="5"/>
        <v>0</v>
      </c>
      <c r="P36" s="44">
        <f>-SUMIFS('transaction details'!$G:$G,'transaction details'!$H:$H,'Budget Detail-Own 2015'!P$2,'transaction details'!$D:$D,'Budget Detail-Own 2015'!$A36)</f>
        <v>-24.86</v>
      </c>
      <c r="Q36" s="38">
        <f t="shared" si="6"/>
        <v>24.86</v>
      </c>
      <c r="R36" s="44">
        <f>-SUMIFS('transaction details'!$G:$G,'transaction details'!$H:$H,'Budget Detail-Own 2015'!R$2,'transaction details'!$D:$D,'Budget Detail-Own 2015'!$A36)</f>
        <v>0</v>
      </c>
      <c r="S36" s="38">
        <f t="shared" si="7"/>
        <v>0</v>
      </c>
      <c r="T36" s="44">
        <f>-SUMIFS('transaction details'!$G:$G,'transaction details'!$H:$H,'Budget Detail-Own 2015'!T$2,'transaction details'!$D:$D,'Budget Detail-Own 2015'!$A36)</f>
        <v>0</v>
      </c>
      <c r="U36" s="38">
        <f t="shared" si="8"/>
        <v>0</v>
      </c>
      <c r="V36" s="44">
        <f>-SUMIFS('transaction details'!$G:$G,'transaction details'!$H:$H,'Budget Detail-Own 2015'!V$2,'transaction details'!$D:$D,'Budget Detail-Own 2015'!$A36)</f>
        <v>0</v>
      </c>
      <c r="W36" s="38">
        <f t="shared" si="9"/>
        <v>0</v>
      </c>
      <c r="X36" s="44">
        <f>-SUMIFS('transaction details'!$G:$G,'transaction details'!$H:$H,'Budget Detail-Own 2015'!X$2,'transaction details'!$D:$D,'Budget Detail-Own 2015'!$A36)</f>
        <v>25</v>
      </c>
      <c r="Y36" s="38">
        <f t="shared" si="10"/>
        <v>-25</v>
      </c>
      <c r="Z36" s="44">
        <f>-SUMIFS('transaction details'!$G:$G,'transaction details'!$H:$H,'Budget Detail-Own 2015'!Z$2,'transaction details'!$D:$D,'Budget Detail-Own 2015'!$A36)</f>
        <v>0</v>
      </c>
      <c r="AA36" s="38">
        <f t="shared" si="11"/>
        <v>0</v>
      </c>
    </row>
    <row r="37" spans="1:27" x14ac:dyDescent="0.25">
      <c r="A37" t="s">
        <v>6</v>
      </c>
      <c r="B37" s="4">
        <f t="shared" si="0"/>
        <v>-2433.7800000000025</v>
      </c>
      <c r="C37">
        <v>2000</v>
      </c>
      <c r="D37" s="30">
        <f>-SUMIFS('transaction details'!$G:$G,'transaction details'!$H:$H,'Budget Detail-Own 2015'!D$2,'transaction details'!$D:$D,'Budget Detail-Own 2015'!$A37)</f>
        <v>5717.84</v>
      </c>
      <c r="E37" s="4">
        <f>$C37-D37</f>
        <v>-3717.84</v>
      </c>
      <c r="F37" s="44">
        <f>-SUMIFS('transaction details'!$G:$G,'transaction details'!$H:$H,'Budget Detail-Own 2015'!F$2,'transaction details'!$D:$D,'Budget Detail-Own 2015'!$A37)</f>
        <v>1409.08</v>
      </c>
      <c r="G37" s="4">
        <f>$C37-F37</f>
        <v>590.92000000000007</v>
      </c>
      <c r="H37" s="44">
        <f>-SUMIFS('transaction details'!$G:$G,'transaction details'!$H:$H,'Budget Detail-Own 2015'!H$2,'transaction details'!$D:$D,'Budget Detail-Own 2015'!$A37)</f>
        <v>15813.16</v>
      </c>
      <c r="I37" s="4">
        <f t="shared" si="2"/>
        <v>-13813.16</v>
      </c>
      <c r="J37" s="44">
        <f>-SUMIFS('transaction details'!$G:$G,'transaction details'!$H:$H,'Budget Detail-Own 2015'!J$2,'transaction details'!$D:$D,'Budget Detail-Own 2015'!$A37)</f>
        <v>5608.34</v>
      </c>
      <c r="K37" s="4">
        <f t="shared" si="3"/>
        <v>-3608.34</v>
      </c>
      <c r="L37" s="44">
        <f>-SUMIFS('transaction details'!$G:$G,'transaction details'!$H:$H,'Budget Detail-Own 2015'!L$2,'transaction details'!$D:$D,'Budget Detail-Own 2015'!$A37)</f>
        <v>201.67</v>
      </c>
      <c r="M37" s="4">
        <f t="shared" si="4"/>
        <v>1798.33</v>
      </c>
      <c r="N37" s="44">
        <f>-SUMIFS('transaction details'!$G:$G,'transaction details'!$H:$H,'Budget Detail-Own 2015'!N$2,'transaction details'!$D:$D,'Budget Detail-Own 2015'!$A37)</f>
        <v>2060.2399999999998</v>
      </c>
      <c r="O37" s="4">
        <f t="shared" si="5"/>
        <v>-60.239999999999782</v>
      </c>
      <c r="P37" s="44">
        <f>-SUMIFS('transaction details'!$G:$G,'transaction details'!$H:$H,'Budget Detail-Own 2015'!P$2,'transaction details'!$D:$D,'Budget Detail-Own 2015'!$A37)</f>
        <v>-14376.55</v>
      </c>
      <c r="Q37" s="4">
        <f t="shared" si="6"/>
        <v>16376.55</v>
      </c>
      <c r="R37" s="44">
        <f>-SUMIFS('transaction details'!$G:$G,'transaction details'!$H:$H,'Budget Detail-Own 2015'!R$2,'transaction details'!$D:$D,'Budget Detail-Own 2015'!$A37)</f>
        <v>0</v>
      </c>
      <c r="S37" s="4">
        <v>0</v>
      </c>
      <c r="T37" s="44">
        <f>-SUMIFS('transaction details'!$G:$G,'transaction details'!$H:$H,'Budget Detail-Own 2015'!T$2,'transaction details'!$D:$D,'Budget Detail-Own 2015'!$A37)</f>
        <v>0</v>
      </c>
      <c r="U37" s="4">
        <v>0</v>
      </c>
      <c r="V37" s="44">
        <f>-SUMIFS('transaction details'!$G:$G,'transaction details'!$H:$H,'Budget Detail-Own 2015'!V$2,'transaction details'!$D:$D,'Budget Detail-Own 2015'!$A37)</f>
        <v>0</v>
      </c>
      <c r="W37" s="4">
        <v>0</v>
      </c>
      <c r="X37" s="44">
        <f>-SUMIFS('transaction details'!$G:$G,'transaction details'!$H:$H,'Budget Detail-Own 2015'!X$2,'transaction details'!$D:$D,'Budget Detail-Own 2015'!$A37)</f>
        <v>0</v>
      </c>
      <c r="Y37" s="4">
        <v>0</v>
      </c>
      <c r="Z37" s="44">
        <f>-SUMIFS('transaction details'!$G:$G,'transaction details'!$H:$H,'Budget Detail-Own 2015'!Z$2,'transaction details'!$D:$D,'Budget Detail-Own 2015'!$A37)</f>
        <v>0</v>
      </c>
      <c r="AA37" s="4">
        <v>0</v>
      </c>
    </row>
    <row r="38" spans="1:27" x14ac:dyDescent="0.25">
      <c r="A38" t="s">
        <v>121</v>
      </c>
      <c r="B38" s="4">
        <f t="shared" si="0"/>
        <v>-3425.63</v>
      </c>
      <c r="D38" s="30">
        <f>-SUMIFS('transaction details'!$G:$G,'transaction details'!$H:$H,'Budget Detail-Own 2015'!D$2,'transaction details'!$D:$D,'Budget Detail-Own 2015'!$A38)</f>
        <v>0</v>
      </c>
      <c r="E38" s="38">
        <f t="shared" si="1"/>
        <v>0</v>
      </c>
      <c r="F38" s="44">
        <f>-SUMIFS('transaction details'!$G:$G,'transaction details'!$H:$H,'Budget Detail-Own 2015'!F$2,'transaction details'!$D:$D,'Budget Detail-Own 2015'!$A38)</f>
        <v>226.1</v>
      </c>
      <c r="G38" s="38">
        <f t="shared" si="1"/>
        <v>-226.1</v>
      </c>
      <c r="H38" s="44">
        <f>-SUMIFS('transaction details'!$G:$G,'transaction details'!$H:$H,'Budget Detail-Own 2015'!H$2,'transaction details'!$D:$D,'Budget Detail-Own 2015'!$A38)</f>
        <v>0</v>
      </c>
      <c r="I38" s="38">
        <f t="shared" si="2"/>
        <v>0</v>
      </c>
      <c r="J38" s="44">
        <f>-SUMIFS('transaction details'!$G:$G,'transaction details'!$H:$H,'Budget Detail-Own 2015'!J$2,'transaction details'!$D:$D,'Budget Detail-Own 2015'!$A38)</f>
        <v>0</v>
      </c>
      <c r="K38" s="38">
        <f t="shared" si="3"/>
        <v>0</v>
      </c>
      <c r="L38" s="44">
        <f>-SUMIFS('transaction details'!$G:$G,'transaction details'!$H:$H,'Budget Detail-Own 2015'!L$2,'transaction details'!$D:$D,'Budget Detail-Own 2015'!$A38)</f>
        <v>0</v>
      </c>
      <c r="M38" s="38">
        <f t="shared" si="4"/>
        <v>0</v>
      </c>
      <c r="N38" s="44">
        <f>-SUMIFS('transaction details'!$G:$G,'transaction details'!$H:$H,'Budget Detail-Own 2015'!N$2,'transaction details'!$D:$D,'Budget Detail-Own 2015'!$A38)</f>
        <v>0</v>
      </c>
      <c r="O38" s="38">
        <f t="shared" si="5"/>
        <v>0</v>
      </c>
      <c r="P38" s="44">
        <f>-SUMIFS('transaction details'!$G:$G,'transaction details'!$H:$H,'Budget Detail-Own 2015'!P$2,'transaction details'!$D:$D,'Budget Detail-Own 2015'!$A38)</f>
        <v>3000</v>
      </c>
      <c r="Q38" s="38">
        <f t="shared" si="6"/>
        <v>-3000</v>
      </c>
      <c r="R38" s="44">
        <f>-SUMIFS('transaction details'!$G:$G,'transaction details'!$H:$H,'Budget Detail-Own 2015'!R$2,'transaction details'!$D:$D,'Budget Detail-Own 2015'!$A38)</f>
        <v>0</v>
      </c>
      <c r="S38" s="38">
        <f t="shared" si="7"/>
        <v>0</v>
      </c>
      <c r="T38" s="44">
        <f>-SUMIFS('transaction details'!$G:$G,'transaction details'!$H:$H,'Budget Detail-Own 2015'!T$2,'transaction details'!$D:$D,'Budget Detail-Own 2015'!$A38)</f>
        <v>0</v>
      </c>
      <c r="U38" s="38">
        <f>$C38-T38</f>
        <v>0</v>
      </c>
      <c r="V38" s="44">
        <f>-SUMIFS('transaction details'!$G:$G,'transaction details'!$H:$H,'Budget Detail-Own 2015'!V$2,'transaction details'!$D:$D,'Budget Detail-Own 2015'!$A38)</f>
        <v>0</v>
      </c>
      <c r="W38" s="38">
        <f>$C38-V38</f>
        <v>0</v>
      </c>
      <c r="X38" s="44">
        <f>-SUMIFS('transaction details'!$G:$G,'transaction details'!$H:$H,'Budget Detail-Own 2015'!X$2,'transaction details'!$D:$D,'Budget Detail-Own 2015'!$A38)</f>
        <v>0</v>
      </c>
      <c r="Y38" s="38">
        <f>$C38-X38</f>
        <v>0</v>
      </c>
      <c r="Z38" s="44">
        <f>-SUMIFS('transaction details'!$G:$G,'transaction details'!$H:$H,'Budget Detail-Own 2015'!Z$2,'transaction details'!$D:$D,'Budget Detail-Own 2015'!$A38)</f>
        <v>199.53</v>
      </c>
      <c r="AA38" s="38">
        <f>$C38-Z38</f>
        <v>-199.53</v>
      </c>
    </row>
    <row r="39" spans="1:27" x14ac:dyDescent="0.25">
      <c r="A39" s="64"/>
      <c r="B39" s="64"/>
      <c r="C39" s="64"/>
      <c r="H39" s="42"/>
      <c r="I39" s="42"/>
      <c r="N39" s="42"/>
      <c r="O39" s="42"/>
      <c r="T39" s="42"/>
      <c r="U39" s="42"/>
      <c r="Z39" s="42"/>
      <c r="AA39" s="42"/>
    </row>
    <row r="40" spans="1:27" x14ac:dyDescent="0.25">
      <c r="A40" t="s">
        <v>9</v>
      </c>
      <c r="B40" s="4">
        <f>SUM(B3:B35)</f>
        <v>-3248.4100000000062</v>
      </c>
      <c r="C40">
        <f>SUM(C3:C37)-C37</f>
        <v>5688.1</v>
      </c>
      <c r="D40">
        <f t="shared" ref="D40:K40" si="12">SUM(D3:D38)</f>
        <v>16116.2</v>
      </c>
      <c r="E40" s="30">
        <f t="shared" si="12"/>
        <v>-8428.0999999999985</v>
      </c>
      <c r="F40" s="42">
        <f t="shared" si="12"/>
        <v>4467.4500000000007</v>
      </c>
      <c r="G40" s="44">
        <f t="shared" si="12"/>
        <v>3220.65</v>
      </c>
      <c r="H40" s="42">
        <f t="shared" si="12"/>
        <v>19417.53</v>
      </c>
      <c r="I40" s="44">
        <f t="shared" si="12"/>
        <v>-11729.43</v>
      </c>
      <c r="J40" s="42">
        <f t="shared" si="12"/>
        <v>-4357.119999999999</v>
      </c>
      <c r="K40" s="44">
        <f t="shared" si="12"/>
        <v>12045.219999999998</v>
      </c>
      <c r="L40" s="42">
        <f t="shared" ref="L40:Q40" si="13">SUM(L3:L38)</f>
        <v>6847.44</v>
      </c>
      <c r="M40" s="44">
        <f t="shared" si="13"/>
        <v>840.65999999999985</v>
      </c>
      <c r="N40" s="42">
        <f t="shared" si="13"/>
        <v>5816.82</v>
      </c>
      <c r="O40" s="44">
        <f t="shared" si="13"/>
        <v>1871.28</v>
      </c>
      <c r="P40" s="42">
        <f t="shared" si="13"/>
        <v>-310.10000000000036</v>
      </c>
      <c r="Q40" s="44">
        <f t="shared" si="13"/>
        <v>7998.1999999999971</v>
      </c>
      <c r="R40" s="42">
        <f t="shared" ref="R40:AA40" si="14">SUM(R3:R38)</f>
        <v>7363.97</v>
      </c>
      <c r="S40" s="44">
        <f t="shared" si="14"/>
        <v>-1675.87</v>
      </c>
      <c r="T40" s="42">
        <f t="shared" si="14"/>
        <v>9017.14</v>
      </c>
      <c r="U40" s="44">
        <f t="shared" si="14"/>
        <v>-3329.0399999999995</v>
      </c>
      <c r="V40" s="42">
        <f t="shared" si="14"/>
        <v>8370.369999999999</v>
      </c>
      <c r="W40" s="44">
        <f t="shared" si="14"/>
        <v>-2682.2699999999991</v>
      </c>
      <c r="X40" s="42">
        <f t="shared" si="14"/>
        <v>6876.3799999999992</v>
      </c>
      <c r="Y40" s="44">
        <f t="shared" si="14"/>
        <v>-1188.28</v>
      </c>
      <c r="Z40" s="42">
        <f t="shared" si="14"/>
        <v>11758.179999999998</v>
      </c>
      <c r="AA40" s="44">
        <f t="shared" si="14"/>
        <v>-6070.079999999999</v>
      </c>
    </row>
    <row r="41" spans="1:27" x14ac:dyDescent="0.25">
      <c r="A41" t="s">
        <v>439</v>
      </c>
      <c r="B41" s="4"/>
      <c r="D41" s="30">
        <f>D40-D37</f>
        <v>10398.36</v>
      </c>
      <c r="E41" s="30"/>
      <c r="F41" s="44">
        <f>F40-F37</f>
        <v>3058.3700000000008</v>
      </c>
      <c r="G41" s="4"/>
      <c r="H41" s="44">
        <f>H40-H37</f>
        <v>3604.369999999999</v>
      </c>
      <c r="I41" s="4"/>
      <c r="J41" s="44">
        <f>J40-J37</f>
        <v>-9965.4599999999991</v>
      </c>
      <c r="K41" s="4"/>
      <c r="L41" s="44">
        <f>L40-L37</f>
        <v>6645.7699999999995</v>
      </c>
      <c r="N41" s="44">
        <f>N40-N37</f>
        <v>3756.58</v>
      </c>
      <c r="O41" s="42"/>
      <c r="P41" s="44">
        <f>P40-P37</f>
        <v>14066.449999999999</v>
      </c>
      <c r="R41" s="44">
        <f>R40-R37</f>
        <v>7363.97</v>
      </c>
      <c r="S41" s="42"/>
      <c r="T41" s="44">
        <f>T40-T37</f>
        <v>9017.14</v>
      </c>
      <c r="U41" s="42"/>
      <c r="V41" s="44">
        <f>V40-V37</f>
        <v>8370.369999999999</v>
      </c>
      <c r="W41" s="42"/>
      <c r="X41" s="44">
        <f>X40-X37</f>
        <v>6876.3799999999992</v>
      </c>
      <c r="Y41" s="42"/>
      <c r="Z41" s="44">
        <f>Z40-Z37</f>
        <v>11758.179999999998</v>
      </c>
      <c r="AA41" s="42"/>
    </row>
    <row r="42" spans="1:27" x14ac:dyDescent="0.25">
      <c r="A42" t="s">
        <v>440</v>
      </c>
      <c r="D42" s="30">
        <f>D41-D16-D22-D17</f>
        <v>2124.3600000000006</v>
      </c>
      <c r="F42" s="44">
        <f>F41-F16-F22-F17</f>
        <v>3045.8700000000008</v>
      </c>
      <c r="H42" s="44">
        <f>H41-H16-H22-H17</f>
        <v>3593.9899999999989</v>
      </c>
      <c r="I42" s="42"/>
      <c r="J42" s="44">
        <f>J41-J16-J22-J17</f>
        <v>-6423.33</v>
      </c>
      <c r="L42" s="44">
        <f>L41-L16-L22-L17</f>
        <v>3528.9999999999995</v>
      </c>
      <c r="N42" s="44">
        <f>N41-N16-N22-N17</f>
        <v>639.80999999999995</v>
      </c>
      <c r="O42" s="42"/>
      <c r="P42" s="44">
        <f>P41-P16-P22-P17</f>
        <v>10636.47</v>
      </c>
      <c r="R42" s="44">
        <f>R41-R16-R22-R17</f>
        <v>4271.2900000000009</v>
      </c>
      <c r="S42" s="42"/>
      <c r="T42" s="44">
        <f>T41-T16-T22-T17</f>
        <v>5790.9699999999993</v>
      </c>
      <c r="U42" s="42"/>
      <c r="V42" s="44">
        <f>V41-V16-V22-V17</f>
        <v>5218.7599999999984</v>
      </c>
      <c r="W42" s="42"/>
      <c r="X42" s="44">
        <f>X41-X16-X22-X17</f>
        <v>3753.0699999999993</v>
      </c>
      <c r="Y42" s="42"/>
      <c r="Z42" s="44">
        <f>Z41-Z16-Z22-Z17</f>
        <v>3929.2499999999986</v>
      </c>
      <c r="AA42" s="42"/>
    </row>
    <row r="43" spans="1:27" x14ac:dyDescent="0.25">
      <c r="A43" t="s">
        <v>441</v>
      </c>
      <c r="D43" s="30">
        <f>D42-D25</f>
        <v>2895.0100000000007</v>
      </c>
      <c r="F43" s="44">
        <f>F42-F25</f>
        <v>3045.8700000000008</v>
      </c>
      <c r="H43" s="44">
        <f>H42-H25</f>
        <v>3593.9899999999989</v>
      </c>
      <c r="I43" s="42"/>
      <c r="J43" s="44">
        <f>J42-J25</f>
        <v>-6423.33</v>
      </c>
      <c r="L43" s="44">
        <f>L42-L25</f>
        <v>2881.6299999999997</v>
      </c>
      <c r="N43" s="44">
        <f>N42-N25</f>
        <v>639.80999999999995</v>
      </c>
      <c r="O43" s="42"/>
      <c r="P43" s="44">
        <f>P42-P25</f>
        <v>5249.199999999998</v>
      </c>
      <c r="R43" s="44">
        <f>R42-R25</f>
        <v>3492.7800000000007</v>
      </c>
      <c r="S43" s="42"/>
      <c r="T43" s="44">
        <f>T42-T25</f>
        <v>4670.7099999999991</v>
      </c>
      <c r="U43" s="42"/>
      <c r="V43" s="44">
        <f>V42-V25</f>
        <v>4803.659999999998</v>
      </c>
      <c r="W43" s="42"/>
      <c r="X43" s="44">
        <f>X42-X25</f>
        <v>3294.6699999999992</v>
      </c>
      <c r="Y43" s="42"/>
      <c r="Z43" s="44">
        <f>Z42-Z25</f>
        <v>3929.2499999999986</v>
      </c>
      <c r="AA43" s="42"/>
    </row>
    <row r="44" spans="1:27" s="42" customFormat="1" x14ac:dyDescent="0.25">
      <c r="A44" s="42" t="s">
        <v>547</v>
      </c>
      <c r="D44" s="44"/>
      <c r="F44" s="44"/>
      <c r="H44" s="44">
        <f>H43-H30-H12</f>
        <v>906.01999999999896</v>
      </c>
      <c r="J44" s="44">
        <f>J43-J30-J12</f>
        <v>1109.4499999999989</v>
      </c>
      <c r="L44" s="44">
        <f>L43-L30-L12</f>
        <v>2416.8999999999996</v>
      </c>
      <c r="N44" s="44">
        <f>N43-N30-N12</f>
        <v>639.54</v>
      </c>
      <c r="P44" s="44">
        <f>P43-P30-P12</f>
        <v>4732.0699999999979</v>
      </c>
      <c r="R44" s="44">
        <f>R43-R30-R12</f>
        <v>3275.8500000000008</v>
      </c>
      <c r="S44" s="44"/>
      <c r="T44" s="44">
        <f>T43-T30-T12</f>
        <v>3252.7399999999989</v>
      </c>
      <c r="U44" s="44"/>
      <c r="V44" s="44">
        <f>V43-V30-V12</f>
        <v>4276.3099999999977</v>
      </c>
      <c r="W44" s="44"/>
      <c r="X44" s="44">
        <f>X43-X30-X12</f>
        <v>2706.869999999999</v>
      </c>
      <c r="Y44" s="44"/>
      <c r="Z44" s="44">
        <f>Z43-Z30-Z12</f>
        <v>3731.7399999999984</v>
      </c>
      <c r="AA44" s="44"/>
    </row>
    <row r="45" spans="1:27" x14ac:dyDescent="0.25">
      <c r="A45" t="s">
        <v>168</v>
      </c>
      <c r="H45" s="42"/>
      <c r="I45" s="42"/>
      <c r="L45" s="42"/>
      <c r="N45" s="42"/>
      <c r="O45" s="42"/>
      <c r="P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x14ac:dyDescent="0.25">
      <c r="A46" t="s">
        <v>118</v>
      </c>
      <c r="H46" s="42"/>
      <c r="I46" s="42"/>
      <c r="L46" s="42"/>
      <c r="N46" s="42"/>
      <c r="O46" s="42"/>
      <c r="P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x14ac:dyDescent="0.25">
      <c r="A47" t="s">
        <v>261</v>
      </c>
      <c r="B47">
        <f>SUM(D47:BB47)</f>
        <v>96114.290000000008</v>
      </c>
      <c r="D47">
        <f>SUMIFS('transaction details'!$G:$G,'transaction details'!$H:$H,'Budget Detail-Own 2015'!D$2,'transaction details'!$D:$D,'Budget Detail-Own 2015'!$A47,'transaction details'!$G:$G,"&gt;0")</f>
        <v>5885.5599999999995</v>
      </c>
      <c r="F47" s="42">
        <f>SUMIFS('transaction details'!$G:$G,'transaction details'!$H:$H,'Budget Detail-Own 2015'!F$2,'transaction details'!$D:$D,'Budget Detail-Own 2015'!$A47,'transaction details'!$G:$G,"&gt;0")</f>
        <v>28869.78</v>
      </c>
      <c r="H47" s="42">
        <f>SUMIFS('transaction details'!$G:$G,'transaction details'!$H:$H,'Budget Detail-Own 2015'!H$2,'transaction details'!$D:$D,'Budget Detail-Own 2015'!$A47,'transaction details'!$G:$G,"&gt;0")</f>
        <v>5506.67</v>
      </c>
      <c r="I47" s="42"/>
      <c r="J47" s="42">
        <f>SUMIFS('transaction details'!$G:$G,'transaction details'!$H:$H,'Budget Detail-Own 2015'!J$2,'transaction details'!$D:$D,'Budget Detail-Own 2015'!$A47,'transaction details'!$G:$G,"&gt;0")</f>
        <v>5523.55</v>
      </c>
      <c r="L47" s="42">
        <f>SUMIFS('transaction details'!$G:$G,'transaction details'!$H:$H,'Budget Detail-Own 2015'!L$2,'transaction details'!$D:$D,'Budget Detail-Own 2015'!$A47,'transaction details'!$G:$G,"&gt;0")</f>
        <v>5507.3899999999994</v>
      </c>
      <c r="N47" s="42">
        <f>SUMIFS('transaction details'!$G:$G,'transaction details'!$H:$H,'Budget Detail-Own 2015'!N$2,'transaction details'!$D:$D,'Budget Detail-Own 2015'!$A47,'transaction details'!$G:$G,"&gt;0")</f>
        <v>5550.49</v>
      </c>
      <c r="O47" s="42"/>
      <c r="P47" s="42">
        <f>SUMIFS('transaction details'!$G:$G,'transaction details'!$H:$H,'Budget Detail-Own 2015'!P$2,'transaction details'!$D:$D,'Budget Detail-Own 2015'!$A47,'transaction details'!$G:$G,"&gt;0")</f>
        <v>6190.9</v>
      </c>
      <c r="R47" s="42">
        <f>SUMIFS('transaction details'!$G:$G,'transaction details'!$H:$H,'Budget Detail-Own 2015'!R$2,'transaction details'!$D:$D,'Budget Detail-Own 2015'!$A47,'transaction details'!$G:$G,"&gt;0")</f>
        <v>6611.46</v>
      </c>
      <c r="S47" s="42"/>
      <c r="T47" s="42">
        <f>SUMIFS('transaction details'!$G:$G,'transaction details'!$H:$H,'Budget Detail-Own 2015'!T$2,'transaction details'!$D:$D,'Budget Detail-Own 2015'!$A47,'transaction details'!$G:$G,"&gt;0")</f>
        <v>6559.23</v>
      </c>
      <c r="U47" s="42"/>
      <c r="V47" s="42">
        <f>SUMIFS('transaction details'!$G:$G,'transaction details'!$H:$H,'Budget Detail-Own 2015'!V$2,'transaction details'!$D:$D,'Budget Detail-Own 2015'!$A47,'transaction details'!$G:$G,"&gt;0")</f>
        <v>6649.88</v>
      </c>
      <c r="W47" s="42"/>
      <c r="X47" s="42">
        <f>SUMIFS('transaction details'!$G:$G,'transaction details'!$H:$H,'Budget Detail-Own 2015'!X$2,'transaction details'!$D:$D,'Budget Detail-Own 2015'!$A47,'transaction details'!$G:$G,"&gt;0")</f>
        <v>6562.21</v>
      </c>
      <c r="Y47" s="42"/>
      <c r="Z47" s="42">
        <f>SUMIFS('transaction details'!$G:$G,'transaction details'!$H:$H,'Budget Detail-Own 2015'!Z$2,'transaction details'!$D:$D,'Budget Detail-Own 2015'!$A47,'transaction details'!$G:$G,"&gt;0")</f>
        <v>6697.17</v>
      </c>
      <c r="AA47" s="42"/>
    </row>
    <row r="48" spans="1:27" x14ac:dyDescent="0.25">
      <c r="A48" t="s">
        <v>116</v>
      </c>
      <c r="B48">
        <f>SUM(D48:BB48)</f>
        <v>0</v>
      </c>
      <c r="H48" s="42"/>
      <c r="I48" s="42"/>
      <c r="L48" s="42"/>
      <c r="N48" s="42"/>
      <c r="O48" s="42"/>
      <c r="P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x14ac:dyDescent="0.25">
      <c r="A49" t="s">
        <v>117</v>
      </c>
      <c r="B49" s="30">
        <f>SUM(D49:BB49)</f>
        <v>0</v>
      </c>
      <c r="H49" s="42"/>
      <c r="I49" s="42"/>
      <c r="L49" s="42"/>
      <c r="N49" s="42"/>
      <c r="O49" s="42"/>
      <c r="P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x14ac:dyDescent="0.25">
      <c r="A50" t="s">
        <v>133</v>
      </c>
      <c r="B50">
        <f>SUM(D50:BB50)</f>
        <v>0</v>
      </c>
      <c r="H50" s="42"/>
      <c r="I50" s="42"/>
      <c r="L50" s="42"/>
      <c r="N50" s="42"/>
      <c r="O50" s="42"/>
      <c r="P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s="42" customFormat="1" x14ac:dyDescent="0.25">
      <c r="A51" s="42" t="s">
        <v>1050</v>
      </c>
    </row>
    <row r="52" spans="1:27" x14ac:dyDescent="0.25">
      <c r="A52" t="s">
        <v>162</v>
      </c>
      <c r="B52">
        <f>SUM(D52:BB52)</f>
        <v>0</v>
      </c>
      <c r="H52" s="42"/>
      <c r="I52" s="42"/>
      <c r="L52" s="42"/>
      <c r="N52" s="42"/>
      <c r="O52" s="42"/>
      <c r="P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x14ac:dyDescent="0.25">
      <c r="A53" t="s">
        <v>173</v>
      </c>
      <c r="B53">
        <f>SUM(D53:BB53)</f>
        <v>0</v>
      </c>
      <c r="H53" s="42"/>
      <c r="I53" s="42"/>
      <c r="L53" s="42"/>
      <c r="N53" s="42"/>
      <c r="O53" s="42"/>
      <c r="P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x14ac:dyDescent="0.25">
      <c r="A54" t="s">
        <v>184</v>
      </c>
      <c r="H54" s="42"/>
      <c r="I54" s="42"/>
      <c r="L54" s="42"/>
      <c r="N54" s="42"/>
      <c r="O54" s="42"/>
      <c r="P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x14ac:dyDescent="0.25">
      <c r="A55" t="s">
        <v>242</v>
      </c>
      <c r="B55" t="s">
        <v>301</v>
      </c>
      <c r="D55">
        <f>SUMIFS('transaction details'!$G:$G,'transaction details'!$H:$H,'Budget Detail-Own 2015'!D$2,'transaction details'!$D:$D,'Budget Detail-Own 2015'!$A55,'transaction details'!$G:$G,"&lt;0")</f>
        <v>-3084.46</v>
      </c>
      <c r="F55" s="42">
        <f>SUMIFS('transaction details'!$G:$G,'transaction details'!$H:$H,'Budget Detail-Own 2015'!F$2,'transaction details'!$D:$D,'Budget Detail-Own 2015'!$A55,'transaction details'!$G:$G,"&lt;0")</f>
        <v>-11289.93</v>
      </c>
      <c r="H55" s="42">
        <f>SUMIFS('transaction details'!$G:$G,'transaction details'!$H:$H,'Budget Detail-Own 2015'!H$2,'transaction details'!$D:$D,'Budget Detail-Own 2015'!$A55,'transaction details'!$G:$G,"&lt;0")</f>
        <v>0</v>
      </c>
      <c r="I55" s="42"/>
      <c r="J55" s="42">
        <f>SUMIFS('transaction details'!$G:$G,'transaction details'!$H:$H,'Budget Detail-Own 2015'!J$2,'transaction details'!$D:$D,'Budget Detail-Own 2015'!$A55,'transaction details'!$G:$G,"&lt;0")</f>
        <v>-9583.06</v>
      </c>
      <c r="L55" s="42">
        <f>SUMIFS('transaction details'!$G:$G,'transaction details'!$H:$H,'Budget Detail-Own 2015'!L$2,'transaction details'!$D:$D,'Budget Detail-Own 2015'!$A55,'transaction details'!$G:$G,"&lt;0")</f>
        <v>-7234.04</v>
      </c>
      <c r="N55" s="42">
        <f>SUMIFS('transaction details'!$G:$G,'transaction details'!$H:$H,'Budget Detail-Own 2015'!N$2,'transaction details'!$D:$D,'Budget Detail-Own 2015'!$A55,'transaction details'!$G:$G,"&lt;0")</f>
        <v>-547.36</v>
      </c>
      <c r="O55" s="42"/>
      <c r="P55" s="42">
        <f>SUMIFS('transaction details'!$G:$G,'transaction details'!$H:$H,'Budget Detail-Own 2015'!P$2,'transaction details'!$D:$D,'Budget Detail-Own 2015'!$A55,'transaction details'!$G:$G,"&lt;0")</f>
        <v>-7004.05</v>
      </c>
      <c r="R55" s="42">
        <f>SUMIFS('transaction details'!$G:$G,'transaction details'!$H:$H,'Budget Detail-Own 2015'!R$2,'transaction details'!$D:$D,'Budget Detail-Own 2015'!$A55,'transaction details'!$G:$G,"&lt;0")</f>
        <v>-8694.94</v>
      </c>
      <c r="S55" s="42"/>
      <c r="T55" s="42">
        <f>SUMIFS('transaction details'!$G:$G,'transaction details'!$H:$H,'Budget Detail-Own 2015'!T$2,'transaction details'!$D:$D,'Budget Detail-Own 2015'!$A55,'transaction details'!$G:$G,"&lt;0")</f>
        <v>-5405.8</v>
      </c>
      <c r="U55" s="42"/>
      <c r="V55" s="42">
        <f>SUMIFS('transaction details'!$G:$G,'transaction details'!$H:$H,'Budget Detail-Own 2015'!V$2,'transaction details'!$D:$D,'Budget Detail-Own 2015'!$A55,'transaction details'!$G:$G,"&lt;0")</f>
        <v>-1853.84</v>
      </c>
      <c r="W55" s="42"/>
      <c r="X55" s="42">
        <f>SUMIFS('transaction details'!$G:$G,'transaction details'!$H:$H,'Budget Detail-Own 2015'!X$2,'transaction details'!$D:$D,'Budget Detail-Own 2015'!$A55,'transaction details'!$G:$G,"&lt;0")</f>
        <v>-3595.51</v>
      </c>
      <c r="Y55" s="42"/>
      <c r="Z55" s="42">
        <f>SUMIFS('transaction details'!$G:$G,'transaction details'!$H:$H,'Budget Detail-Own 2015'!Z$2,'transaction details'!$D:$D,'Budget Detail-Own 2015'!$A55,'transaction details'!$G:$G,"&lt;0")</f>
        <v>-4352.8999999999996</v>
      </c>
      <c r="AA55" s="42"/>
    </row>
    <row r="56" spans="1:27" x14ac:dyDescent="0.25">
      <c r="A56" t="s">
        <v>242</v>
      </c>
      <c r="B56" t="s">
        <v>302</v>
      </c>
      <c r="D56">
        <f>SUMIFS('transaction details'!$G:$G,'transaction details'!$H:$H,'Budget Detail-Own 2015'!D$2,'transaction details'!$D:$D,'Budget Detail-Own 2015'!$A56,'transaction details'!$G:$G,"&gt;0")</f>
        <v>3084.46</v>
      </c>
      <c r="F56" s="42">
        <f>SUMIFS('transaction details'!$G:$G,'transaction details'!$H:$H,'Budget Detail-Own 2015'!F$2,'transaction details'!$D:$D,'Budget Detail-Own 2015'!$A56,'transaction details'!$G:$G,"&gt;0")</f>
        <v>11289.93</v>
      </c>
      <c r="H56" s="42">
        <f>SUMIFS('transaction details'!$G:$G,'transaction details'!$H:$H,'Budget Detail-Own 2015'!H$2,'transaction details'!$D:$D,'Budget Detail-Own 2015'!$A56,'transaction details'!$G:$G,"&gt;0")</f>
        <v>0</v>
      </c>
      <c r="I56" s="42"/>
      <c r="J56" s="42">
        <f>SUMIFS('transaction details'!$G:$G,'transaction details'!$H:$H,'Budget Detail-Own 2015'!J$2,'transaction details'!$D:$D,'Budget Detail-Own 2015'!$A56,'transaction details'!$G:$G,"&gt;0")</f>
        <v>9583.06</v>
      </c>
      <c r="L56" s="42">
        <f>SUMIFS('transaction details'!$G:$G,'transaction details'!$H:$H,'Budget Detail-Own 2015'!L$2,'transaction details'!$D:$D,'Budget Detail-Own 2015'!$A56,'transaction details'!$G:$G,"&gt;0")</f>
        <v>7234.04</v>
      </c>
      <c r="N56" s="42">
        <f>SUMIFS('transaction details'!$G:$G,'transaction details'!$H:$H,'Budget Detail-Own 2015'!N$2,'transaction details'!$D:$D,'Budget Detail-Own 2015'!$A56,'transaction details'!$G:$G,"&gt;0")</f>
        <v>547.36</v>
      </c>
      <c r="O56" s="42"/>
      <c r="P56" s="42">
        <f>SUMIFS('transaction details'!$G:$G,'transaction details'!$H:$H,'Budget Detail-Own 2015'!P$2,'transaction details'!$D:$D,'Budget Detail-Own 2015'!$A56,'transaction details'!$G:$G,"&gt;0")</f>
        <v>7004.05</v>
      </c>
      <c r="R56" s="42">
        <f>SUMIFS('transaction details'!$G:$G,'transaction details'!$H:$H,'Budget Detail-Own 2015'!R$2,'transaction details'!$D:$D,'Budget Detail-Own 2015'!$A56,'transaction details'!$G:$G,"&gt;0")</f>
        <v>8694.94</v>
      </c>
      <c r="S56" s="42"/>
      <c r="T56" s="42">
        <f>SUMIFS('transaction details'!$G:$G,'transaction details'!$H:$H,'Budget Detail-Own 2015'!T$2,'transaction details'!$D:$D,'Budget Detail-Own 2015'!$A56,'transaction details'!$G:$G,"&gt;0")</f>
        <v>5405.8</v>
      </c>
      <c r="U56" s="42"/>
      <c r="V56" s="42">
        <f>SUMIFS('transaction details'!$G:$G,'transaction details'!$H:$H,'Budget Detail-Own 2015'!V$2,'transaction details'!$D:$D,'Budget Detail-Own 2015'!$A56,'transaction details'!$G:$G,"&gt;0")</f>
        <v>1853.84</v>
      </c>
      <c r="W56" s="42"/>
      <c r="X56" s="42">
        <f>SUMIFS('transaction details'!$G:$G,'transaction details'!$H:$H,'Budget Detail-Own 2015'!X$2,'transaction details'!$D:$D,'Budget Detail-Own 2015'!$A56,'transaction details'!$G:$G,"&gt;0")</f>
        <v>3595.51</v>
      </c>
      <c r="Y56" s="42"/>
      <c r="Z56" s="42">
        <f>SUMIFS('transaction details'!$G:$G,'transaction details'!$H:$H,'Budget Detail-Own 2015'!Z$2,'transaction details'!$D:$D,'Budget Detail-Own 2015'!$A56,'transaction details'!$G:$G,"&gt;0")</f>
        <v>4352.8999999999996</v>
      </c>
      <c r="AA56" s="42"/>
    </row>
    <row r="57" spans="1:27" x14ac:dyDescent="0.25">
      <c r="A57" t="s">
        <v>226</v>
      </c>
      <c r="B57" t="s">
        <v>301</v>
      </c>
      <c r="D57">
        <f>SUMIFS('transaction details'!$G:$G,'transaction details'!$H:$H,'Budget Detail-Own 2015'!D$2,'transaction details'!$D:$D,'Budget Detail-Own 2015'!$A57,'transaction details'!$G:$G,"&lt;0")</f>
        <v>-7256.56</v>
      </c>
      <c r="F57" s="42">
        <f>SUMIFS('transaction details'!$G:$G,'transaction details'!$H:$H,'Budget Detail-Own 2015'!F$2,'transaction details'!$D:$D,'Budget Detail-Own 2015'!$A57,'transaction details'!$G:$G,"&lt;0")</f>
        <v>-160000.9</v>
      </c>
      <c r="H57" s="42">
        <f>SUMIFS('transaction details'!$G:$G,'transaction details'!$H:$H,'Budget Detail-Own 2015'!H$2,'transaction details'!$D:$D,'Budget Detail-Own 2015'!$A57,'transaction details'!$G:$G,"&lt;0")</f>
        <v>0</v>
      </c>
      <c r="I57" s="42"/>
      <c r="J57" s="42">
        <f>SUMIFS('transaction details'!$G:$G,'transaction details'!$H:$H,'Budget Detail-Own 2015'!J$2,'transaction details'!$D:$D,'Budget Detail-Own 2015'!$A57,'transaction details'!$G:$G,"&lt;0")</f>
        <v>-0.65</v>
      </c>
      <c r="L57" s="42">
        <f>SUMIFS('transaction details'!$G:$G,'transaction details'!$H:$H,'Budget Detail-Own 2015'!L$2,'transaction details'!$D:$D,'Budget Detail-Own 2015'!$A57,'transaction details'!$G:$G,"&lt;0")</f>
        <v>0</v>
      </c>
      <c r="N57" s="42">
        <f>SUMIFS('transaction details'!$G:$G,'transaction details'!$H:$H,'Budget Detail-Own 2015'!N$2,'transaction details'!$D:$D,'Budget Detail-Own 2015'!$A57,'transaction details'!$G:$G,"&lt;0")</f>
        <v>-0.85</v>
      </c>
      <c r="O57" s="42"/>
      <c r="P57" s="42">
        <f>SUMIFS('transaction details'!$G:$G,'transaction details'!$H:$H,'Budget Detail-Own 2015'!P$2,'transaction details'!$D:$D,'Budget Detail-Own 2015'!$A57,'transaction details'!$G:$G,"&lt;0")</f>
        <v>-10000.9</v>
      </c>
      <c r="R57" s="42">
        <f>SUMIFS('transaction details'!$G:$G,'transaction details'!$H:$H,'Budget Detail-Own 2015'!R$2,'transaction details'!$D:$D,'Budget Detail-Own 2015'!$A57,'transaction details'!$G:$G,"&lt;0")</f>
        <v>-0.4</v>
      </c>
      <c r="S57" s="42"/>
      <c r="T57" s="42">
        <f>SUMIFS('transaction details'!$G:$G,'transaction details'!$H:$H,'Budget Detail-Own 2015'!T$2,'transaction details'!$D:$D,'Budget Detail-Own 2015'!$A57,'transaction details'!$G:$G,"&lt;0")</f>
        <v>0</v>
      </c>
      <c r="U57" s="42"/>
      <c r="V57" s="42">
        <f>SUMIFS('transaction details'!$G:$G,'transaction details'!$H:$H,'Budget Detail-Own 2015'!V$2,'transaction details'!$D:$D,'Budget Detail-Own 2015'!$A57,'transaction details'!$G:$G,"&lt;0")</f>
        <v>-35204.870000000003</v>
      </c>
      <c r="W57" s="42"/>
      <c r="X57" s="42">
        <f>SUMIFS('transaction details'!$G:$G,'transaction details'!$H:$H,'Budget Detail-Own 2015'!X$2,'transaction details'!$D:$D,'Budget Detail-Own 2015'!$A57,'transaction details'!$G:$G,"&lt;0")</f>
        <v>0</v>
      </c>
      <c r="Y57" s="42"/>
      <c r="Z57" s="42">
        <f>SUMIFS('transaction details'!$G:$G,'transaction details'!$H:$H,'Budget Detail-Own 2015'!Z$2,'transaction details'!$D:$D,'Budget Detail-Own 2015'!$A57,'transaction details'!$G:$G,"&lt;0")</f>
        <v>-0.25</v>
      </c>
      <c r="AA57" s="42"/>
    </row>
    <row r="58" spans="1:27" x14ac:dyDescent="0.25">
      <c r="A58" t="s">
        <v>226</v>
      </c>
      <c r="B58" t="s">
        <v>302</v>
      </c>
      <c r="D58">
        <f>SUMIFS('transaction details'!$G:$G,'transaction details'!$H:$H,'Budget Detail-Own 2015'!D$2,'transaction details'!$D:$D,'Budget Detail-Own 2015'!$A58,'transaction details'!$G:$G,"&gt;0")</f>
        <v>15600</v>
      </c>
      <c r="F58" s="42">
        <f>SUMIFS('transaction details'!$G:$G,'transaction details'!$H:$H,'Budget Detail-Own 2015'!F$2,'transaction details'!$D:$D,'Budget Detail-Own 2015'!$A58,'transaction details'!$G:$G,"&lt;0")</f>
        <v>-160000.9</v>
      </c>
      <c r="H58" s="42">
        <f>SUMIFS('transaction details'!$G:$G,'transaction details'!$H:$H,'Budget Detail-Own 2015'!H$2,'transaction details'!$D:$D,'Budget Detail-Own 2015'!$A58,'transaction details'!$G:$G,"&lt;0")</f>
        <v>0</v>
      </c>
      <c r="I58" s="42"/>
      <c r="J58" s="42">
        <f>SUMIFS('transaction details'!$G:$G,'transaction details'!$H:$H,'Budget Detail-Own 2015'!J$2,'transaction details'!$D:$D,'Budget Detail-Own 2015'!$A58,'transaction details'!$G:$G,"&lt;0")</f>
        <v>-0.65</v>
      </c>
      <c r="L58" s="42">
        <f>SUMIFS('transaction details'!$G:$G,'transaction details'!$H:$H,'Budget Detail-Own 2015'!L$2,'transaction details'!$D:$D,'Budget Detail-Own 2015'!$A58,'transaction details'!$G:$G,"&lt;0")</f>
        <v>0</v>
      </c>
      <c r="N58" s="42">
        <f>SUMIFS('transaction details'!$G:$G,'transaction details'!$H:$H,'Budget Detail-Own 2015'!N$2,'transaction details'!$D:$D,'Budget Detail-Own 2015'!$A58,'transaction details'!$G:$G,"&lt;0")</f>
        <v>-0.85</v>
      </c>
      <c r="O58" s="42"/>
      <c r="P58" s="42">
        <f>SUMIFS('transaction details'!$G:$G,'transaction details'!$H:$H,'Budget Detail-Own 2015'!P$2,'transaction details'!$D:$D,'Budget Detail-Own 2015'!$A58,'transaction details'!$G:$G,"&lt;0")</f>
        <v>-10000.9</v>
      </c>
      <c r="R58" s="42">
        <f>SUMIFS('transaction details'!$G:$G,'transaction details'!$H:$H,'Budget Detail-Own 2015'!R$2,'transaction details'!$D:$D,'Budget Detail-Own 2015'!$A58,'transaction details'!$G:$G,"&lt;0")</f>
        <v>-0.4</v>
      </c>
      <c r="S58" s="42"/>
      <c r="T58" s="42">
        <f>SUMIFS('transaction details'!$G:$G,'transaction details'!$H:$H,'Budget Detail-Own 2015'!T$2,'transaction details'!$D:$D,'Budget Detail-Own 2015'!$A58,'transaction details'!$G:$G,"&lt;0")</f>
        <v>0</v>
      </c>
      <c r="U58" s="42"/>
      <c r="V58" s="42">
        <f>SUMIFS('transaction details'!$G:$G,'transaction details'!$H:$H,'Budget Detail-Own 2015'!V$2,'transaction details'!$D:$D,'Budget Detail-Own 2015'!$A58,'transaction details'!$G:$G,"&lt;0")</f>
        <v>-35204.870000000003</v>
      </c>
      <c r="W58" s="42"/>
      <c r="X58" s="42">
        <f>SUMIFS('transaction details'!$G:$G,'transaction details'!$H:$H,'Budget Detail-Own 2015'!X$2,'transaction details'!$D:$D,'Budget Detail-Own 2015'!$A58,'transaction details'!$G:$G,"&lt;0")</f>
        <v>0</v>
      </c>
      <c r="Y58" s="42"/>
      <c r="Z58" s="42">
        <f>SUMIFS('transaction details'!$G:$G,'transaction details'!$H:$H,'Budget Detail-Own 2015'!Z$2,'transaction details'!$D:$D,'Budget Detail-Own 2015'!$A58,'transaction details'!$G:$G,"&lt;0")</f>
        <v>-0.25</v>
      </c>
      <c r="AA58" s="42"/>
    </row>
    <row r="59" spans="1:27" x14ac:dyDescent="0.25">
      <c r="A59" t="s">
        <v>263</v>
      </c>
      <c r="D59">
        <f>SUMIFS('transaction details'!$G:$G,'transaction details'!$H:$H,'Budget Detail-Own 2015'!D$2,'transaction details'!$D:$D,'Budget Detail-Own 2015'!$A59,'transaction details'!$G:$G,"&gt;0")</f>
        <v>718.75</v>
      </c>
      <c r="F59" s="42">
        <f>SUMIFS('transaction details'!$G:$G,'transaction details'!$H:$H,'Budget Detail-Own 2015'!F$2,'transaction details'!$D:$D,'Budget Detail-Own 2015'!$A59,'transaction details'!$G:$G,"&gt;0")</f>
        <v>16893.169999999998</v>
      </c>
      <c r="H59" s="42">
        <f>SUMIFS('transaction details'!$G:$G,'transaction details'!$H:$H,'Budget Detail-Own 2015'!H$2,'transaction details'!$D:$D,'Budget Detail-Own 2015'!$A59,'transaction details'!$G:$G,"&gt;0")</f>
        <v>1462.5</v>
      </c>
      <c r="I59" s="42"/>
      <c r="J59" s="42">
        <f>SUMIFS('transaction details'!$G:$G,'transaction details'!$H:$H,'Budget Detail-Own 2015'!J$2,'transaction details'!$D:$D,'Budget Detail-Own 2015'!$A59,'transaction details'!$G:$G,"&gt;0")</f>
        <v>1462.5</v>
      </c>
      <c r="L59" s="42">
        <f>SUMIFS('transaction details'!$G:$G,'transaction details'!$H:$H,'Budget Detail-Own 2015'!L$2,'transaction details'!$D:$D,'Budget Detail-Own 2015'!$A59,'transaction details'!$G:$G,"&gt;0")</f>
        <v>1462.5</v>
      </c>
      <c r="N59" s="42">
        <f>SUMIFS('transaction details'!$G:$G,'transaction details'!$H:$H,'Budget Detail-Own 2015'!N$2,'transaction details'!$D:$D,'Budget Detail-Own 2015'!$A59,'transaction details'!$G:$G,"&gt;0")</f>
        <v>1462.5</v>
      </c>
      <c r="O59" s="42"/>
      <c r="P59" s="42">
        <f>SUMIFS('transaction details'!$G:$G,'transaction details'!$H:$H,'Budget Detail-Own 2015'!P$2,'transaction details'!$D:$D,'Budget Detail-Own 2015'!$A59,'transaction details'!$G:$G,"&gt;0")</f>
        <v>1462.5</v>
      </c>
      <c r="R59" s="42">
        <f>SUMIFS('transaction details'!$G:$G,'transaction details'!$H:$H,'Budget Detail-Own 2015'!R$2,'transaction details'!$D:$D,'Budget Detail-Own 2015'!$A59,'transaction details'!$G:$G,"&gt;0")</f>
        <v>1440.1599999999999</v>
      </c>
      <c r="S59" s="42"/>
      <c r="T59" s="42">
        <f>SUMIFS('transaction details'!$G:$G,'transaction details'!$H:$H,'Budget Detail-Own 2015'!T$2,'transaction details'!$D:$D,'Budget Detail-Own 2015'!$A59,'transaction details'!$G:$G,"&gt;0")</f>
        <v>1072.5</v>
      </c>
      <c r="U59" s="42"/>
      <c r="V59" s="42">
        <f>SUMIFS('transaction details'!$G:$G,'transaction details'!$H:$H,'Budget Detail-Own 2015'!V$2,'transaction details'!$D:$D,'Budget Detail-Own 2015'!$A59,'transaction details'!$G:$G,"&gt;0")</f>
        <v>1084.1600000000001</v>
      </c>
      <c r="W59" s="42"/>
      <c r="X59" s="42">
        <f>SUMIFS('transaction details'!$G:$G,'transaction details'!$H:$H,'Budget Detail-Own 2015'!X$2,'transaction details'!$D:$D,'Budget Detail-Own 2015'!$A59,'transaction details'!$G:$G,"&gt;0")</f>
        <v>1072.5</v>
      </c>
      <c r="Y59" s="42"/>
      <c r="Z59" s="42">
        <f>SUMIFS('transaction details'!$G:$G,'transaction details'!$H:$H,'Budget Detail-Own 2015'!Z$2,'transaction details'!$D:$D,'Budget Detail-Own 2015'!$A59,'transaction details'!$G:$G,"&gt;0")</f>
        <v>1497.09</v>
      </c>
      <c r="AA59" s="42"/>
    </row>
    <row r="60" spans="1:27" x14ac:dyDescent="0.25">
      <c r="A60" t="s">
        <v>365</v>
      </c>
      <c r="D60">
        <f>SUMIFS('transaction details'!$G:$G,'transaction details'!$H:$H,'Budget Detail-Own 2015'!D$2,'transaction details'!$D:$D,'Budget Detail-Own 2015'!$A60,'transaction details'!$G:$G,"&lt;0")</f>
        <v>0</v>
      </c>
      <c r="F60" s="42">
        <f>SUMIFS('transaction details'!$G:$G,'transaction details'!$H:$H,'Budget Detail-Own 2015'!F$2,'transaction details'!$D:$D,'Budget Detail-Own 2015'!$A60,'transaction details'!$G:$G,"&lt;0")</f>
        <v>0</v>
      </c>
      <c r="H60" s="42">
        <f>SUMIFS('transaction details'!$G:$G,'transaction details'!$H:$H,'Budget Detail-Own 2015'!H$2,'transaction details'!$D:$D,'Budget Detail-Own 2015'!$A60,'transaction details'!$G:$G,"&lt;0")</f>
        <v>0</v>
      </c>
      <c r="I60" s="42"/>
      <c r="J60" s="42">
        <f>SUMIFS('transaction details'!$G:$G,'transaction details'!$H:$H,'Budget Detail-Own 2015'!J$2,'transaction details'!$D:$D,'Budget Detail-Own 2015'!$A60,'transaction details'!$G:$G,"&lt;0")</f>
        <v>-4500</v>
      </c>
      <c r="L60" s="42">
        <f>SUMIFS('transaction details'!$G:$G,'transaction details'!$H:$H,'Budget Detail-Own 2015'!L$2,'transaction details'!$D:$D,'Budget Detail-Own 2015'!$A60,'transaction details'!$G:$G,"&lt;0")</f>
        <v>0</v>
      </c>
      <c r="N60" s="42">
        <f>SUMIFS('transaction details'!$G:$G,'transaction details'!$H:$H,'Budget Detail-Own 2015'!N$2,'transaction details'!$D:$D,'Budget Detail-Own 2015'!$A60,'transaction details'!$G:$G,"&lt;0")</f>
        <v>0</v>
      </c>
      <c r="O60" s="42"/>
      <c r="P60" s="42">
        <f>SUMIFS('transaction details'!$G:$G,'transaction details'!$H:$H,'Budget Detail-Own 2015'!P$2,'transaction details'!$D:$D,'Budget Detail-Own 2015'!$A60,'transaction details'!$G:$G,"&lt;0")</f>
        <v>0</v>
      </c>
      <c r="R60" s="42">
        <f>SUMIFS('transaction details'!$G:$G,'transaction details'!$H:$H,'Budget Detail-Own 2015'!R$2,'transaction details'!$D:$D,'Budget Detail-Own 2015'!$A60,'transaction details'!$G:$G,"&lt;0")</f>
        <v>0</v>
      </c>
      <c r="S60" s="42"/>
      <c r="T60" s="42">
        <f>SUMIFS('transaction details'!$G:$G,'transaction details'!$H:$H,'Budget Detail-Own 2015'!T$2,'transaction details'!$D:$D,'Budget Detail-Own 2015'!$A60,'transaction details'!$G:$G,"&lt;0")</f>
        <v>0</v>
      </c>
      <c r="U60" s="42"/>
      <c r="V60" s="42">
        <f>SUMIFS('transaction details'!$G:$G,'transaction details'!$H:$H,'Budget Detail-Own 2015'!V$2,'transaction details'!$D:$D,'Budget Detail-Own 2015'!$A60,'transaction details'!$G:$G,"&lt;0")</f>
        <v>0</v>
      </c>
      <c r="W60" s="42"/>
      <c r="X60" s="42">
        <f>SUMIFS('transaction details'!$G:$G,'transaction details'!$H:$H,'Budget Detail-Own 2015'!X$2,'transaction details'!$D:$D,'Budget Detail-Own 2015'!$A60,'transaction details'!$G:$G,"&lt;0")</f>
        <v>0</v>
      </c>
      <c r="Y60" s="42"/>
      <c r="Z60" s="42">
        <f>SUMIFS('transaction details'!$G:$G,'transaction details'!$H:$H,'Budget Detail-Own 2015'!Z$2,'transaction details'!$D:$D,'Budget Detail-Own 2015'!$A60,'transaction details'!$G:$G,"&lt;0")</f>
        <v>0</v>
      </c>
      <c r="AA60" s="42"/>
    </row>
  </sheetData>
  <autoFilter ref="A2:C2">
    <sortState ref="A3:K28">
      <sortCondition ref="A2"/>
    </sortState>
  </autoFilter>
  <mergeCells count="1">
    <mergeCell ref="A39:C39"/>
  </mergeCells>
  <phoneticPr fontId="32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1"/>
  <sheetViews>
    <sheetView tabSelected="1" zoomScaleNormal="100" zoomScalePageLayoutView="130" workbookViewId="0">
      <pane xSplit="3" ySplit="2" topLeftCell="N17" activePane="bottomRight" state="frozen"/>
      <selection pane="topRight" activeCell="D1" sqref="D1"/>
      <selection pane="bottomLeft" activeCell="A3" sqref="A3"/>
      <selection pane="bottomRight" activeCell="X24" sqref="X24"/>
    </sheetView>
  </sheetViews>
  <sheetFormatPr defaultColWidth="8.85546875" defaultRowHeight="15.75" x14ac:dyDescent="0.25"/>
  <cols>
    <col min="1" max="1" width="19.7109375" style="46" bestFit="1" customWidth="1"/>
    <col min="2" max="2" width="15.28515625" style="46" customWidth="1"/>
    <col min="3" max="3" width="9.42578125" style="46" customWidth="1"/>
    <col min="4" max="4" width="11.42578125" style="46" customWidth="1"/>
    <col min="5" max="5" width="11.7109375" style="46" customWidth="1"/>
    <col min="6" max="6" width="12.140625" style="46" customWidth="1"/>
    <col min="7" max="7" width="10.42578125" style="46" customWidth="1"/>
    <col min="8" max="8" width="9.85546875" style="46" bestFit="1" customWidth="1"/>
    <col min="9" max="9" width="13.42578125" style="46" customWidth="1"/>
    <col min="10" max="10" width="12.42578125" style="46" customWidth="1"/>
    <col min="11" max="11" width="9.140625" style="46" customWidth="1"/>
    <col min="12" max="12" width="12.140625" style="46" customWidth="1"/>
    <col min="13" max="13" width="9.85546875" style="46" bestFit="1" customWidth="1"/>
    <col min="14" max="14" width="10.42578125" style="46" customWidth="1"/>
    <col min="15" max="15" width="8.85546875" style="46"/>
    <col min="16" max="16" width="11.42578125" style="46" customWidth="1"/>
    <col min="17" max="17" width="12.42578125" style="46" customWidth="1"/>
    <col min="18" max="18" width="12.140625" style="46" customWidth="1"/>
    <col min="19" max="19" width="8.85546875" style="46"/>
    <col min="20" max="20" width="13.28515625" style="46" customWidth="1"/>
    <col min="21" max="21" width="11.28515625" style="46" customWidth="1"/>
    <col min="22" max="22" width="11.85546875" style="46" customWidth="1"/>
    <col min="23" max="23" width="11.28515625" style="46" customWidth="1"/>
    <col min="24" max="24" width="10.85546875" style="46" customWidth="1"/>
    <col min="25" max="26" width="8.85546875" style="46"/>
    <col min="27" max="27" width="11.140625" style="46" customWidth="1"/>
    <col min="28" max="16384" width="8.85546875" style="46"/>
  </cols>
  <sheetData>
    <row r="1" spans="1:27" x14ac:dyDescent="0.25">
      <c r="A1" s="47"/>
      <c r="B1" s="28"/>
      <c r="C1" s="47"/>
    </row>
    <row r="2" spans="1:27" ht="47.25" x14ac:dyDescent="0.25">
      <c r="A2" s="46" t="s">
        <v>113</v>
      </c>
      <c r="B2" s="2" t="s">
        <v>617</v>
      </c>
      <c r="C2" s="46" t="s">
        <v>91</v>
      </c>
      <c r="D2" s="41">
        <v>201601</v>
      </c>
      <c r="E2" s="41" t="s">
        <v>93</v>
      </c>
      <c r="F2" s="41">
        <f>D2+1</f>
        <v>201602</v>
      </c>
      <c r="G2" s="41" t="s">
        <v>93</v>
      </c>
      <c r="H2" s="41">
        <f>F2+1</f>
        <v>201603</v>
      </c>
      <c r="I2" s="41" t="s">
        <v>93</v>
      </c>
      <c r="J2" s="41">
        <f>H2+1</f>
        <v>201604</v>
      </c>
      <c r="K2" s="41" t="s">
        <v>93</v>
      </c>
      <c r="L2" s="41">
        <f>J2+1</f>
        <v>201605</v>
      </c>
      <c r="M2" s="41" t="s">
        <v>93</v>
      </c>
      <c r="N2" s="41">
        <f>L2+1</f>
        <v>201606</v>
      </c>
      <c r="O2" s="41" t="s">
        <v>93</v>
      </c>
      <c r="P2" s="41">
        <f>N2+1</f>
        <v>201607</v>
      </c>
      <c r="Q2" s="41" t="s">
        <v>93</v>
      </c>
      <c r="R2" s="41">
        <f>P2+1</f>
        <v>201608</v>
      </c>
      <c r="S2" s="41" t="s">
        <v>93</v>
      </c>
      <c r="T2" s="41">
        <f>R2+1</f>
        <v>201609</v>
      </c>
      <c r="U2" s="41" t="s">
        <v>93</v>
      </c>
      <c r="V2" s="41">
        <f>T2+1</f>
        <v>201610</v>
      </c>
      <c r="W2" s="46" t="s">
        <v>93</v>
      </c>
      <c r="X2" s="41">
        <f>V2+1</f>
        <v>201611</v>
      </c>
      <c r="Y2" s="46" t="s">
        <v>93</v>
      </c>
      <c r="Z2" s="41">
        <f>X2+1</f>
        <v>201612</v>
      </c>
      <c r="AA2" s="46" t="s">
        <v>93</v>
      </c>
    </row>
    <row r="3" spans="1:27" x14ac:dyDescent="0.25">
      <c r="A3" s="46" t="s">
        <v>42</v>
      </c>
      <c r="B3" s="4">
        <f>E3+G3+I3+K3+M3+O3+Q3+S3+U3+W3+Y3+AA3</f>
        <v>79.67</v>
      </c>
      <c r="C3" s="46">
        <v>10</v>
      </c>
      <c r="D3" s="46">
        <f>-SUMIFS('transaction details'!$G:$G,'transaction details'!$H:$H,'Budget Detail-Own 2016'!D$2,'transaction details'!$D:$D,'Budget Detail-Own 2016'!$A3)</f>
        <v>0</v>
      </c>
      <c r="E3" s="38">
        <f>$C3-D3</f>
        <v>10</v>
      </c>
      <c r="F3" s="46">
        <f>-SUMIFS('transaction details'!$G:$G,'transaction details'!$H:$H,'Budget Detail-Own 2016'!F$2,'transaction details'!$D:$D,'Budget Detail-Own 2016'!$A3)</f>
        <v>0</v>
      </c>
      <c r="G3" s="38">
        <f>$C3-F3</f>
        <v>10</v>
      </c>
      <c r="H3" s="46">
        <f>-SUMIFS('transaction details'!$G:$G,'transaction details'!$H:$H,'Budget Detail-Own 2016'!H$2,'transaction details'!$D:$D,'Budget Detail-Own 2016'!$A3)</f>
        <v>0</v>
      </c>
      <c r="I3" s="38">
        <f>$C3-H3</f>
        <v>10</v>
      </c>
      <c r="J3" s="46">
        <f>-SUMIFS('transaction details'!$G:$G,'transaction details'!$H:$H,'Budget Detail-Own 2016'!J$2,'transaction details'!$D:$D,'Budget Detail-Own 2016'!$A3)</f>
        <v>0</v>
      </c>
      <c r="K3" s="38">
        <f t="shared" ref="K3:K39" si="0">$C3-J3</f>
        <v>10</v>
      </c>
      <c r="L3" s="46">
        <f>-SUMIFS('transaction details'!$G:$G,'transaction details'!$H:$H,'Budget Detail-Own 2016'!L$2,'transaction details'!$D:$D,'Budget Detail-Own 2016'!$A3)</f>
        <v>0</v>
      </c>
      <c r="M3" s="38">
        <f t="shared" ref="M3:O39" si="1">$C3-L3</f>
        <v>10</v>
      </c>
      <c r="N3" s="46">
        <f>-SUMIFS('transaction details'!$G:$G,'transaction details'!$H:$H,'Budget Detail-Own 2016'!N$2,'transaction details'!$D:$D,'Budget Detail-Own 2016'!$A3)</f>
        <v>0</v>
      </c>
      <c r="O3" s="38">
        <f t="shared" si="1"/>
        <v>10</v>
      </c>
      <c r="P3" s="46">
        <f>-SUMIFS('transaction details'!$G:$G,'transaction details'!$H:$H,'Budget Detail-Own 2016'!P$2,'transaction details'!$D:$D,'Budget Detail-Own 2016'!$A3)</f>
        <v>0</v>
      </c>
      <c r="Q3" s="38">
        <f t="shared" ref="Q3:Y39" si="2">$C3-P3</f>
        <v>10</v>
      </c>
      <c r="R3" s="46">
        <f>-SUMIFS('transaction details'!$G:$G,'transaction details'!$H:$H,'Budget Detail-Own 2016'!R$2,'transaction details'!$D:$D,'Budget Detail-Own 2016'!$A3)</f>
        <v>0</v>
      </c>
      <c r="S3" s="38">
        <f t="shared" si="2"/>
        <v>10</v>
      </c>
      <c r="T3" s="46">
        <f>-SUMIFS('transaction details'!$G:$G,'transaction details'!$H:$H,'Budget Detail-Own 2016'!T$2,'transaction details'!$D:$D,'Budget Detail-Own 2016'!$A3)</f>
        <v>0</v>
      </c>
      <c r="U3" s="38">
        <f t="shared" si="2"/>
        <v>10</v>
      </c>
      <c r="V3" s="46">
        <f>-SUMIFS('transaction details'!$G:$G,'transaction details'!$H:$H,'Budget Detail-Own 2016'!V$2,'transaction details'!$D:$D,'Budget Detail-Own 2016'!$A3)</f>
        <v>0</v>
      </c>
      <c r="W3" s="38">
        <f t="shared" si="2"/>
        <v>10</v>
      </c>
      <c r="X3" s="46">
        <f>-SUMIFS('transaction details'!$G:$G,'transaction details'!$H:$H,'Budget Detail-Own 2016'!X$2,'transaction details'!$D:$D,'Budget Detail-Own 2016'!$A3)</f>
        <v>30.33</v>
      </c>
      <c r="Y3" s="38">
        <f t="shared" si="2"/>
        <v>-20.329999999999998</v>
      </c>
      <c r="Z3" s="46">
        <f>-SUMIFS('transaction details'!$G:$G,'transaction details'!$H:$H,'Budget Detail-Own 2016'!Z$2,'transaction details'!$D:$D,'Budget Detail-Own 2016'!$A3)</f>
        <v>0</v>
      </c>
      <c r="AA3" s="38"/>
    </row>
    <row r="4" spans="1:27" x14ac:dyDescent="0.25">
      <c r="A4" s="46" t="s">
        <v>875</v>
      </c>
      <c r="B4" s="4">
        <f t="shared" ref="B4:B39" si="3">E4+G4+I4+K4+M4+O4+Q4+S4+U4+W4+Y4+AA4</f>
        <v>0</v>
      </c>
      <c r="C4" s="46">
        <v>0</v>
      </c>
      <c r="D4" s="46">
        <f>-SUMIFS('transaction details'!$G:$G,'transaction details'!$H:$H,'Budget Detail-Own 2016'!D$2,'transaction details'!$D:$D,'Budget Detail-Own 2016'!$A4)</f>
        <v>0</v>
      </c>
      <c r="E4" s="38">
        <f>$C4-D4</f>
        <v>0</v>
      </c>
      <c r="F4" s="46">
        <f>-SUMIFS('transaction details'!$G:$G,'transaction details'!$H:$H,'Budget Detail-Own 2016'!F$2,'transaction details'!$D:$D,'Budget Detail-Own 2016'!$A4)</f>
        <v>0</v>
      </c>
      <c r="G4" s="38">
        <f t="shared" ref="G4" si="4">$C4-F4</f>
        <v>0</v>
      </c>
      <c r="H4" s="46">
        <f>-SUMIFS('transaction details'!$G:$G,'transaction details'!$H:$H,'Budget Detail-Own 2016'!H$2,'transaction details'!$D:$D,'Budget Detail-Own 2016'!$A4)</f>
        <v>0</v>
      </c>
      <c r="I4" s="38">
        <f t="shared" ref="I4" si="5">$C4-H4</f>
        <v>0</v>
      </c>
      <c r="J4" s="46">
        <f>-SUMIFS('transaction details'!$G:$G,'transaction details'!$H:$H,'Budget Detail-Own 2016'!J$2,'transaction details'!$D:$D,'Budget Detail-Own 2016'!$A4)</f>
        <v>0</v>
      </c>
      <c r="K4" s="38">
        <f t="shared" si="0"/>
        <v>0</v>
      </c>
      <c r="L4" s="46">
        <f>-SUMIFS('transaction details'!$G:$G,'transaction details'!$H:$H,'Budget Detail-Own 2016'!L$2,'transaction details'!$D:$D,'Budget Detail-Own 2016'!$A4)</f>
        <v>0</v>
      </c>
      <c r="M4" s="38">
        <f t="shared" si="1"/>
        <v>0</v>
      </c>
      <c r="N4" s="46">
        <f>-SUMIFS('transaction details'!$G:$G,'transaction details'!$H:$H,'Budget Detail-Own 2016'!N$2,'transaction details'!$D:$D,'Budget Detail-Own 2016'!$A4)</f>
        <v>0</v>
      </c>
      <c r="O4" s="38">
        <f t="shared" si="1"/>
        <v>0</v>
      </c>
      <c r="P4" s="46">
        <f>-SUMIFS('transaction details'!$G:$G,'transaction details'!$H:$H,'Budget Detail-Own 2016'!P$2,'transaction details'!$D:$D,'Budget Detail-Own 2016'!$A4)</f>
        <v>0</v>
      </c>
      <c r="Q4" s="38">
        <f t="shared" si="2"/>
        <v>0</v>
      </c>
      <c r="R4" s="46">
        <f>-SUMIFS('transaction details'!$G:$G,'transaction details'!$H:$H,'Budget Detail-Own 2016'!R$2,'transaction details'!$D:$D,'Budget Detail-Own 2016'!$A4)</f>
        <v>0</v>
      </c>
      <c r="S4" s="38">
        <f t="shared" si="2"/>
        <v>0</v>
      </c>
      <c r="T4" s="46">
        <f>-SUMIFS('transaction details'!$G:$G,'transaction details'!$H:$H,'Budget Detail-Own 2016'!T$2,'transaction details'!$D:$D,'Budget Detail-Own 2016'!$A4)</f>
        <v>0</v>
      </c>
      <c r="U4" s="38">
        <f t="shared" si="2"/>
        <v>0</v>
      </c>
      <c r="V4" s="46">
        <f>-SUMIFS('transaction details'!$G:$G,'transaction details'!$H:$H,'Budget Detail-Own 2016'!V$2,'transaction details'!$D:$D,'Budget Detail-Own 2016'!$A4)</f>
        <v>0</v>
      </c>
      <c r="W4" s="38">
        <f t="shared" si="2"/>
        <v>0</v>
      </c>
      <c r="X4" s="46">
        <f>-SUMIFS('transaction details'!$G:$G,'transaction details'!$H:$H,'Budget Detail-Own 2016'!X$2,'transaction details'!$D:$D,'Budget Detail-Own 2016'!$A4)</f>
        <v>0</v>
      </c>
      <c r="Y4" s="38">
        <f t="shared" si="2"/>
        <v>0</v>
      </c>
      <c r="Z4" s="46">
        <f>-SUMIFS('transaction details'!$G:$G,'transaction details'!$H:$H,'Budget Detail-Own 2016'!Z$2,'transaction details'!$D:$D,'Budget Detail-Own 2016'!$A4)</f>
        <v>0</v>
      </c>
      <c r="AA4" s="38">
        <f t="shared" ref="AA4" si="6">$C4-Z4</f>
        <v>0</v>
      </c>
    </row>
    <row r="5" spans="1:27" x14ac:dyDescent="0.25">
      <c r="A5" s="46" t="s">
        <v>96</v>
      </c>
      <c r="B5" s="4">
        <f t="shared" si="3"/>
        <v>-429.25999999999988</v>
      </c>
      <c r="C5" s="46">
        <v>170</v>
      </c>
      <c r="D5" s="46">
        <f>-SUMIFS('transaction details'!$G:$G,'transaction details'!$H:$H,'Budget Detail-Own 2016'!D$2,'transaction details'!$D:$D,'Budget Detail-Own 2016'!$A5)</f>
        <v>76.319999999999993</v>
      </c>
      <c r="E5" s="38">
        <f t="shared" ref="E5:G39" si="7">$C5-D5</f>
        <v>93.68</v>
      </c>
      <c r="F5" s="46">
        <f>-SUMIFS('transaction details'!$G:$G,'transaction details'!$H:$H,'Budget Detail-Own 2016'!F$2,'transaction details'!$D:$D,'Budget Detail-Own 2016'!$A5)</f>
        <v>356.5</v>
      </c>
      <c r="G5" s="38">
        <f t="shared" si="7"/>
        <v>-186.5</v>
      </c>
      <c r="H5" s="46">
        <f>-SUMIFS('transaction details'!$G:$G,'transaction details'!$H:$H,'Budget Detail-Own 2016'!H$2,'transaction details'!$D:$D,'Budget Detail-Own 2016'!$A5)</f>
        <v>177.25</v>
      </c>
      <c r="I5" s="38">
        <f t="shared" ref="I5:I39" si="8">$C5-H5</f>
        <v>-7.25</v>
      </c>
      <c r="J5" s="46">
        <f>-SUMIFS('transaction details'!$G:$G,'transaction details'!$H:$H,'Budget Detail-Own 2016'!J$2,'transaction details'!$D:$D,'Budget Detail-Own 2016'!$A5)</f>
        <v>332.32</v>
      </c>
      <c r="K5" s="38">
        <f t="shared" si="0"/>
        <v>-162.32</v>
      </c>
      <c r="L5" s="46">
        <f>-SUMIFS('transaction details'!$G:$G,'transaction details'!$H:$H,'Budget Detail-Own 2016'!L$2,'transaction details'!$D:$D,'Budget Detail-Own 2016'!$A5)</f>
        <v>255.33999999999997</v>
      </c>
      <c r="M5" s="38">
        <f t="shared" si="1"/>
        <v>-85.339999999999975</v>
      </c>
      <c r="N5" s="46">
        <f>-SUMIFS('transaction details'!$G:$G,'transaction details'!$H:$H,'Budget Detail-Own 2016'!N$2,'transaction details'!$D:$D,'Budget Detail-Own 2016'!$A5)</f>
        <v>0</v>
      </c>
      <c r="O5" s="38">
        <f t="shared" si="1"/>
        <v>170</v>
      </c>
      <c r="P5" s="46">
        <f>-SUMIFS('transaction details'!$G:$G,'transaction details'!$H:$H,'Budget Detail-Own 2016'!P$2,'transaction details'!$D:$D,'Budget Detail-Own 2016'!$A5)</f>
        <v>87.49</v>
      </c>
      <c r="Q5" s="38">
        <f t="shared" si="2"/>
        <v>82.51</v>
      </c>
      <c r="R5" s="46">
        <f>-SUMIFS('transaction details'!$G:$G,'transaction details'!$H:$H,'Budget Detail-Own 2016'!R$2,'transaction details'!$D:$D,'Budget Detail-Own 2016'!$A5)</f>
        <v>442.27</v>
      </c>
      <c r="S5" s="38">
        <f t="shared" si="2"/>
        <v>-272.27</v>
      </c>
      <c r="T5" s="46">
        <f>-SUMIFS('transaction details'!$G:$G,'transaction details'!$H:$H,'Budget Detail-Own 2016'!T$2,'transaction details'!$D:$D,'Budget Detail-Own 2016'!$A5)</f>
        <v>177.39</v>
      </c>
      <c r="U5" s="38">
        <f t="shared" si="2"/>
        <v>-7.3899999999999864</v>
      </c>
      <c r="V5" s="46">
        <f>-SUMIFS('transaction details'!$G:$G,'transaction details'!$H:$H,'Budget Detail-Own 2016'!V$2,'transaction details'!$D:$D,'Budget Detail-Own 2016'!$A5)</f>
        <v>316.52999999999997</v>
      </c>
      <c r="W5" s="38">
        <f t="shared" si="2"/>
        <v>-146.52999999999997</v>
      </c>
      <c r="X5" s="46">
        <f>-SUMIFS('transaction details'!$G:$G,'transaction details'!$H:$H,'Budget Detail-Own 2016'!X$2,'transaction details'!$D:$D,'Budget Detail-Own 2016'!$A5)</f>
        <v>77.849999999999994</v>
      </c>
      <c r="Y5" s="38">
        <f t="shared" si="2"/>
        <v>92.15</v>
      </c>
      <c r="Z5" s="46">
        <f>-SUMIFS('transaction details'!$G:$G,'transaction details'!$H:$H,'Budget Detail-Own 2016'!Z$2,'transaction details'!$D:$D,'Budget Detail-Own 2016'!$A5)</f>
        <v>0</v>
      </c>
      <c r="AA5" s="38"/>
    </row>
    <row r="6" spans="1:27" x14ac:dyDescent="0.25">
      <c r="A6" s="46" t="s">
        <v>37</v>
      </c>
      <c r="B6" s="4">
        <f t="shared" si="3"/>
        <v>-900</v>
      </c>
      <c r="C6" s="38">
        <f>Goals!P49</f>
        <v>10</v>
      </c>
      <c r="D6" s="46">
        <f>-SUMIFS('transaction details'!$G:$G,'transaction details'!$H:$H,'Budget Detail-Own 2016'!D$2,'transaction details'!$D:$D,'Budget Detail-Own 2016'!$A6)</f>
        <v>1000</v>
      </c>
      <c r="E6" s="38">
        <f t="shared" si="7"/>
        <v>-990</v>
      </c>
      <c r="F6" s="46">
        <f>-SUMIFS('transaction details'!$G:$G,'transaction details'!$H:$H,'Budget Detail-Own 2016'!F$2,'transaction details'!$D:$D,'Budget Detail-Own 2016'!$A6)</f>
        <v>0</v>
      </c>
      <c r="G6" s="38">
        <f t="shared" si="7"/>
        <v>10</v>
      </c>
      <c r="H6" s="46">
        <f>-SUMIFS('transaction details'!$G:$G,'transaction details'!$H:$H,'Budget Detail-Own 2016'!H$2,'transaction details'!$D:$D,'Budget Detail-Own 2016'!$A6)</f>
        <v>0</v>
      </c>
      <c r="I6" s="38">
        <f t="shared" si="8"/>
        <v>10</v>
      </c>
      <c r="J6" s="46">
        <f>-SUMIFS('transaction details'!$G:$G,'transaction details'!$H:$H,'Budget Detail-Own 2016'!J$2,'transaction details'!$D:$D,'Budget Detail-Own 2016'!$A6)</f>
        <v>0</v>
      </c>
      <c r="K6" s="38">
        <f t="shared" si="0"/>
        <v>10</v>
      </c>
      <c r="L6" s="46">
        <f>-SUMIFS('transaction details'!$G:$G,'transaction details'!$H:$H,'Budget Detail-Own 2016'!L$2,'transaction details'!$D:$D,'Budget Detail-Own 2016'!$A6)</f>
        <v>0</v>
      </c>
      <c r="M6" s="38">
        <f t="shared" si="1"/>
        <v>10</v>
      </c>
      <c r="N6" s="46">
        <f>-SUMIFS('transaction details'!$G:$G,'transaction details'!$H:$H,'Budget Detail-Own 2016'!N$2,'transaction details'!$D:$D,'Budget Detail-Own 2016'!$A6)</f>
        <v>0</v>
      </c>
      <c r="O6" s="38">
        <f t="shared" si="1"/>
        <v>10</v>
      </c>
      <c r="P6" s="46">
        <f>-SUMIFS('transaction details'!$G:$G,'transaction details'!$H:$H,'Budget Detail-Own 2016'!P$2,'transaction details'!$D:$D,'Budget Detail-Own 2016'!$A6)</f>
        <v>0</v>
      </c>
      <c r="Q6" s="38">
        <f t="shared" si="2"/>
        <v>10</v>
      </c>
      <c r="R6" s="46">
        <f>-SUMIFS('transaction details'!$G:$G,'transaction details'!$H:$H,'Budget Detail-Own 2016'!R$2,'transaction details'!$D:$D,'Budget Detail-Own 2016'!$A6)</f>
        <v>0</v>
      </c>
      <c r="S6" s="38">
        <f t="shared" si="2"/>
        <v>10</v>
      </c>
      <c r="T6" s="46">
        <f>-SUMIFS('transaction details'!$G:$G,'transaction details'!$H:$H,'Budget Detail-Own 2016'!T$2,'transaction details'!$D:$D,'Budget Detail-Own 2016'!$A6)</f>
        <v>0</v>
      </c>
      <c r="U6" s="38">
        <f t="shared" si="2"/>
        <v>10</v>
      </c>
      <c r="V6" s="46">
        <f>-SUMIFS('transaction details'!$G:$G,'transaction details'!$H:$H,'Budget Detail-Own 2016'!V$2,'transaction details'!$D:$D,'Budget Detail-Own 2016'!$A6)</f>
        <v>10</v>
      </c>
      <c r="W6" s="38">
        <f t="shared" si="2"/>
        <v>0</v>
      </c>
      <c r="X6" s="46">
        <f>-SUMIFS('transaction details'!$G:$G,'transaction details'!$H:$H,'Budget Detail-Own 2016'!X$2,'transaction details'!$D:$D,'Budget Detail-Own 2016'!$A6)</f>
        <v>0</v>
      </c>
      <c r="Y6" s="38">
        <f t="shared" si="2"/>
        <v>10</v>
      </c>
      <c r="Z6" s="46">
        <f>-SUMIFS('transaction details'!$G:$G,'transaction details'!$H:$H,'Budget Detail-Own 2016'!Z$2,'transaction details'!$D:$D,'Budget Detail-Own 2016'!$A6)</f>
        <v>0</v>
      </c>
      <c r="AA6" s="38"/>
    </row>
    <row r="7" spans="1:27" x14ac:dyDescent="0.25">
      <c r="A7" s="46" t="s">
        <v>126</v>
      </c>
      <c r="B7" s="4">
        <f t="shared" si="3"/>
        <v>-55</v>
      </c>
      <c r="C7" s="38">
        <f>Goals!P42</f>
        <v>10</v>
      </c>
      <c r="D7" s="46">
        <f>-SUMIFS('transaction details'!$G:$G,'transaction details'!$H:$H,'Budget Detail-Own 2016'!D$2,'transaction details'!$D:$D,'Budget Detail-Own 2016'!$A7)</f>
        <v>0</v>
      </c>
      <c r="E7" s="38">
        <f t="shared" si="7"/>
        <v>10</v>
      </c>
      <c r="F7" s="46">
        <f>-SUMIFS('transaction details'!$G:$G,'transaction details'!$H:$H,'Budget Detail-Own 2016'!F$2,'transaction details'!$D:$D,'Budget Detail-Own 2016'!$A7)</f>
        <v>0</v>
      </c>
      <c r="G7" s="38">
        <f t="shared" si="7"/>
        <v>10</v>
      </c>
      <c r="H7" s="46">
        <f>-SUMIFS('transaction details'!$G:$G,'transaction details'!$H:$H,'Budget Detail-Own 2016'!H$2,'transaction details'!$D:$D,'Budget Detail-Own 2016'!$A7)</f>
        <v>0</v>
      </c>
      <c r="I7" s="38">
        <f t="shared" si="8"/>
        <v>10</v>
      </c>
      <c r="J7" s="46">
        <f>-SUMIFS('transaction details'!$G:$G,'transaction details'!$H:$H,'Budget Detail-Own 2016'!J$2,'transaction details'!$D:$D,'Budget Detail-Own 2016'!$A7)</f>
        <v>0</v>
      </c>
      <c r="K7" s="38">
        <f t="shared" si="0"/>
        <v>10</v>
      </c>
      <c r="L7" s="46">
        <f>-SUMIFS('transaction details'!$G:$G,'transaction details'!$H:$H,'Budget Detail-Own 2016'!L$2,'transaction details'!$D:$D,'Budget Detail-Own 2016'!$A7)</f>
        <v>0</v>
      </c>
      <c r="M7" s="38">
        <f t="shared" si="1"/>
        <v>10</v>
      </c>
      <c r="N7" s="46">
        <f>-SUMIFS('transaction details'!$G:$G,'transaction details'!$H:$H,'Budget Detail-Own 2016'!N$2,'transaction details'!$D:$D,'Budget Detail-Own 2016'!$A7)</f>
        <v>80</v>
      </c>
      <c r="O7" s="38">
        <f t="shared" si="1"/>
        <v>-70</v>
      </c>
      <c r="P7" s="46">
        <f>-SUMIFS('transaction details'!$G:$G,'transaction details'!$H:$H,'Budget Detail-Own 2016'!P$2,'transaction details'!$D:$D,'Budget Detail-Own 2016'!$A7)</f>
        <v>85</v>
      </c>
      <c r="Q7" s="38">
        <f t="shared" si="2"/>
        <v>-75</v>
      </c>
      <c r="R7" s="46">
        <f>-SUMIFS('transaction details'!$G:$G,'transaction details'!$H:$H,'Budget Detail-Own 2016'!R$2,'transaction details'!$D:$D,'Budget Detail-Own 2016'!$A7)</f>
        <v>0</v>
      </c>
      <c r="S7" s="38">
        <f t="shared" si="2"/>
        <v>10</v>
      </c>
      <c r="T7" s="46">
        <f>-SUMIFS('transaction details'!$G:$G,'transaction details'!$H:$H,'Budget Detail-Own 2016'!T$2,'transaction details'!$D:$D,'Budget Detail-Own 2016'!$A7)</f>
        <v>0</v>
      </c>
      <c r="U7" s="38">
        <f t="shared" si="2"/>
        <v>10</v>
      </c>
      <c r="V7" s="46">
        <f>-SUMIFS('transaction details'!$G:$G,'transaction details'!$H:$H,'Budget Detail-Own 2016'!V$2,'transaction details'!$D:$D,'Budget Detail-Own 2016'!$A7)</f>
        <v>0</v>
      </c>
      <c r="W7" s="38">
        <f t="shared" si="2"/>
        <v>10</v>
      </c>
      <c r="X7" s="46">
        <f>-SUMIFS('transaction details'!$G:$G,'transaction details'!$H:$H,'Budget Detail-Own 2016'!X$2,'transaction details'!$D:$D,'Budget Detail-Own 2016'!$A7)</f>
        <v>0</v>
      </c>
      <c r="Y7" s="38">
        <f t="shared" si="2"/>
        <v>10</v>
      </c>
      <c r="Z7" s="46">
        <f>-SUMIFS('transaction details'!$G:$G,'transaction details'!$H:$H,'Budget Detail-Own 2016'!Z$2,'transaction details'!$D:$D,'Budget Detail-Own 2016'!$A7)</f>
        <v>0</v>
      </c>
      <c r="AA7" s="38"/>
    </row>
    <row r="8" spans="1:27" x14ac:dyDescent="0.25">
      <c r="A8" s="46" t="s">
        <v>127</v>
      </c>
      <c r="B8" s="4">
        <f t="shared" si="3"/>
        <v>159.80000000000001</v>
      </c>
      <c r="C8" s="46">
        <v>30</v>
      </c>
      <c r="D8" s="46">
        <f>-SUMIFS('transaction details'!$G:$G,'transaction details'!$H:$H,'Budget Detail-Own 2016'!D$2,'transaction details'!$D:$D,'Budget Detail-Own 2016'!$A8)</f>
        <v>4.7</v>
      </c>
      <c r="E8" s="38">
        <f t="shared" si="7"/>
        <v>25.3</v>
      </c>
      <c r="F8" s="46">
        <f>-SUMIFS('transaction details'!$G:$G,'transaction details'!$H:$H,'Budget Detail-Own 2016'!F$2,'transaction details'!$D:$D,'Budget Detail-Own 2016'!$A8)</f>
        <v>28.18</v>
      </c>
      <c r="G8" s="38">
        <f t="shared" si="7"/>
        <v>1.8200000000000003</v>
      </c>
      <c r="H8" s="46">
        <f>-SUMIFS('transaction details'!$G:$G,'transaction details'!$H:$H,'Budget Detail-Own 2016'!H$2,'transaction details'!$D:$D,'Budget Detail-Own 2016'!$A8)</f>
        <v>0</v>
      </c>
      <c r="I8" s="38">
        <f t="shared" si="8"/>
        <v>30</v>
      </c>
      <c r="J8" s="46">
        <f>-SUMIFS('transaction details'!$G:$G,'transaction details'!$H:$H,'Budget Detail-Own 2016'!J$2,'transaction details'!$D:$D,'Budget Detail-Own 2016'!$A8)</f>
        <v>39.249999999999993</v>
      </c>
      <c r="K8" s="38">
        <f t="shared" si="0"/>
        <v>-9.2499999999999929</v>
      </c>
      <c r="L8" s="46">
        <f>-SUMIFS('transaction details'!$G:$G,'transaction details'!$H:$H,'Budget Detail-Own 2016'!L$2,'transaction details'!$D:$D,'Budget Detail-Own 2016'!$A8)</f>
        <v>25.38</v>
      </c>
      <c r="M8" s="38">
        <f t="shared" si="1"/>
        <v>4.620000000000001</v>
      </c>
      <c r="N8" s="46">
        <f>-SUMIFS('transaction details'!$G:$G,'transaction details'!$H:$H,'Budget Detail-Own 2016'!N$2,'transaction details'!$D:$D,'Budget Detail-Own 2016'!$A8)</f>
        <v>12.19</v>
      </c>
      <c r="O8" s="38">
        <f t="shared" si="1"/>
        <v>17.810000000000002</v>
      </c>
      <c r="P8" s="46">
        <f>-SUMIFS('transaction details'!$G:$G,'transaction details'!$H:$H,'Budget Detail-Own 2016'!P$2,'transaction details'!$D:$D,'Budget Detail-Own 2016'!$A8)</f>
        <v>0</v>
      </c>
      <c r="Q8" s="38">
        <f t="shared" si="2"/>
        <v>30</v>
      </c>
      <c r="R8" s="46">
        <f>-SUMIFS('transaction details'!$G:$G,'transaction details'!$H:$H,'Budget Detail-Own 2016'!R$2,'transaction details'!$D:$D,'Budget Detail-Own 2016'!$A8)</f>
        <v>0</v>
      </c>
      <c r="S8" s="38">
        <f t="shared" si="2"/>
        <v>30</v>
      </c>
      <c r="T8" s="46">
        <f>-SUMIFS('transaction details'!$G:$G,'transaction details'!$H:$H,'Budget Detail-Own 2016'!T$2,'transaction details'!$D:$D,'Budget Detail-Own 2016'!$A8)</f>
        <v>28.5</v>
      </c>
      <c r="U8" s="38">
        <f t="shared" si="2"/>
        <v>1.5</v>
      </c>
      <c r="V8" s="46">
        <f>-SUMIFS('transaction details'!$G:$G,'transaction details'!$H:$H,'Budget Detail-Own 2016'!V$2,'transaction details'!$D:$D,'Budget Detail-Own 2016'!$A8)</f>
        <v>32</v>
      </c>
      <c r="W8" s="38">
        <f t="shared" si="2"/>
        <v>-2</v>
      </c>
      <c r="X8" s="46">
        <f>-SUMIFS('transaction details'!$G:$G,'transaction details'!$H:$H,'Budget Detail-Own 2016'!X$2,'transaction details'!$D:$D,'Budget Detail-Own 2016'!$A8)</f>
        <v>0</v>
      </c>
      <c r="Y8" s="38">
        <f t="shared" si="2"/>
        <v>30</v>
      </c>
      <c r="Z8" s="46">
        <f>-SUMIFS('transaction details'!$G:$G,'transaction details'!$H:$H,'Budget Detail-Own 2016'!Z$2,'transaction details'!$D:$D,'Budget Detail-Own 2016'!$A8)</f>
        <v>0</v>
      </c>
      <c r="AA8" s="38"/>
    </row>
    <row r="9" spans="1:27" x14ac:dyDescent="0.25">
      <c r="A9" s="46" t="s">
        <v>128</v>
      </c>
      <c r="B9" s="4">
        <f t="shared" si="3"/>
        <v>1650</v>
      </c>
      <c r="C9" s="46">
        <v>150</v>
      </c>
      <c r="D9" s="46">
        <f>-SUMIFS('transaction details'!$G:$G,'transaction details'!$H:$H,'Budget Detail-Own 2016'!D$2,'transaction details'!$D:$D,'Budget Detail-Own 2016'!$A9)</f>
        <v>0</v>
      </c>
      <c r="E9" s="38">
        <f t="shared" si="7"/>
        <v>150</v>
      </c>
      <c r="F9" s="46">
        <f>-SUMIFS('transaction details'!$G:$G,'transaction details'!$H:$H,'Budget Detail-Own 2016'!F$2,'transaction details'!$D:$D,'Budget Detail-Own 2016'!$A9)</f>
        <v>0</v>
      </c>
      <c r="G9" s="38">
        <f t="shared" si="7"/>
        <v>150</v>
      </c>
      <c r="H9" s="46">
        <f>-SUMIFS('transaction details'!$G:$G,'transaction details'!$H:$H,'Budget Detail-Own 2016'!H$2,'transaction details'!$D:$D,'Budget Detail-Own 2016'!$A9)</f>
        <v>0</v>
      </c>
      <c r="I9" s="38">
        <f t="shared" si="8"/>
        <v>150</v>
      </c>
      <c r="J9" s="46">
        <f>-SUMIFS('transaction details'!$G:$G,'transaction details'!$H:$H,'Budget Detail-Own 2016'!J$2,'transaction details'!$D:$D,'Budget Detail-Own 2016'!$A9)</f>
        <v>0</v>
      </c>
      <c r="K9" s="38">
        <f t="shared" si="0"/>
        <v>150</v>
      </c>
      <c r="L9" s="46">
        <f>-SUMIFS('transaction details'!$G:$G,'transaction details'!$H:$H,'Budget Detail-Own 2016'!L$2,'transaction details'!$D:$D,'Budget Detail-Own 2016'!$A9)</f>
        <v>0</v>
      </c>
      <c r="M9" s="38">
        <f t="shared" si="1"/>
        <v>150</v>
      </c>
      <c r="N9" s="46">
        <f>-SUMIFS('transaction details'!$G:$G,'transaction details'!$H:$H,'Budget Detail-Own 2016'!N$2,'transaction details'!$D:$D,'Budget Detail-Own 2016'!$A9)</f>
        <v>0</v>
      </c>
      <c r="O9" s="38">
        <f t="shared" si="1"/>
        <v>150</v>
      </c>
      <c r="P9" s="46">
        <f>-SUMIFS('transaction details'!$G:$G,'transaction details'!$H:$H,'Budget Detail-Own 2016'!P$2,'transaction details'!$D:$D,'Budget Detail-Own 2016'!$A9)</f>
        <v>0</v>
      </c>
      <c r="Q9" s="38">
        <f t="shared" si="2"/>
        <v>150</v>
      </c>
      <c r="R9" s="46">
        <f>-SUMIFS('transaction details'!$G:$G,'transaction details'!$H:$H,'Budget Detail-Own 2016'!R$2,'transaction details'!$D:$D,'Budget Detail-Own 2016'!$A9)</f>
        <v>0</v>
      </c>
      <c r="S9" s="38">
        <f t="shared" si="2"/>
        <v>150</v>
      </c>
      <c r="T9" s="46">
        <f>-SUMIFS('transaction details'!$G:$G,'transaction details'!$H:$H,'Budget Detail-Own 2016'!T$2,'transaction details'!$D:$D,'Budget Detail-Own 2016'!$A9)</f>
        <v>0</v>
      </c>
      <c r="U9" s="38">
        <f t="shared" si="2"/>
        <v>150</v>
      </c>
      <c r="V9" s="46">
        <f>-SUMIFS('transaction details'!$G:$G,'transaction details'!$H:$H,'Budget Detail-Own 2016'!V$2,'transaction details'!$D:$D,'Budget Detail-Own 2016'!$A9)</f>
        <v>0</v>
      </c>
      <c r="W9" s="38">
        <f t="shared" si="2"/>
        <v>150</v>
      </c>
      <c r="X9" s="46">
        <f>-SUMIFS('transaction details'!$G:$G,'transaction details'!$H:$H,'Budget Detail-Own 2016'!X$2,'transaction details'!$D:$D,'Budget Detail-Own 2016'!$A9)</f>
        <v>0</v>
      </c>
      <c r="Y9" s="38">
        <f t="shared" si="2"/>
        <v>150</v>
      </c>
      <c r="Z9" s="46">
        <f>-SUMIFS('transaction details'!$G:$G,'transaction details'!$H:$H,'Budget Detail-Own 2016'!Z$2,'transaction details'!$D:$D,'Budget Detail-Own 2016'!$A9)</f>
        <v>0</v>
      </c>
      <c r="AA9" s="38"/>
    </row>
    <row r="10" spans="1:27" x14ac:dyDescent="0.25">
      <c r="A10" s="46" t="s">
        <v>129</v>
      </c>
      <c r="B10" s="4">
        <f t="shared" si="3"/>
        <v>-3078.47</v>
      </c>
      <c r="C10" s="46">
        <v>50</v>
      </c>
      <c r="D10" s="46">
        <f>-SUMIFS('transaction details'!$G:$G,'transaction details'!$H:$H,'Budget Detail-Own 2016'!D$2,'transaction details'!$D:$D,'Budget Detail-Own 2016'!$A10)</f>
        <v>172.96</v>
      </c>
      <c r="E10" s="38">
        <f t="shared" si="7"/>
        <v>-122.96000000000001</v>
      </c>
      <c r="F10" s="46">
        <f>-SUMIFS('transaction details'!$G:$G,'transaction details'!$H:$H,'Budget Detail-Own 2016'!F$2,'transaction details'!$D:$D,'Budget Detail-Own 2016'!$A10)</f>
        <v>293.41999999999996</v>
      </c>
      <c r="G10" s="38">
        <f t="shared" si="7"/>
        <v>-243.41999999999996</v>
      </c>
      <c r="H10" s="46">
        <f>-SUMIFS('transaction details'!$G:$G,'transaction details'!$H:$H,'Budget Detail-Own 2016'!H$2,'transaction details'!$D:$D,'Budget Detail-Own 2016'!$A10)</f>
        <v>571.9799999999999</v>
      </c>
      <c r="I10" s="38">
        <f t="shared" si="8"/>
        <v>-521.9799999999999</v>
      </c>
      <c r="J10" s="46">
        <f>-SUMIFS('transaction details'!$G:$G,'transaction details'!$H:$H,'Budget Detail-Own 2016'!J$2,'transaction details'!$D:$D,'Budget Detail-Own 2016'!$A10)</f>
        <v>771.08999999999992</v>
      </c>
      <c r="K10" s="38">
        <f t="shared" si="0"/>
        <v>-721.08999999999992</v>
      </c>
      <c r="L10" s="46">
        <f>-SUMIFS('transaction details'!$G:$G,'transaction details'!$H:$H,'Budget Detail-Own 2016'!L$2,'transaction details'!$D:$D,'Budget Detail-Own 2016'!$A10)</f>
        <v>431.53999999999991</v>
      </c>
      <c r="M10" s="38">
        <f t="shared" si="1"/>
        <v>-381.53999999999991</v>
      </c>
      <c r="N10" s="46">
        <f>-SUMIFS('transaction details'!$G:$G,'transaction details'!$H:$H,'Budget Detail-Own 2016'!N$2,'transaction details'!$D:$D,'Budget Detail-Own 2016'!$A10)</f>
        <v>526.96</v>
      </c>
      <c r="O10" s="38">
        <f t="shared" si="1"/>
        <v>-476.96000000000004</v>
      </c>
      <c r="P10" s="46">
        <f>-SUMIFS('transaction details'!$G:$G,'transaction details'!$H:$H,'Budget Detail-Own 2016'!P$2,'transaction details'!$D:$D,'Budget Detail-Own 2016'!$A10)</f>
        <v>333.9</v>
      </c>
      <c r="Q10" s="38">
        <f t="shared" si="2"/>
        <v>-283.89999999999998</v>
      </c>
      <c r="R10" s="46">
        <f>-SUMIFS('transaction details'!$G:$G,'transaction details'!$H:$H,'Budget Detail-Own 2016'!R$2,'transaction details'!$D:$D,'Budget Detail-Own 2016'!$A10)</f>
        <v>306.59999999999997</v>
      </c>
      <c r="S10" s="38">
        <f t="shared" si="2"/>
        <v>-256.59999999999997</v>
      </c>
      <c r="T10" s="46">
        <f>-SUMIFS('transaction details'!$G:$G,'transaction details'!$H:$H,'Budget Detail-Own 2016'!T$2,'transaction details'!$D:$D,'Budget Detail-Own 2016'!$A10)</f>
        <v>214.14000000000004</v>
      </c>
      <c r="U10" s="38">
        <f t="shared" si="2"/>
        <v>-164.14000000000004</v>
      </c>
      <c r="V10" s="46">
        <f>-SUMIFS('transaction details'!$G:$G,'transaction details'!$H:$H,'Budget Detail-Own 2016'!V$2,'transaction details'!$D:$D,'Budget Detail-Own 2016'!$A10)</f>
        <v>5.88</v>
      </c>
      <c r="W10" s="38">
        <f t="shared" si="2"/>
        <v>44.12</v>
      </c>
      <c r="X10" s="46">
        <f>-SUMIFS('transaction details'!$G:$G,'transaction details'!$H:$H,'Budget Detail-Own 2016'!X$2,'transaction details'!$D:$D,'Budget Detail-Own 2016'!$A10)</f>
        <v>0</v>
      </c>
      <c r="Y10" s="38">
        <f t="shared" si="2"/>
        <v>50</v>
      </c>
      <c r="Z10" s="46">
        <f>-SUMIFS('transaction details'!$G:$G,'transaction details'!$H:$H,'Budget Detail-Own 2016'!Z$2,'transaction details'!$D:$D,'Budget Detail-Own 2016'!$A10)</f>
        <v>0</v>
      </c>
      <c r="AA10" s="38"/>
    </row>
    <row r="11" spans="1:27" x14ac:dyDescent="0.25">
      <c r="A11" s="46" t="s">
        <v>130</v>
      </c>
      <c r="B11" s="4">
        <f t="shared" si="3"/>
        <v>-2587.9299999999998</v>
      </c>
      <c r="C11" s="46">
        <v>50</v>
      </c>
      <c r="D11" s="46">
        <f>-SUMIFS('transaction details'!$G:$G,'transaction details'!$H:$H,'Budget Detail-Own 2016'!D$2,'transaction details'!$D:$D,'Budget Detail-Own 2016'!$A11)</f>
        <v>674.32</v>
      </c>
      <c r="E11" s="38">
        <f t="shared" si="7"/>
        <v>-624.32000000000005</v>
      </c>
      <c r="F11" s="46">
        <f>-SUMIFS('transaction details'!$G:$G,'transaction details'!$H:$H,'Budget Detail-Own 2016'!F$2,'transaction details'!$D:$D,'Budget Detail-Own 2016'!$A11)</f>
        <v>758.57</v>
      </c>
      <c r="G11" s="38">
        <f t="shared" si="7"/>
        <v>-708.57</v>
      </c>
      <c r="H11" s="46">
        <f>-SUMIFS('transaction details'!$G:$G,'transaction details'!$H:$H,'Budget Detail-Own 2016'!H$2,'transaction details'!$D:$D,'Budget Detail-Own 2016'!$A11)</f>
        <v>260.33999999999997</v>
      </c>
      <c r="I11" s="38">
        <f t="shared" si="8"/>
        <v>-210.33999999999997</v>
      </c>
      <c r="J11" s="46">
        <f>-SUMIFS('transaction details'!$G:$G,'transaction details'!$H:$H,'Budget Detail-Own 2016'!J$2,'transaction details'!$D:$D,'Budget Detail-Own 2016'!$A11)</f>
        <v>236.51</v>
      </c>
      <c r="K11" s="38">
        <f t="shared" si="0"/>
        <v>-186.51</v>
      </c>
      <c r="L11" s="46">
        <f>-SUMIFS('transaction details'!$G:$G,'transaction details'!$H:$H,'Budget Detail-Own 2016'!L$2,'transaction details'!$D:$D,'Budget Detail-Own 2016'!$A11)</f>
        <v>185.57999999999998</v>
      </c>
      <c r="M11" s="38">
        <f t="shared" si="1"/>
        <v>-135.57999999999998</v>
      </c>
      <c r="N11" s="46">
        <f>-SUMIFS('transaction details'!$G:$G,'transaction details'!$H:$H,'Budget Detail-Own 2016'!N$2,'transaction details'!$D:$D,'Budget Detail-Own 2016'!$A11)</f>
        <v>45</v>
      </c>
      <c r="O11" s="38">
        <f t="shared" si="1"/>
        <v>5</v>
      </c>
      <c r="P11" s="46">
        <f>-SUMIFS('transaction details'!$G:$G,'transaction details'!$H:$H,'Budget Detail-Own 2016'!P$2,'transaction details'!$D:$D,'Budget Detail-Own 2016'!$A11)</f>
        <v>158.69999999999999</v>
      </c>
      <c r="Q11" s="38">
        <f t="shared" si="2"/>
        <v>-108.69999999999999</v>
      </c>
      <c r="R11" s="46">
        <f>-SUMIFS('transaction details'!$G:$G,'transaction details'!$H:$H,'Budget Detail-Own 2016'!R$2,'transaction details'!$D:$D,'Budget Detail-Own 2016'!$A11)</f>
        <v>204.7</v>
      </c>
      <c r="S11" s="38">
        <f t="shared" si="2"/>
        <v>-154.69999999999999</v>
      </c>
      <c r="T11" s="46">
        <f>-SUMIFS('transaction details'!$G:$G,'transaction details'!$H:$H,'Budget Detail-Own 2016'!T$2,'transaction details'!$D:$D,'Budget Detail-Own 2016'!$A11)</f>
        <v>5.0600000000000005</v>
      </c>
      <c r="U11" s="38">
        <f t="shared" si="2"/>
        <v>44.94</v>
      </c>
      <c r="V11" s="46">
        <f>-SUMIFS('transaction details'!$G:$G,'transaction details'!$H:$H,'Budget Detail-Own 2016'!V$2,'transaction details'!$D:$D,'Budget Detail-Own 2016'!$A11)</f>
        <v>0</v>
      </c>
      <c r="W11" s="38">
        <f t="shared" si="2"/>
        <v>50</v>
      </c>
      <c r="X11" s="46">
        <f>-SUMIFS('transaction details'!$G:$G,'transaction details'!$H:$H,'Budget Detail-Own 2016'!X$2,'transaction details'!$D:$D,'Budget Detail-Own 2016'!$A11)</f>
        <v>609.15</v>
      </c>
      <c r="Y11" s="38">
        <f t="shared" si="2"/>
        <v>-559.15</v>
      </c>
      <c r="Z11" s="46">
        <f>-SUMIFS('transaction details'!$G:$G,'transaction details'!$H:$H,'Budget Detail-Own 2016'!Z$2,'transaction details'!$D:$D,'Budget Detail-Own 2016'!$A11)</f>
        <v>0</v>
      </c>
      <c r="AA11" s="38"/>
    </row>
    <row r="12" spans="1:27" x14ac:dyDescent="0.25">
      <c r="A12" s="46" t="s">
        <v>40</v>
      </c>
      <c r="B12" s="4">
        <f t="shared" si="3"/>
        <v>-71.390000000000029</v>
      </c>
      <c r="C12" s="46">
        <v>100</v>
      </c>
      <c r="D12" s="48">
        <f>-SUMIFS('transaction details'!$G:$G,'transaction details'!$H:$H,'Budget Detail-Own 2016'!D$2,'transaction details'!$D:$D,'Budget Detail-Own 2016'!$A12)</f>
        <v>93.47999999999999</v>
      </c>
      <c r="E12" s="38">
        <f t="shared" si="7"/>
        <v>6.5200000000000102</v>
      </c>
      <c r="F12" s="48">
        <f>-SUMIFS('transaction details'!$G:$G,'transaction details'!$H:$H,'Budget Detail-Own 2016'!F$2,'transaction details'!$D:$D,'Budget Detail-Own 2016'!$A12)</f>
        <v>100</v>
      </c>
      <c r="G12" s="38">
        <f t="shared" si="7"/>
        <v>0</v>
      </c>
      <c r="H12" s="48">
        <f>-SUMIFS('transaction details'!$G:$G,'transaction details'!$H:$H,'Budget Detail-Own 2016'!H$2,'transaction details'!$D:$D,'Budget Detail-Own 2016'!$A12)</f>
        <v>271.95000000000005</v>
      </c>
      <c r="I12" s="38">
        <f t="shared" si="8"/>
        <v>-171.95000000000005</v>
      </c>
      <c r="J12" s="48">
        <f>-SUMIFS('transaction details'!$G:$G,'transaction details'!$H:$H,'Budget Detail-Own 2016'!J$2,'transaction details'!$D:$D,'Budget Detail-Own 2016'!$A12)</f>
        <v>0</v>
      </c>
      <c r="K12" s="38">
        <f t="shared" si="0"/>
        <v>100</v>
      </c>
      <c r="L12" s="48">
        <f>-SUMIFS('transaction details'!$G:$G,'transaction details'!$H:$H,'Budget Detail-Own 2016'!L$2,'transaction details'!$D:$D,'Budget Detail-Own 2016'!$A12)</f>
        <v>35.230000000000004</v>
      </c>
      <c r="M12" s="38">
        <f t="shared" si="1"/>
        <v>64.77</v>
      </c>
      <c r="N12" s="48">
        <f>-SUMIFS('transaction details'!$G:$G,'transaction details'!$H:$H,'Budget Detail-Own 2016'!N$2,'transaction details'!$D:$D,'Budget Detail-Own 2016'!$A12)</f>
        <v>100</v>
      </c>
      <c r="O12" s="38">
        <f t="shared" si="1"/>
        <v>0</v>
      </c>
      <c r="P12" s="48">
        <f>-SUMIFS('transaction details'!$G:$G,'transaction details'!$H:$H,'Budget Detail-Own 2016'!P$2,'transaction details'!$D:$D,'Budget Detail-Own 2016'!$A12)</f>
        <v>200</v>
      </c>
      <c r="Q12" s="38">
        <f t="shared" si="2"/>
        <v>-100</v>
      </c>
      <c r="R12" s="48">
        <f>-SUMIFS('transaction details'!$G:$G,'transaction details'!$H:$H,'Budget Detail-Own 2016'!R$2,'transaction details'!$D:$D,'Budget Detail-Own 2016'!$A12)</f>
        <v>0</v>
      </c>
      <c r="S12" s="38">
        <f t="shared" si="2"/>
        <v>100</v>
      </c>
      <c r="T12" s="48">
        <f>-SUMIFS('transaction details'!$G:$G,'transaction details'!$H:$H,'Budget Detail-Own 2016'!T$2,'transaction details'!$D:$D,'Budget Detail-Own 2016'!$A12)</f>
        <v>470</v>
      </c>
      <c r="U12" s="38">
        <f t="shared" si="2"/>
        <v>-370</v>
      </c>
      <c r="V12" s="48">
        <f>-SUMIFS('transaction details'!$G:$G,'transaction details'!$H:$H,'Budget Detail-Own 2016'!V$2,'transaction details'!$D:$D,'Budget Detail-Own 2016'!$A12)</f>
        <v>-160.01</v>
      </c>
      <c r="W12" s="38">
        <f t="shared" si="2"/>
        <v>260.01</v>
      </c>
      <c r="X12" s="48">
        <f>-SUMIFS('transaction details'!$G:$G,'transaction details'!$H:$H,'Budget Detail-Own 2016'!X$2,'transaction details'!$D:$D,'Budget Detail-Own 2016'!$A12)</f>
        <v>60.739999999999995</v>
      </c>
      <c r="Y12" s="38">
        <f t="shared" si="2"/>
        <v>39.260000000000005</v>
      </c>
      <c r="Z12" s="48">
        <f>-SUMIFS('transaction details'!$G:$G,'transaction details'!$H:$H,'Budget Detail-Own 2016'!Z$2,'transaction details'!$D:$D,'Budget Detail-Own 2016'!$A12)</f>
        <v>0</v>
      </c>
      <c r="AA12" s="38"/>
    </row>
    <row r="13" spans="1:27" x14ac:dyDescent="0.25">
      <c r="A13" s="46" t="s">
        <v>89</v>
      </c>
      <c r="B13" s="4">
        <f t="shared" si="3"/>
        <v>-5926.4599999999991</v>
      </c>
      <c r="C13" s="46">
        <v>100</v>
      </c>
      <c r="D13" s="48">
        <f>-SUMIFS('transaction details'!$G:$G,'transaction details'!$H:$H,'Budget Detail-Own 2016'!D$2,'transaction details'!$D:$D,'Budget Detail-Own 2016'!$A13)</f>
        <v>729.2399999999999</v>
      </c>
      <c r="E13" s="38">
        <f t="shared" si="7"/>
        <v>-629.2399999999999</v>
      </c>
      <c r="F13" s="48">
        <f>-SUMIFS('transaction details'!$G:$G,'transaction details'!$H:$H,'Budget Detail-Own 2016'!F$2,'transaction details'!$D:$D,'Budget Detail-Own 2016'!$A13)</f>
        <v>755.75</v>
      </c>
      <c r="G13" s="38">
        <f t="shared" si="7"/>
        <v>-655.75</v>
      </c>
      <c r="H13" s="48">
        <f>-SUMIFS('transaction details'!$G:$G,'transaction details'!$H:$H,'Budget Detail-Own 2016'!H$2,'transaction details'!$D:$D,'Budget Detail-Own 2016'!$A13)</f>
        <v>225.64</v>
      </c>
      <c r="I13" s="38">
        <f t="shared" si="8"/>
        <v>-125.63999999999999</v>
      </c>
      <c r="J13" s="48">
        <f>-SUMIFS('transaction details'!$G:$G,'transaction details'!$H:$H,'Budget Detail-Own 2016'!J$2,'transaction details'!$D:$D,'Budget Detail-Own 2016'!$A13)</f>
        <v>662.28000000000009</v>
      </c>
      <c r="K13" s="38">
        <f t="shared" si="0"/>
        <v>-562.28000000000009</v>
      </c>
      <c r="L13" s="48">
        <f>-SUMIFS('transaction details'!$G:$G,'transaction details'!$H:$H,'Budget Detail-Own 2016'!L$2,'transaction details'!$D:$D,'Budget Detail-Own 2016'!$A13)</f>
        <v>928.75999999999988</v>
      </c>
      <c r="M13" s="38">
        <f t="shared" si="1"/>
        <v>-828.75999999999988</v>
      </c>
      <c r="N13" s="48">
        <f>-SUMIFS('transaction details'!$G:$G,'transaction details'!$H:$H,'Budget Detail-Own 2016'!N$2,'transaction details'!$D:$D,'Budget Detail-Own 2016'!$A13)</f>
        <v>565.37999999999988</v>
      </c>
      <c r="O13" s="38">
        <f t="shared" si="1"/>
        <v>-465.37999999999988</v>
      </c>
      <c r="P13" s="48">
        <f>-SUMIFS('transaction details'!$G:$G,'transaction details'!$H:$H,'Budget Detail-Own 2016'!P$2,'transaction details'!$D:$D,'Budget Detail-Own 2016'!$A13)</f>
        <v>326.68</v>
      </c>
      <c r="Q13" s="38">
        <f t="shared" si="2"/>
        <v>-226.68</v>
      </c>
      <c r="R13" s="48">
        <f>-SUMIFS('transaction details'!$G:$G,'transaction details'!$H:$H,'Budget Detail-Own 2016'!R$2,'transaction details'!$D:$D,'Budget Detail-Own 2016'!$A13)</f>
        <v>768.06000000000006</v>
      </c>
      <c r="S13" s="38">
        <f t="shared" si="2"/>
        <v>-668.06000000000006</v>
      </c>
      <c r="T13" s="48">
        <f>-SUMIFS('transaction details'!$G:$G,'transaction details'!$H:$H,'Budget Detail-Own 2016'!T$2,'transaction details'!$D:$D,'Budget Detail-Own 2016'!$A13)</f>
        <v>1082.6300000000001</v>
      </c>
      <c r="U13" s="38">
        <f t="shared" si="2"/>
        <v>-982.63000000000011</v>
      </c>
      <c r="V13" s="48">
        <f>-SUMIFS('transaction details'!$G:$G,'transaction details'!$H:$H,'Budget Detail-Own 2016'!V$2,'transaction details'!$D:$D,'Budget Detail-Own 2016'!$A13)</f>
        <v>677.86999999999989</v>
      </c>
      <c r="W13" s="38">
        <f t="shared" si="2"/>
        <v>-577.86999999999989</v>
      </c>
      <c r="X13" s="48">
        <f>-SUMIFS('transaction details'!$G:$G,'transaction details'!$H:$H,'Budget Detail-Own 2016'!X$2,'transaction details'!$D:$D,'Budget Detail-Own 2016'!$A13)</f>
        <v>304.16999999999996</v>
      </c>
      <c r="Y13" s="38">
        <f t="shared" si="2"/>
        <v>-204.16999999999996</v>
      </c>
      <c r="Z13" s="48">
        <f>-SUMIFS('transaction details'!$G:$G,'transaction details'!$H:$H,'Budget Detail-Own 2016'!Z$2,'transaction details'!$D:$D,'Budget Detail-Own 2016'!$A13)</f>
        <v>0</v>
      </c>
      <c r="AA13" s="38"/>
    </row>
    <row r="14" spans="1:27" x14ac:dyDescent="0.25">
      <c r="A14" s="46" t="s">
        <v>32</v>
      </c>
      <c r="B14" s="4">
        <f t="shared" si="3"/>
        <v>0</v>
      </c>
      <c r="C14" s="46">
        <v>0</v>
      </c>
      <c r="D14" s="48">
        <f>-SUMIFS('transaction details'!$G:$G,'transaction details'!$H:$H,'Budget Detail-Own 2016'!D$2,'transaction details'!$D:$D,'Budget Detail-Own 2016'!$A14)</f>
        <v>0</v>
      </c>
      <c r="E14" s="38">
        <f t="shared" si="7"/>
        <v>0</v>
      </c>
      <c r="F14" s="48">
        <f>-SUMIFS('transaction details'!$G:$G,'transaction details'!$H:$H,'Budget Detail-Own 2016'!F$2,'transaction details'!$D:$D,'Budget Detail-Own 2016'!$A14)</f>
        <v>0</v>
      </c>
      <c r="G14" s="38">
        <f t="shared" si="7"/>
        <v>0</v>
      </c>
      <c r="H14" s="48">
        <f>-SUMIFS('transaction details'!$G:$G,'transaction details'!$H:$H,'Budget Detail-Own 2016'!H$2,'transaction details'!$D:$D,'Budget Detail-Own 2016'!$A14)</f>
        <v>0</v>
      </c>
      <c r="I14" s="38">
        <f t="shared" si="8"/>
        <v>0</v>
      </c>
      <c r="J14" s="48">
        <f>-SUMIFS('transaction details'!$G:$G,'transaction details'!$H:$H,'Budget Detail-Own 2016'!J$2,'transaction details'!$D:$D,'Budget Detail-Own 2016'!$A14)</f>
        <v>0</v>
      </c>
      <c r="K14" s="38">
        <f t="shared" si="0"/>
        <v>0</v>
      </c>
      <c r="L14" s="48">
        <f>-SUMIFS('transaction details'!$G:$G,'transaction details'!$H:$H,'Budget Detail-Own 2016'!L$2,'transaction details'!$D:$D,'Budget Detail-Own 2016'!$A14)</f>
        <v>0</v>
      </c>
      <c r="M14" s="38">
        <f t="shared" si="1"/>
        <v>0</v>
      </c>
      <c r="N14" s="48">
        <f>-SUMIFS('transaction details'!$G:$G,'transaction details'!$H:$H,'Budget Detail-Own 2016'!N$2,'transaction details'!$D:$D,'Budget Detail-Own 2016'!$A14)</f>
        <v>0</v>
      </c>
      <c r="O14" s="38">
        <f t="shared" si="1"/>
        <v>0</v>
      </c>
      <c r="P14" s="48">
        <f>-SUMIFS('transaction details'!$G:$G,'transaction details'!$H:$H,'Budget Detail-Own 2016'!P$2,'transaction details'!$D:$D,'Budget Detail-Own 2016'!$A14)</f>
        <v>0</v>
      </c>
      <c r="Q14" s="38">
        <f t="shared" si="2"/>
        <v>0</v>
      </c>
      <c r="R14" s="48">
        <f>-SUMIFS('transaction details'!$G:$G,'transaction details'!$H:$H,'Budget Detail-Own 2016'!R$2,'transaction details'!$D:$D,'Budget Detail-Own 2016'!$A14)</f>
        <v>0</v>
      </c>
      <c r="S14" s="38">
        <f t="shared" si="2"/>
        <v>0</v>
      </c>
      <c r="T14" s="48">
        <f>-SUMIFS('transaction details'!$G:$G,'transaction details'!$H:$H,'Budget Detail-Own 2016'!T$2,'transaction details'!$D:$D,'Budget Detail-Own 2016'!$A14)</f>
        <v>0</v>
      </c>
      <c r="U14" s="38">
        <f t="shared" si="2"/>
        <v>0</v>
      </c>
      <c r="V14" s="48">
        <f>-SUMIFS('transaction details'!$G:$G,'transaction details'!$H:$H,'Budget Detail-Own 2016'!V$2,'transaction details'!$D:$D,'Budget Detail-Own 2016'!$A14)</f>
        <v>0</v>
      </c>
      <c r="W14" s="38">
        <f t="shared" si="2"/>
        <v>0</v>
      </c>
      <c r="X14" s="48">
        <f>-SUMIFS('transaction details'!$G:$G,'transaction details'!$H:$H,'Budget Detail-Own 2016'!X$2,'transaction details'!$D:$D,'Budget Detail-Own 2016'!$A14)</f>
        <v>0</v>
      </c>
      <c r="Y14" s="38">
        <f t="shared" si="2"/>
        <v>0</v>
      </c>
      <c r="Z14" s="48">
        <f>-SUMIFS('transaction details'!$G:$G,'transaction details'!$H:$H,'Budget Detail-Own 2016'!Z$2,'transaction details'!$D:$D,'Budget Detail-Own 2016'!$A14)</f>
        <v>0</v>
      </c>
      <c r="AA14" s="38"/>
    </row>
    <row r="15" spans="1:27" x14ac:dyDescent="0.25">
      <c r="A15" s="46" t="s">
        <v>160</v>
      </c>
      <c r="B15" s="4">
        <f t="shared" si="3"/>
        <v>-2764</v>
      </c>
      <c r="C15" s="46">
        <v>20</v>
      </c>
      <c r="D15" s="48">
        <f>-SUMIFS('transaction details'!$G:$G,'transaction details'!$H:$H,'Budget Detail-Own 2016'!D$2,'transaction details'!$D:$D,'Budget Detail-Own 2016'!$A15)</f>
        <v>0</v>
      </c>
      <c r="E15" s="38">
        <f t="shared" si="7"/>
        <v>20</v>
      </c>
      <c r="F15" s="48">
        <f>-SUMIFS('transaction details'!$G:$G,'transaction details'!$H:$H,'Budget Detail-Own 2016'!F$2,'transaction details'!$D:$D,'Budget Detail-Own 2016'!$A15)</f>
        <v>0</v>
      </c>
      <c r="G15" s="38">
        <f t="shared" si="7"/>
        <v>20</v>
      </c>
      <c r="H15" s="48">
        <f>-SUMIFS('transaction details'!$G:$G,'transaction details'!$H:$H,'Budget Detail-Own 2016'!H$2,'transaction details'!$D:$D,'Budget Detail-Own 2016'!$A15)</f>
        <v>10</v>
      </c>
      <c r="I15" s="38">
        <f t="shared" si="8"/>
        <v>10</v>
      </c>
      <c r="J15" s="48">
        <f>-SUMIFS('transaction details'!$G:$G,'transaction details'!$H:$H,'Budget Detail-Own 2016'!J$2,'transaction details'!$D:$D,'Budget Detail-Own 2016'!$A15)</f>
        <v>0</v>
      </c>
      <c r="K15" s="38">
        <f t="shared" si="0"/>
        <v>20</v>
      </c>
      <c r="L15" s="48">
        <f>-SUMIFS('transaction details'!$G:$G,'transaction details'!$H:$H,'Budget Detail-Own 2016'!L$2,'transaction details'!$D:$D,'Budget Detail-Own 2016'!$A15)</f>
        <v>17.059999999999999</v>
      </c>
      <c r="M15" s="38">
        <f t="shared" si="1"/>
        <v>2.9400000000000013</v>
      </c>
      <c r="N15" s="48">
        <f>-SUMIFS('transaction details'!$G:$G,'transaction details'!$H:$H,'Budget Detail-Own 2016'!N$2,'transaction details'!$D:$D,'Budget Detail-Own 2016'!$A15)</f>
        <v>0</v>
      </c>
      <c r="O15" s="38">
        <f t="shared" si="1"/>
        <v>20</v>
      </c>
      <c r="P15" s="48">
        <f>-SUMIFS('transaction details'!$G:$G,'transaction details'!$H:$H,'Budget Detail-Own 2016'!P$2,'transaction details'!$D:$D,'Budget Detail-Own 2016'!$A15)</f>
        <v>32</v>
      </c>
      <c r="Q15" s="38">
        <f t="shared" si="2"/>
        <v>-12</v>
      </c>
      <c r="R15" s="48">
        <f>-SUMIFS('transaction details'!$G:$G,'transaction details'!$H:$H,'Budget Detail-Own 2016'!R$2,'transaction details'!$D:$D,'Budget Detail-Own 2016'!$A15)</f>
        <v>1084.96</v>
      </c>
      <c r="S15" s="38">
        <f t="shared" si="2"/>
        <v>-1064.96</v>
      </c>
      <c r="T15" s="48">
        <f>-SUMIFS('transaction details'!$G:$G,'transaction details'!$H:$H,'Budget Detail-Own 2016'!T$2,'transaction details'!$D:$D,'Budget Detail-Own 2016'!$A15)</f>
        <v>542.48</v>
      </c>
      <c r="U15" s="38">
        <f t="shared" si="2"/>
        <v>-522.48</v>
      </c>
      <c r="V15" s="48">
        <f>-SUMIFS('transaction details'!$G:$G,'transaction details'!$H:$H,'Budget Detail-Own 2016'!V$2,'transaction details'!$D:$D,'Budget Detail-Own 2016'!$A15)</f>
        <v>1297.5</v>
      </c>
      <c r="W15" s="38">
        <f t="shared" si="2"/>
        <v>-1277.5</v>
      </c>
      <c r="X15" s="48">
        <f>-SUMIFS('transaction details'!$G:$G,'transaction details'!$H:$H,'Budget Detail-Own 2016'!X$2,'transaction details'!$D:$D,'Budget Detail-Own 2016'!$A15)</f>
        <v>0</v>
      </c>
      <c r="Y15" s="38">
        <f t="shared" si="2"/>
        <v>20</v>
      </c>
      <c r="Z15" s="48">
        <f>-SUMIFS('transaction details'!$G:$G,'transaction details'!$H:$H,'Budget Detail-Own 2016'!Z$2,'transaction details'!$D:$D,'Budget Detail-Own 2016'!$A15)</f>
        <v>0</v>
      </c>
      <c r="AA15" s="38"/>
    </row>
    <row r="16" spans="1:27" x14ac:dyDescent="0.25">
      <c r="A16" s="46" t="s">
        <v>177</v>
      </c>
      <c r="B16" s="4">
        <f t="shared" si="3"/>
        <v>-3988.0199999999995</v>
      </c>
      <c r="C16" s="38">
        <f>Goals!P7</f>
        <v>500</v>
      </c>
      <c r="D16" s="48">
        <f>-SUMIFS('transaction details'!$G:$G,'transaction details'!$H:$H,'Budget Detail-Own 2016'!D$2,'transaction details'!$D:$D,'Budget Detail-Own 2016'!$A16)</f>
        <v>0</v>
      </c>
      <c r="E16" s="38">
        <f t="shared" si="7"/>
        <v>500</v>
      </c>
      <c r="F16" s="48">
        <f>-SUMIFS('transaction details'!$G:$G,'transaction details'!$H:$H,'Budget Detail-Own 2016'!F$2,'transaction details'!$D:$D,'Budget Detail-Own 2016'!$A16)</f>
        <v>4712.16</v>
      </c>
      <c r="G16" s="38">
        <f t="shared" si="7"/>
        <v>-4212.16</v>
      </c>
      <c r="H16" s="48">
        <f>-SUMIFS('transaction details'!$G:$G,'transaction details'!$H:$H,'Budget Detail-Own 2016'!H$2,'transaction details'!$D:$D,'Budget Detail-Own 2016'!$A16)</f>
        <v>0</v>
      </c>
      <c r="I16" s="38">
        <f t="shared" si="8"/>
        <v>500</v>
      </c>
      <c r="J16" s="48">
        <f>-SUMIFS('transaction details'!$G:$G,'transaction details'!$H:$H,'Budget Detail-Own 2016'!J$2,'transaction details'!$D:$D,'Budget Detail-Own 2016'!$A16)</f>
        <v>0</v>
      </c>
      <c r="K16" s="38">
        <f t="shared" si="0"/>
        <v>500</v>
      </c>
      <c r="L16" s="48">
        <f>-SUMIFS('transaction details'!$G:$G,'transaction details'!$H:$H,'Budget Detail-Own 2016'!L$2,'transaction details'!$D:$D,'Budget Detail-Own 2016'!$A16)</f>
        <v>0</v>
      </c>
      <c r="M16" s="38">
        <f t="shared" si="1"/>
        <v>500</v>
      </c>
      <c r="N16" s="48">
        <f>-SUMIFS('transaction details'!$G:$G,'transaction details'!$H:$H,'Budget Detail-Own 2016'!N$2,'transaction details'!$D:$D,'Budget Detail-Own 2016'!$A16)</f>
        <v>0</v>
      </c>
      <c r="O16" s="38">
        <f t="shared" si="1"/>
        <v>500</v>
      </c>
      <c r="P16" s="48">
        <f>-SUMIFS('transaction details'!$G:$G,'transaction details'!$H:$H,'Budget Detail-Own 2016'!P$2,'transaction details'!$D:$D,'Budget Detail-Own 2016'!$A16)</f>
        <v>0</v>
      </c>
      <c r="Q16" s="38">
        <f t="shared" si="2"/>
        <v>500</v>
      </c>
      <c r="R16" s="48">
        <f>-SUMIFS('transaction details'!$G:$G,'transaction details'!$H:$H,'Budget Detail-Own 2016'!R$2,'transaction details'!$D:$D,'Budget Detail-Own 2016'!$A16)</f>
        <v>0</v>
      </c>
      <c r="S16" s="38">
        <f t="shared" si="2"/>
        <v>500</v>
      </c>
      <c r="T16" s="48">
        <f>-SUMIFS('transaction details'!$G:$G,'transaction details'!$H:$H,'Budget Detail-Own 2016'!T$2,'transaction details'!$D:$D,'Budget Detail-Own 2016'!$A16)</f>
        <v>0</v>
      </c>
      <c r="U16" s="38">
        <f t="shared" si="2"/>
        <v>500</v>
      </c>
      <c r="V16" s="48">
        <f>-SUMIFS('transaction details'!$G:$G,'transaction details'!$H:$H,'Budget Detail-Own 2016'!V$2,'transaction details'!$D:$D,'Budget Detail-Own 2016'!$A16)</f>
        <v>0</v>
      </c>
      <c r="W16" s="38">
        <f t="shared" si="2"/>
        <v>500</v>
      </c>
      <c r="X16" s="48">
        <f>-SUMIFS('transaction details'!$G:$G,'transaction details'!$H:$H,'Budget Detail-Own 2016'!X$2,'transaction details'!$D:$D,'Budget Detail-Own 2016'!$A16)</f>
        <v>4775.8599999999997</v>
      </c>
      <c r="Y16" s="38">
        <f t="shared" si="2"/>
        <v>-4275.8599999999997</v>
      </c>
      <c r="Z16" s="48">
        <f>-SUMIFS('transaction details'!$G:$G,'transaction details'!$H:$H,'Budget Detail-Own 2016'!Z$2,'transaction details'!$D:$D,'Budget Detail-Own 2016'!$A16)</f>
        <v>0</v>
      </c>
      <c r="AA16" s="38"/>
    </row>
    <row r="17" spans="1:27" x14ac:dyDescent="0.25">
      <c r="A17" s="46" t="s">
        <v>183</v>
      </c>
      <c r="B17" s="4">
        <f t="shared" si="3"/>
        <v>-3475.4700000000003</v>
      </c>
      <c r="C17" s="38">
        <v>100</v>
      </c>
      <c r="D17" s="48">
        <f>-SUMIFS('transaction details'!$G:$G,'transaction details'!$H:$H,'Budget Detail-Own 2016'!D$2,'transaction details'!$D:$D,'Budget Detail-Own 2016'!$A17)</f>
        <v>2.7100000000000009</v>
      </c>
      <c r="E17" s="38">
        <f t="shared" si="7"/>
        <v>97.289999999999992</v>
      </c>
      <c r="F17" s="48">
        <f>-SUMIFS('transaction details'!$G:$G,'transaction details'!$H:$H,'Budget Detail-Own 2016'!F$2,'transaction details'!$D:$D,'Budget Detail-Own 2016'!$A17)</f>
        <v>132.75</v>
      </c>
      <c r="G17" s="38">
        <f t="shared" si="7"/>
        <v>-32.75</v>
      </c>
      <c r="H17" s="48">
        <f>-SUMIFS('transaction details'!$G:$G,'transaction details'!$H:$H,'Budget Detail-Own 2016'!H$2,'transaction details'!$D:$D,'Budget Detail-Own 2016'!$A17)</f>
        <v>56.07</v>
      </c>
      <c r="I17" s="38">
        <f t="shared" si="8"/>
        <v>43.93</v>
      </c>
      <c r="J17" s="48">
        <f>-SUMIFS('transaction details'!$G:$G,'transaction details'!$H:$H,'Budget Detail-Own 2016'!J$2,'transaction details'!$D:$D,'Budget Detail-Own 2016'!$A17)</f>
        <v>240.48</v>
      </c>
      <c r="K17" s="38">
        <f t="shared" si="0"/>
        <v>-140.47999999999999</v>
      </c>
      <c r="L17" s="48">
        <f>-SUMIFS('transaction details'!$G:$G,'transaction details'!$H:$H,'Budget Detail-Own 2016'!L$2,'transaction details'!$D:$D,'Budget Detail-Own 2016'!$A17)</f>
        <v>562.7299999999999</v>
      </c>
      <c r="M17" s="38">
        <f t="shared" si="1"/>
        <v>-462.7299999999999</v>
      </c>
      <c r="N17" s="48">
        <f>-SUMIFS('transaction details'!$G:$G,'transaction details'!$H:$H,'Budget Detail-Own 2016'!N$2,'transaction details'!$D:$D,'Budget Detail-Own 2016'!$A17)</f>
        <v>152.25</v>
      </c>
      <c r="O17" s="38">
        <f t="shared" si="1"/>
        <v>-52.25</v>
      </c>
      <c r="P17" s="48">
        <f>-SUMIFS('transaction details'!$G:$G,'transaction details'!$H:$H,'Budget Detail-Own 2016'!P$2,'transaction details'!$D:$D,'Budget Detail-Own 2016'!$A17)</f>
        <v>24.189999999999998</v>
      </c>
      <c r="Q17" s="38">
        <f t="shared" si="2"/>
        <v>75.81</v>
      </c>
      <c r="R17" s="48">
        <f>-SUMIFS('transaction details'!$G:$G,'transaction details'!$H:$H,'Budget Detail-Own 2016'!R$2,'transaction details'!$D:$D,'Budget Detail-Own 2016'!$A17)</f>
        <v>21.270000000000003</v>
      </c>
      <c r="S17" s="38">
        <f t="shared" si="2"/>
        <v>78.72999999999999</v>
      </c>
      <c r="T17" s="48">
        <f>-SUMIFS('transaction details'!$G:$G,'transaction details'!$H:$H,'Budget Detail-Own 2016'!T$2,'transaction details'!$D:$D,'Budget Detail-Own 2016'!$A17)</f>
        <v>5.42</v>
      </c>
      <c r="U17" s="38">
        <f t="shared" si="2"/>
        <v>94.58</v>
      </c>
      <c r="V17" s="48">
        <f>-SUMIFS('transaction details'!$G:$G,'transaction details'!$H:$H,'Budget Detail-Own 2016'!V$2,'transaction details'!$D:$D,'Budget Detail-Own 2016'!$A17)</f>
        <v>822.46</v>
      </c>
      <c r="W17" s="38">
        <f t="shared" si="2"/>
        <v>-722.46</v>
      </c>
      <c r="X17" s="48">
        <f>-SUMIFS('transaction details'!$G:$G,'transaction details'!$H:$H,'Budget Detail-Own 2016'!X$2,'transaction details'!$D:$D,'Budget Detail-Own 2016'!$A17)</f>
        <v>2555.1400000000003</v>
      </c>
      <c r="Y17" s="38">
        <f t="shared" si="2"/>
        <v>-2455.1400000000003</v>
      </c>
      <c r="Z17" s="48">
        <f>-SUMIFS('transaction details'!$G:$G,'transaction details'!$H:$H,'Budget Detail-Own 2016'!Z$2,'transaction details'!$D:$D,'Budget Detail-Own 2016'!$A17)</f>
        <v>0</v>
      </c>
      <c r="AA17" s="38"/>
    </row>
    <row r="18" spans="1:27" x14ac:dyDescent="0.25">
      <c r="A18" s="46" t="s">
        <v>175</v>
      </c>
      <c r="B18" s="4">
        <f t="shared" si="3"/>
        <v>-1193.95</v>
      </c>
      <c r="C18" s="38">
        <f>Goals!P8</f>
        <v>60</v>
      </c>
      <c r="D18" s="48">
        <f>-SUMIFS('transaction details'!$G:$G,'transaction details'!$H:$H,'Budget Detail-Own 2016'!D$2,'transaction details'!$D:$D,'Budget Detail-Own 2016'!$A18)</f>
        <v>0</v>
      </c>
      <c r="E18" s="38">
        <f t="shared" si="7"/>
        <v>60</v>
      </c>
      <c r="F18" s="48">
        <f>-SUMIFS('transaction details'!$G:$G,'transaction details'!$H:$H,'Budget Detail-Own 2016'!F$2,'transaction details'!$D:$D,'Budget Detail-Own 2016'!$A18)</f>
        <v>0</v>
      </c>
      <c r="G18" s="38">
        <f t="shared" si="7"/>
        <v>60</v>
      </c>
      <c r="H18" s="48">
        <f>-SUMIFS('transaction details'!$G:$G,'transaction details'!$H:$H,'Budget Detail-Own 2016'!H$2,'transaction details'!$D:$D,'Budget Detail-Own 2016'!$A18)</f>
        <v>0</v>
      </c>
      <c r="I18" s="38">
        <f t="shared" si="8"/>
        <v>60</v>
      </c>
      <c r="J18" s="48">
        <f>-SUMIFS('transaction details'!$G:$G,'transaction details'!$H:$H,'Budget Detail-Own 2016'!J$2,'transaction details'!$D:$D,'Budget Detail-Own 2016'!$A18)</f>
        <v>550.76</v>
      </c>
      <c r="K18" s="38">
        <f t="shared" si="0"/>
        <v>-490.76</v>
      </c>
      <c r="L18" s="48">
        <f>-SUMIFS('transaction details'!$G:$G,'transaction details'!$H:$H,'Budget Detail-Own 2016'!L$2,'transaction details'!$D:$D,'Budget Detail-Own 2016'!$A18)</f>
        <v>692.33</v>
      </c>
      <c r="M18" s="38">
        <f t="shared" si="1"/>
        <v>-632.33000000000004</v>
      </c>
      <c r="N18" s="48">
        <f>-SUMIFS('transaction details'!$G:$G,'transaction details'!$H:$H,'Budget Detail-Own 2016'!N$2,'transaction details'!$D:$D,'Budget Detail-Own 2016'!$A18)</f>
        <v>0</v>
      </c>
      <c r="O18" s="38">
        <f t="shared" si="1"/>
        <v>60</v>
      </c>
      <c r="P18" s="48">
        <f>-SUMIFS('transaction details'!$G:$G,'transaction details'!$H:$H,'Budget Detail-Own 2016'!P$2,'transaction details'!$D:$D,'Budget Detail-Own 2016'!$A18)</f>
        <v>0</v>
      </c>
      <c r="Q18" s="38">
        <f t="shared" si="2"/>
        <v>60</v>
      </c>
      <c r="R18" s="48">
        <f>-SUMIFS('transaction details'!$G:$G,'transaction details'!$H:$H,'Budget Detail-Own 2016'!R$2,'transaction details'!$D:$D,'Budget Detail-Own 2016'!$A18)</f>
        <v>0</v>
      </c>
      <c r="S18" s="38">
        <f t="shared" si="2"/>
        <v>60</v>
      </c>
      <c r="T18" s="48">
        <f>-SUMIFS('transaction details'!$G:$G,'transaction details'!$H:$H,'Budget Detail-Own 2016'!T$2,'transaction details'!$D:$D,'Budget Detail-Own 2016'!$A18)</f>
        <v>0</v>
      </c>
      <c r="U18" s="38">
        <f t="shared" si="2"/>
        <v>60</v>
      </c>
      <c r="V18" s="48">
        <f>-SUMIFS('transaction details'!$G:$G,'transaction details'!$H:$H,'Budget Detail-Own 2016'!V$2,'transaction details'!$D:$D,'Budget Detail-Own 2016'!$A18)</f>
        <v>0</v>
      </c>
      <c r="W18" s="38">
        <f t="shared" si="2"/>
        <v>60</v>
      </c>
      <c r="X18" s="48">
        <f>-SUMIFS('transaction details'!$G:$G,'transaction details'!$H:$H,'Budget Detail-Own 2016'!X$2,'transaction details'!$D:$D,'Budget Detail-Own 2016'!$A18)</f>
        <v>610.86</v>
      </c>
      <c r="Y18" s="38">
        <f t="shared" si="2"/>
        <v>-550.86</v>
      </c>
      <c r="Z18" s="48">
        <f>-SUMIFS('transaction details'!$G:$G,'transaction details'!$H:$H,'Budget Detail-Own 2016'!Z$2,'transaction details'!$D:$D,'Budget Detail-Own 2016'!$A18)</f>
        <v>0</v>
      </c>
      <c r="AA18" s="38"/>
    </row>
    <row r="19" spans="1:27" x14ac:dyDescent="0.25">
      <c r="A19" s="46" t="s">
        <v>57</v>
      </c>
      <c r="B19" s="4">
        <f t="shared" si="3"/>
        <v>450.51</v>
      </c>
      <c r="C19" s="46">
        <v>48</v>
      </c>
      <c r="D19" s="48">
        <f>-SUMIFS('transaction details'!$G:$G,'transaction details'!$H:$H,'Budget Detail-Own 2016'!D$2,'transaction details'!$D:$D,'Budget Detail-Own 2016'!$A19)</f>
        <v>0</v>
      </c>
      <c r="E19" s="38">
        <f t="shared" si="7"/>
        <v>48</v>
      </c>
      <c r="F19" s="48">
        <f>-SUMIFS('transaction details'!$G:$G,'transaction details'!$H:$H,'Budget Detail-Own 2016'!F$2,'transaction details'!$D:$D,'Budget Detail-Own 2016'!$A19)</f>
        <v>0</v>
      </c>
      <c r="G19" s="38">
        <f t="shared" si="7"/>
        <v>48</v>
      </c>
      <c r="H19" s="48">
        <f>-SUMIFS('transaction details'!$G:$G,'transaction details'!$H:$H,'Budget Detail-Own 2016'!H$2,'transaction details'!$D:$D,'Budget Detail-Own 2016'!$A19)</f>
        <v>77.489999999999995</v>
      </c>
      <c r="I19" s="38">
        <f t="shared" si="8"/>
        <v>-29.489999999999995</v>
      </c>
      <c r="J19" s="48">
        <f>-SUMIFS('transaction details'!$G:$G,'transaction details'!$H:$H,'Budget Detail-Own 2016'!J$2,'transaction details'!$D:$D,'Budget Detail-Own 2016'!$A19)</f>
        <v>0</v>
      </c>
      <c r="K19" s="38">
        <f t="shared" si="0"/>
        <v>48</v>
      </c>
      <c r="L19" s="48">
        <f>-SUMIFS('transaction details'!$G:$G,'transaction details'!$H:$H,'Budget Detail-Own 2016'!L$2,'transaction details'!$D:$D,'Budget Detail-Own 2016'!$A19)</f>
        <v>0</v>
      </c>
      <c r="M19" s="38">
        <f t="shared" si="1"/>
        <v>48</v>
      </c>
      <c r="N19" s="48">
        <f>-SUMIFS('transaction details'!$G:$G,'transaction details'!$H:$H,'Budget Detail-Own 2016'!N$2,'transaction details'!$D:$D,'Budget Detail-Own 2016'!$A19)</f>
        <v>0</v>
      </c>
      <c r="O19" s="38">
        <f t="shared" si="1"/>
        <v>48</v>
      </c>
      <c r="P19" s="48">
        <f>-SUMIFS('transaction details'!$G:$G,'transaction details'!$H:$H,'Budget Detail-Own 2016'!P$2,'transaction details'!$D:$D,'Budget Detail-Own 2016'!$A19)</f>
        <v>0</v>
      </c>
      <c r="Q19" s="38">
        <f t="shared" si="2"/>
        <v>48</v>
      </c>
      <c r="R19" s="48">
        <f>-SUMIFS('transaction details'!$G:$G,'transaction details'!$H:$H,'Budget Detail-Own 2016'!R$2,'transaction details'!$D:$D,'Budget Detail-Own 2016'!$A19)</f>
        <v>0</v>
      </c>
      <c r="S19" s="38">
        <f t="shared" si="2"/>
        <v>48</v>
      </c>
      <c r="T19" s="48">
        <f>-SUMIFS('transaction details'!$G:$G,'transaction details'!$H:$H,'Budget Detail-Own 2016'!T$2,'transaction details'!$D:$D,'Budget Detail-Own 2016'!$A19)</f>
        <v>0</v>
      </c>
      <c r="U19" s="38">
        <f t="shared" si="2"/>
        <v>48</v>
      </c>
      <c r="V19" s="48">
        <f>-SUMIFS('transaction details'!$G:$G,'transaction details'!$H:$H,'Budget Detail-Own 2016'!V$2,'transaction details'!$D:$D,'Budget Detail-Own 2016'!$A19)</f>
        <v>0</v>
      </c>
      <c r="W19" s="38">
        <f t="shared" si="2"/>
        <v>48</v>
      </c>
      <c r="X19" s="48">
        <f>-SUMIFS('transaction details'!$G:$G,'transaction details'!$H:$H,'Budget Detail-Own 2016'!X$2,'transaction details'!$D:$D,'Budget Detail-Own 2016'!$A19)</f>
        <v>0</v>
      </c>
      <c r="Y19" s="38">
        <f t="shared" si="2"/>
        <v>48</v>
      </c>
      <c r="Z19" s="48">
        <f>-SUMIFS('transaction details'!$G:$G,'transaction details'!$H:$H,'Budget Detail-Own 2016'!Z$2,'transaction details'!$D:$D,'Budget Detail-Own 2016'!$A19)</f>
        <v>0</v>
      </c>
      <c r="AA19" s="38"/>
    </row>
    <row r="20" spans="1:27" x14ac:dyDescent="0.25">
      <c r="A20" s="46" t="s">
        <v>112</v>
      </c>
      <c r="B20" s="4">
        <f t="shared" si="3"/>
        <v>-13.5</v>
      </c>
      <c r="C20" s="46">
        <v>0</v>
      </c>
      <c r="D20" s="48">
        <f>-SUMIFS('transaction details'!$G:$G,'transaction details'!$H:$H,'Budget Detail-Own 2016'!D$2,'transaction details'!$D:$D,'Budget Detail-Own 2016'!$A20)</f>
        <v>0</v>
      </c>
      <c r="E20" s="38">
        <f t="shared" si="7"/>
        <v>0</v>
      </c>
      <c r="F20" s="48">
        <f>-SUMIFS('transaction details'!$G:$G,'transaction details'!$H:$H,'Budget Detail-Own 2016'!F$2,'transaction details'!$D:$D,'Budget Detail-Own 2016'!$A20)</f>
        <v>0</v>
      </c>
      <c r="G20" s="38">
        <f t="shared" si="7"/>
        <v>0</v>
      </c>
      <c r="H20" s="48">
        <f>-SUMIFS('transaction details'!$G:$G,'transaction details'!$H:$H,'Budget Detail-Own 2016'!H$2,'transaction details'!$D:$D,'Budget Detail-Own 2016'!$A20)</f>
        <v>0</v>
      </c>
      <c r="I20" s="38">
        <f t="shared" si="8"/>
        <v>0</v>
      </c>
      <c r="J20" s="48">
        <f>-SUMIFS('transaction details'!$G:$G,'transaction details'!$H:$H,'Budget Detail-Own 2016'!J$2,'transaction details'!$D:$D,'Budget Detail-Own 2016'!$A20)</f>
        <v>0</v>
      </c>
      <c r="K20" s="38">
        <f t="shared" si="0"/>
        <v>0</v>
      </c>
      <c r="L20" s="48">
        <f>-SUMIFS('transaction details'!$G:$G,'transaction details'!$H:$H,'Budget Detail-Own 2016'!L$2,'transaction details'!$D:$D,'Budget Detail-Own 2016'!$A20)</f>
        <v>0</v>
      </c>
      <c r="M20" s="38">
        <f t="shared" si="1"/>
        <v>0</v>
      </c>
      <c r="N20" s="48">
        <f>-SUMIFS('transaction details'!$G:$G,'transaction details'!$H:$H,'Budget Detail-Own 2016'!N$2,'transaction details'!$D:$D,'Budget Detail-Own 2016'!$A20)</f>
        <v>13.5</v>
      </c>
      <c r="O20" s="38">
        <f t="shared" si="1"/>
        <v>-13.5</v>
      </c>
      <c r="P20" s="48">
        <f>-SUMIFS('transaction details'!$G:$G,'transaction details'!$H:$H,'Budget Detail-Own 2016'!P$2,'transaction details'!$D:$D,'Budget Detail-Own 2016'!$A20)</f>
        <v>0</v>
      </c>
      <c r="Q20" s="38">
        <f t="shared" si="2"/>
        <v>0</v>
      </c>
      <c r="R20" s="48">
        <f>-SUMIFS('transaction details'!$G:$G,'transaction details'!$H:$H,'Budget Detail-Own 2016'!R$2,'transaction details'!$D:$D,'Budget Detail-Own 2016'!$A20)</f>
        <v>0</v>
      </c>
      <c r="S20" s="38">
        <f t="shared" si="2"/>
        <v>0</v>
      </c>
      <c r="T20" s="48">
        <f>-SUMIFS('transaction details'!$G:$G,'transaction details'!$H:$H,'Budget Detail-Own 2016'!T$2,'transaction details'!$D:$D,'Budget Detail-Own 2016'!$A20)</f>
        <v>0</v>
      </c>
      <c r="U20" s="38">
        <f t="shared" si="2"/>
        <v>0</v>
      </c>
      <c r="V20" s="48">
        <f>-SUMIFS('transaction details'!$G:$G,'transaction details'!$H:$H,'Budget Detail-Own 2016'!V$2,'transaction details'!$D:$D,'Budget Detail-Own 2016'!$A20)</f>
        <v>0</v>
      </c>
      <c r="W20" s="38">
        <f t="shared" si="2"/>
        <v>0</v>
      </c>
      <c r="X20" s="48">
        <f>-SUMIFS('transaction details'!$G:$G,'transaction details'!$H:$H,'Budget Detail-Own 2016'!X$2,'transaction details'!$D:$D,'Budget Detail-Own 2016'!$A20)</f>
        <v>0</v>
      </c>
      <c r="Y20" s="38">
        <f t="shared" si="2"/>
        <v>0</v>
      </c>
      <c r="Z20" s="48">
        <f>-SUMIFS('transaction details'!$G:$G,'transaction details'!$H:$H,'Budget Detail-Own 2016'!Z$2,'transaction details'!$D:$D,'Budget Detail-Own 2016'!$A20)</f>
        <v>0</v>
      </c>
      <c r="AA20" s="38"/>
    </row>
    <row r="21" spans="1:27" x14ac:dyDescent="0.25">
      <c r="A21" s="46" t="s">
        <v>34</v>
      </c>
      <c r="B21" s="4">
        <f t="shared" si="3"/>
        <v>0</v>
      </c>
      <c r="C21" s="46">
        <v>0</v>
      </c>
      <c r="D21" s="48">
        <f>-SUMIFS('transaction details'!$G:$G,'transaction details'!$H:$H,'Budget Detail-Own 2016'!D$2,'transaction details'!$D:$D,'Budget Detail-Own 2016'!$A21)</f>
        <v>0</v>
      </c>
      <c r="E21" s="38">
        <f t="shared" si="7"/>
        <v>0</v>
      </c>
      <c r="F21" s="48">
        <f>-SUMIFS('transaction details'!$G:$G,'transaction details'!$H:$H,'Budget Detail-Own 2016'!F$2,'transaction details'!$D:$D,'Budget Detail-Own 2016'!$A21)</f>
        <v>0</v>
      </c>
      <c r="G21" s="38">
        <f t="shared" si="7"/>
        <v>0</v>
      </c>
      <c r="H21" s="48">
        <f>-SUMIFS('transaction details'!$G:$G,'transaction details'!$H:$H,'Budget Detail-Own 2016'!H$2,'transaction details'!$D:$D,'Budget Detail-Own 2016'!$A21)</f>
        <v>0</v>
      </c>
      <c r="I21" s="38">
        <f t="shared" si="8"/>
        <v>0</v>
      </c>
      <c r="J21" s="48">
        <f>-SUMIFS('transaction details'!$G:$G,'transaction details'!$H:$H,'Budget Detail-Own 2016'!J$2,'transaction details'!$D:$D,'Budget Detail-Own 2016'!$A21)</f>
        <v>0</v>
      </c>
      <c r="K21" s="38">
        <f t="shared" si="0"/>
        <v>0</v>
      </c>
      <c r="L21" s="48">
        <f>-SUMIFS('transaction details'!$G:$G,'transaction details'!$H:$H,'Budget Detail-Own 2016'!L$2,'transaction details'!$D:$D,'Budget Detail-Own 2016'!$A21)</f>
        <v>0</v>
      </c>
      <c r="M21" s="38">
        <f t="shared" si="1"/>
        <v>0</v>
      </c>
      <c r="N21" s="48">
        <f>-SUMIFS('transaction details'!$G:$G,'transaction details'!$H:$H,'Budget Detail-Own 2016'!N$2,'transaction details'!$D:$D,'Budget Detail-Own 2016'!$A21)</f>
        <v>0</v>
      </c>
      <c r="O21" s="38">
        <f t="shared" si="1"/>
        <v>0</v>
      </c>
      <c r="P21" s="48">
        <f>-SUMIFS('transaction details'!$G:$G,'transaction details'!$H:$H,'Budget Detail-Own 2016'!P$2,'transaction details'!$D:$D,'Budget Detail-Own 2016'!$A21)</f>
        <v>0</v>
      </c>
      <c r="Q21" s="38">
        <f t="shared" si="2"/>
        <v>0</v>
      </c>
      <c r="R21" s="48">
        <f>-SUMIFS('transaction details'!$G:$G,'transaction details'!$H:$H,'Budget Detail-Own 2016'!R$2,'transaction details'!$D:$D,'Budget Detail-Own 2016'!$A21)</f>
        <v>0</v>
      </c>
      <c r="S21" s="38">
        <f t="shared" si="2"/>
        <v>0</v>
      </c>
      <c r="T21" s="48">
        <f>-SUMIFS('transaction details'!$G:$G,'transaction details'!$H:$H,'Budget Detail-Own 2016'!T$2,'transaction details'!$D:$D,'Budget Detail-Own 2016'!$A21)</f>
        <v>0</v>
      </c>
      <c r="U21" s="38">
        <f t="shared" si="2"/>
        <v>0</v>
      </c>
      <c r="V21" s="48">
        <f>-SUMIFS('transaction details'!$G:$G,'transaction details'!$H:$H,'Budget Detail-Own 2016'!V$2,'transaction details'!$D:$D,'Budget Detail-Own 2016'!$A21)</f>
        <v>0</v>
      </c>
      <c r="W21" s="38">
        <f t="shared" si="2"/>
        <v>0</v>
      </c>
      <c r="X21" s="48">
        <f>-SUMIFS('transaction details'!$G:$G,'transaction details'!$H:$H,'Budget Detail-Own 2016'!X$2,'transaction details'!$D:$D,'Budget Detail-Own 2016'!$A21)</f>
        <v>0</v>
      </c>
      <c r="Y21" s="38">
        <f t="shared" si="2"/>
        <v>0</v>
      </c>
      <c r="Z21" s="48">
        <f>-SUMIFS('transaction details'!$G:$G,'transaction details'!$H:$H,'Budget Detail-Own 2016'!Z$2,'transaction details'!$D:$D,'Budget Detail-Own 2016'!$A21)</f>
        <v>0</v>
      </c>
      <c r="AA21" s="38"/>
    </row>
    <row r="22" spans="1:27" x14ac:dyDescent="0.25">
      <c r="A22" s="46" t="s">
        <v>179</v>
      </c>
      <c r="B22" s="4">
        <f t="shared" si="3"/>
        <v>-2656.2100000000009</v>
      </c>
      <c r="C22" s="46">
        <v>3116</v>
      </c>
      <c r="D22" s="48">
        <f>-SUMIFS('transaction details'!$G:$G,'transaction details'!$H:$H,'Budget Detail-Own 2016'!D$2,'transaction details'!$D:$D,'Budget Detail-Own 2016'!$A22)</f>
        <v>3116.77</v>
      </c>
      <c r="E22" s="38">
        <f t="shared" si="7"/>
        <v>-0.76999999999998181</v>
      </c>
      <c r="F22" s="48">
        <f>-SUMIFS('transaction details'!$G:$G,'transaction details'!$H:$H,'Budget Detail-Own 2016'!F$2,'transaction details'!$D:$D,'Budget Detail-Own 2016'!$A22)</f>
        <v>3116.77</v>
      </c>
      <c r="G22" s="38">
        <f t="shared" si="7"/>
        <v>-0.76999999999998181</v>
      </c>
      <c r="H22" s="48">
        <f>-SUMIFS('transaction details'!$G:$G,'transaction details'!$H:$H,'Budget Detail-Own 2016'!H$2,'transaction details'!$D:$D,'Budget Detail-Own 2016'!$A22)</f>
        <v>3116.77</v>
      </c>
      <c r="I22" s="38">
        <f t="shared" si="8"/>
        <v>-0.76999999999998181</v>
      </c>
      <c r="J22" s="48">
        <f>-SUMIFS('transaction details'!$G:$G,'transaction details'!$H:$H,'Budget Detail-Own 2016'!J$2,'transaction details'!$D:$D,'Budget Detail-Own 2016'!$A22)</f>
        <v>3116.77</v>
      </c>
      <c r="K22" s="38">
        <f t="shared" si="0"/>
        <v>-0.76999999999998181</v>
      </c>
      <c r="L22" s="48">
        <f>-SUMIFS('transaction details'!$G:$G,'transaction details'!$H:$H,'Budget Detail-Own 2016'!L$2,'transaction details'!$D:$D,'Budget Detail-Own 2016'!$A22)</f>
        <v>5072.18</v>
      </c>
      <c r="M22" s="38">
        <f t="shared" si="1"/>
        <v>-1956.1800000000003</v>
      </c>
      <c r="N22" s="48">
        <f>-SUMIFS('transaction details'!$G:$G,'transaction details'!$H:$H,'Budget Detail-Own 2016'!N$2,'transaction details'!$D:$D,'Budget Detail-Own 2016'!$A22)</f>
        <v>3116.77</v>
      </c>
      <c r="O22" s="38">
        <f t="shared" si="1"/>
        <v>-0.76999999999998181</v>
      </c>
      <c r="P22" s="48">
        <f>-SUMIFS('transaction details'!$G:$G,'transaction details'!$H:$H,'Budget Detail-Own 2016'!P$2,'transaction details'!$D:$D,'Budget Detail-Own 2016'!$A22)</f>
        <v>3116.77</v>
      </c>
      <c r="Q22" s="38">
        <f t="shared" si="2"/>
        <v>-0.76999999999998181</v>
      </c>
      <c r="R22" s="48">
        <f>-SUMIFS('transaction details'!$G:$G,'transaction details'!$H:$H,'Budget Detail-Own 2016'!R$2,'transaction details'!$D:$D,'Budget Detail-Own 2016'!$A22)</f>
        <v>3116.77</v>
      </c>
      <c r="S22" s="38">
        <f t="shared" si="2"/>
        <v>-0.76999999999998181</v>
      </c>
      <c r="T22" s="48">
        <f>-SUMIFS('transaction details'!$G:$G,'transaction details'!$H:$H,'Budget Detail-Own 2016'!T$2,'transaction details'!$D:$D,'Budget Detail-Own 2016'!$A22)</f>
        <v>4403.6900000000005</v>
      </c>
      <c r="U22" s="38">
        <f t="shared" si="2"/>
        <v>-1287.6900000000005</v>
      </c>
      <c r="V22" s="48">
        <f>-SUMIFS('transaction details'!$G:$G,'transaction details'!$H:$H,'Budget Detail-Own 2016'!V$2,'transaction details'!$D:$D,'Budget Detail-Own 2016'!$A22)</f>
        <v>3116.77</v>
      </c>
      <c r="W22" s="38">
        <f t="shared" si="2"/>
        <v>-0.76999999999998181</v>
      </c>
      <c r="X22" s="48">
        <f>-SUMIFS('transaction details'!$G:$G,'transaction details'!$H:$H,'Budget Detail-Own 2016'!X$2,'transaction details'!$D:$D,'Budget Detail-Own 2016'!$A22)</f>
        <v>2522.1800000000003</v>
      </c>
      <c r="Y22" s="38">
        <f t="shared" si="2"/>
        <v>593.81999999999971</v>
      </c>
      <c r="Z22" s="48">
        <f>-SUMIFS('transaction details'!$G:$G,'transaction details'!$H:$H,'Budget Detail-Own 2016'!Z$2,'transaction details'!$D:$D,'Budget Detail-Own 2016'!$A22)</f>
        <v>0</v>
      </c>
      <c r="AA22" s="38"/>
    </row>
    <row r="23" spans="1:27" x14ac:dyDescent="0.25">
      <c r="A23" s="46" t="s">
        <v>167</v>
      </c>
      <c r="B23" s="4">
        <f t="shared" si="3"/>
        <v>-280.3</v>
      </c>
      <c r="C23" s="46">
        <v>0</v>
      </c>
      <c r="D23" s="48">
        <f>-SUMIFS('transaction details'!$G:$G,'transaction details'!$H:$H,'Budget Detail-Own 2016'!D$2,'transaction details'!$D:$D,'Budget Detail-Own 2016'!$A23)</f>
        <v>7.99</v>
      </c>
      <c r="E23" s="38">
        <f t="shared" si="7"/>
        <v>-7.99</v>
      </c>
      <c r="F23" s="48">
        <f>-SUMIFS('transaction details'!$G:$G,'transaction details'!$H:$H,'Budget Detail-Own 2016'!F$2,'transaction details'!$D:$D,'Budget Detail-Own 2016'!$A23)</f>
        <v>7.99</v>
      </c>
      <c r="G23" s="38">
        <f t="shared" si="7"/>
        <v>-7.99</v>
      </c>
      <c r="H23" s="48">
        <f>-SUMIFS('transaction details'!$G:$G,'transaction details'!$H:$H,'Budget Detail-Own 2016'!H$2,'transaction details'!$D:$D,'Budget Detail-Own 2016'!$A23)</f>
        <v>155.99</v>
      </c>
      <c r="I23" s="38">
        <f t="shared" si="8"/>
        <v>-155.99</v>
      </c>
      <c r="J23" s="48">
        <f>-SUMIFS('transaction details'!$G:$G,'transaction details'!$H:$H,'Budget Detail-Own 2016'!J$2,'transaction details'!$D:$D,'Budget Detail-Own 2016'!$A23)</f>
        <v>0</v>
      </c>
      <c r="K23" s="38">
        <f t="shared" si="0"/>
        <v>0</v>
      </c>
      <c r="L23" s="48">
        <f>-SUMIFS('transaction details'!$G:$G,'transaction details'!$H:$H,'Budget Detail-Own 2016'!L$2,'transaction details'!$D:$D,'Budget Detail-Own 2016'!$A23)</f>
        <v>8.98</v>
      </c>
      <c r="M23" s="38">
        <f t="shared" si="1"/>
        <v>-8.98</v>
      </c>
      <c r="N23" s="48">
        <f>-SUMIFS('transaction details'!$G:$G,'transaction details'!$H:$H,'Budget Detail-Own 2016'!N$2,'transaction details'!$D:$D,'Budget Detail-Own 2016'!$A23)</f>
        <v>13.98</v>
      </c>
      <c r="O23" s="38">
        <f t="shared" si="1"/>
        <v>-13.98</v>
      </c>
      <c r="P23" s="48">
        <f>-SUMIFS('transaction details'!$G:$G,'transaction details'!$H:$H,'Budget Detail-Own 2016'!P$2,'transaction details'!$D:$D,'Budget Detail-Own 2016'!$A23)</f>
        <v>7.99</v>
      </c>
      <c r="Q23" s="38">
        <f t="shared" si="2"/>
        <v>-7.99</v>
      </c>
      <c r="R23" s="48">
        <f>-SUMIFS('transaction details'!$G:$G,'transaction details'!$H:$H,'Budget Detail-Own 2016'!R$2,'transaction details'!$D:$D,'Budget Detail-Own 2016'!$A23)</f>
        <v>7.99</v>
      </c>
      <c r="S23" s="38">
        <f t="shared" si="2"/>
        <v>-7.99</v>
      </c>
      <c r="T23" s="48">
        <f>-SUMIFS('transaction details'!$G:$G,'transaction details'!$H:$H,'Budget Detail-Own 2016'!T$2,'transaction details'!$D:$D,'Budget Detail-Own 2016'!$A23)</f>
        <v>53.41</v>
      </c>
      <c r="U23" s="38">
        <f t="shared" si="2"/>
        <v>-53.41</v>
      </c>
      <c r="V23" s="48">
        <f>-SUMIFS('transaction details'!$G:$G,'transaction details'!$H:$H,'Budget Detail-Own 2016'!V$2,'transaction details'!$D:$D,'Budget Detail-Own 2016'!$A23)</f>
        <v>7.99</v>
      </c>
      <c r="W23" s="38">
        <f t="shared" si="2"/>
        <v>-7.99</v>
      </c>
      <c r="X23" s="48">
        <f>-SUMIFS('transaction details'!$G:$G,'transaction details'!$H:$H,'Budget Detail-Own 2016'!X$2,'transaction details'!$D:$D,'Budget Detail-Own 2016'!$A23)</f>
        <v>7.99</v>
      </c>
      <c r="Y23" s="38">
        <f t="shared" si="2"/>
        <v>-7.99</v>
      </c>
      <c r="Z23" s="48">
        <f>-SUMIFS('transaction details'!$G:$G,'transaction details'!$H:$H,'Budget Detail-Own 2016'!Z$2,'transaction details'!$D:$D,'Budget Detail-Own 2016'!$A23)</f>
        <v>0</v>
      </c>
      <c r="AA23" s="38"/>
    </row>
    <row r="24" spans="1:27" x14ac:dyDescent="0.25">
      <c r="A24" s="46" t="s">
        <v>35</v>
      </c>
      <c r="B24" s="4">
        <f t="shared" si="3"/>
        <v>-88.81</v>
      </c>
      <c r="C24" s="46">
        <v>15</v>
      </c>
      <c r="D24" s="48">
        <f>-SUMIFS('transaction details'!$G:$G,'transaction details'!$H:$H,'Budget Detail-Own 2016'!D$2,'transaction details'!$D:$D,'Budget Detail-Own 2016'!$A24)</f>
        <v>14.99</v>
      </c>
      <c r="E24" s="38">
        <f t="shared" si="7"/>
        <v>9.9999999999997868E-3</v>
      </c>
      <c r="F24" s="48">
        <f>-SUMIFS('transaction details'!$G:$G,'transaction details'!$H:$H,'Budget Detail-Own 2016'!F$2,'transaction details'!$D:$D,'Budget Detail-Own 2016'!$A24)</f>
        <v>14.99</v>
      </c>
      <c r="G24" s="38">
        <f t="shared" si="7"/>
        <v>9.9999999999997868E-3</v>
      </c>
      <c r="H24" s="48">
        <f>-SUMIFS('transaction details'!$G:$G,'transaction details'!$H:$H,'Budget Detail-Own 2016'!H$2,'transaction details'!$D:$D,'Budget Detail-Own 2016'!$A24)</f>
        <v>14.99</v>
      </c>
      <c r="I24" s="38">
        <f t="shared" si="8"/>
        <v>9.9999999999997868E-3</v>
      </c>
      <c r="J24" s="48">
        <f>-SUMIFS('transaction details'!$G:$G,'transaction details'!$H:$H,'Budget Detail-Own 2016'!J$2,'transaction details'!$D:$D,'Budget Detail-Own 2016'!$A24)</f>
        <v>22.98</v>
      </c>
      <c r="K24" s="38">
        <f t="shared" si="0"/>
        <v>-7.98</v>
      </c>
      <c r="L24" s="48">
        <f>-SUMIFS('transaction details'!$G:$G,'transaction details'!$H:$H,'Budget Detail-Own 2016'!L$2,'transaction details'!$D:$D,'Budget Detail-Own 2016'!$A24)</f>
        <v>22.98</v>
      </c>
      <c r="M24" s="38">
        <f t="shared" si="1"/>
        <v>-7.98</v>
      </c>
      <c r="N24" s="48">
        <f>-SUMIFS('transaction details'!$G:$G,'transaction details'!$H:$H,'Budget Detail-Own 2016'!N$2,'transaction details'!$D:$D,'Budget Detail-Own 2016'!$A24)</f>
        <v>14.99</v>
      </c>
      <c r="O24" s="38">
        <f t="shared" si="1"/>
        <v>9.9999999999997868E-3</v>
      </c>
      <c r="P24" s="48">
        <f>-SUMIFS('transaction details'!$G:$G,'transaction details'!$H:$H,'Budget Detail-Own 2016'!P$2,'transaction details'!$D:$D,'Budget Detail-Own 2016'!$A24)</f>
        <v>14.99</v>
      </c>
      <c r="Q24" s="38">
        <f t="shared" si="2"/>
        <v>9.9999999999997868E-3</v>
      </c>
      <c r="R24" s="48">
        <f>-SUMIFS('transaction details'!$G:$G,'transaction details'!$H:$H,'Budget Detail-Own 2016'!R$2,'transaction details'!$D:$D,'Budget Detail-Own 2016'!$A24)</f>
        <v>14.99</v>
      </c>
      <c r="S24" s="38">
        <f t="shared" si="2"/>
        <v>9.9999999999997868E-3</v>
      </c>
      <c r="T24" s="48">
        <f>-SUMIFS('transaction details'!$G:$G,'transaction details'!$H:$H,'Budget Detail-Own 2016'!T$2,'transaction details'!$D:$D,'Budget Detail-Own 2016'!$A24)</f>
        <v>22.98</v>
      </c>
      <c r="U24" s="38">
        <f t="shared" si="2"/>
        <v>-7.98</v>
      </c>
      <c r="V24" s="48">
        <f>-SUMIFS('transaction details'!$G:$G,'transaction details'!$H:$H,'Budget Detail-Own 2016'!V$2,'transaction details'!$D:$D,'Budget Detail-Own 2016'!$A24)</f>
        <v>14.99</v>
      </c>
      <c r="W24" s="38">
        <f t="shared" si="2"/>
        <v>9.9999999999997868E-3</v>
      </c>
      <c r="X24" s="48">
        <f>-SUMIFS('transaction details'!$G:$G,'transaction details'!$H:$H,'Budget Detail-Own 2016'!X$2,'transaction details'!$D:$D,'Budget Detail-Own 2016'!$A24)</f>
        <v>79.94</v>
      </c>
      <c r="Y24" s="38">
        <f t="shared" si="2"/>
        <v>-64.94</v>
      </c>
      <c r="Z24" s="48">
        <f>-SUMIFS('transaction details'!$G:$G,'transaction details'!$H:$H,'Budget Detail-Own 2016'!Z$2,'transaction details'!$D:$D,'Budget Detail-Own 2016'!$A24)</f>
        <v>0</v>
      </c>
      <c r="AA24" s="38"/>
    </row>
    <row r="25" spans="1:27" x14ac:dyDescent="0.25">
      <c r="A25" s="46" t="s">
        <v>61</v>
      </c>
      <c r="B25" s="4">
        <f t="shared" si="3"/>
        <v>-10388.439999999999</v>
      </c>
      <c r="C25" s="38">
        <f>Goals!P15</f>
        <v>500</v>
      </c>
      <c r="D25" s="48">
        <f>-SUMIFS('transaction details'!$G:$G,'transaction details'!$H:$H,'Budget Detail-Own 2016'!D$2,'transaction details'!$D:$D,'Budget Detail-Own 2016'!$A25)</f>
        <v>0</v>
      </c>
      <c r="E25" s="38">
        <f t="shared" si="7"/>
        <v>500</v>
      </c>
      <c r="F25" s="48">
        <f>-SUMIFS('transaction details'!$G:$G,'transaction details'!$H:$H,'Budget Detail-Own 2016'!F$2,'transaction details'!$D:$D,'Budget Detail-Own 2016'!$A25)</f>
        <v>4739.47</v>
      </c>
      <c r="G25" s="38">
        <f t="shared" si="7"/>
        <v>-4239.47</v>
      </c>
      <c r="H25" s="48">
        <f>-SUMIFS('transaction details'!$G:$G,'transaction details'!$H:$H,'Budget Detail-Own 2016'!H$2,'transaction details'!$D:$D,'Budget Detail-Own 2016'!$A25)</f>
        <v>213.07</v>
      </c>
      <c r="I25" s="38">
        <f t="shared" si="8"/>
        <v>286.93</v>
      </c>
      <c r="J25" s="48">
        <f>-SUMIFS('transaction details'!$G:$G,'transaction details'!$H:$H,'Budget Detail-Own 2016'!J$2,'transaction details'!$D:$D,'Budget Detail-Own 2016'!$A25)</f>
        <v>0</v>
      </c>
      <c r="K25" s="38">
        <f t="shared" si="0"/>
        <v>500</v>
      </c>
      <c r="L25" s="48">
        <f>-SUMIFS('transaction details'!$G:$G,'transaction details'!$H:$H,'Budget Detail-Own 2016'!L$2,'transaction details'!$D:$D,'Budget Detail-Own 2016'!$A25)</f>
        <v>0</v>
      </c>
      <c r="M25" s="38">
        <f t="shared" si="1"/>
        <v>500</v>
      </c>
      <c r="N25" s="48">
        <f>-SUMIFS('transaction details'!$G:$G,'transaction details'!$H:$H,'Budget Detail-Own 2016'!N$2,'transaction details'!$D:$D,'Budget Detail-Own 2016'!$A25)</f>
        <v>15356.3</v>
      </c>
      <c r="O25" s="38">
        <f t="shared" si="1"/>
        <v>-14856.3</v>
      </c>
      <c r="P25" s="48">
        <f>-SUMIFS('transaction details'!$G:$G,'transaction details'!$H:$H,'Budget Detail-Own 2016'!P$2,'transaction details'!$D:$D,'Budget Detail-Own 2016'!$A25)</f>
        <v>0</v>
      </c>
      <c r="Q25" s="38">
        <f t="shared" si="2"/>
        <v>500</v>
      </c>
      <c r="R25" s="48">
        <f>-SUMIFS('transaction details'!$G:$G,'transaction details'!$H:$H,'Budget Detail-Own 2016'!R$2,'transaction details'!$D:$D,'Budget Detail-Own 2016'!$A25)</f>
        <v>687.85</v>
      </c>
      <c r="S25" s="38">
        <f t="shared" si="2"/>
        <v>-187.85000000000002</v>
      </c>
      <c r="T25" s="48">
        <f>-SUMIFS('transaction details'!$G:$G,'transaction details'!$H:$H,'Budget Detail-Own 2016'!T$2,'transaction details'!$D:$D,'Budget Detail-Own 2016'!$A25)</f>
        <v>284.55</v>
      </c>
      <c r="U25" s="38">
        <f t="shared" si="2"/>
        <v>215.45</v>
      </c>
      <c r="V25" s="48">
        <f>-SUMIFS('transaction details'!$G:$G,'transaction details'!$H:$H,'Budget Detail-Own 2016'!V$2,'transaction details'!$D:$D,'Budget Detail-Own 2016'!$A25)</f>
        <v>-5392.7999999999993</v>
      </c>
      <c r="W25" s="38">
        <f t="shared" si="2"/>
        <v>5892.7999999999993</v>
      </c>
      <c r="X25" s="48">
        <f>-SUMIFS('transaction details'!$G:$G,'transaction details'!$H:$H,'Budget Detail-Own 2016'!X$2,'transaction details'!$D:$D,'Budget Detail-Own 2016'!$A25)</f>
        <v>0</v>
      </c>
      <c r="Y25" s="38">
        <f t="shared" si="2"/>
        <v>500</v>
      </c>
      <c r="Z25" s="48">
        <f>-SUMIFS('transaction details'!$G:$G,'transaction details'!$H:$H,'Budget Detail-Own 2016'!Z$2,'transaction details'!$D:$D,'Budget Detail-Own 2016'!$A25)</f>
        <v>0</v>
      </c>
      <c r="AA25" s="38"/>
    </row>
    <row r="26" spans="1:27" x14ac:dyDescent="0.25">
      <c r="A26" s="46" t="s">
        <v>90</v>
      </c>
      <c r="B26" s="4">
        <f t="shared" si="3"/>
        <v>1927</v>
      </c>
      <c r="C26" s="46">
        <v>200</v>
      </c>
      <c r="D26" s="48">
        <f>-SUMIFS('transaction details'!$G:$G,'transaction details'!$H:$H,'Budget Detail-Own 2016'!D$2,'transaction details'!$D:$D,'Budget Detail-Own 2016'!$A26)</f>
        <v>0</v>
      </c>
      <c r="E26" s="38">
        <f t="shared" si="7"/>
        <v>200</v>
      </c>
      <c r="F26" s="48">
        <f>-SUMIFS('transaction details'!$G:$G,'transaction details'!$H:$H,'Budget Detail-Own 2016'!F$2,'transaction details'!$D:$D,'Budget Detail-Own 2016'!$A26)</f>
        <v>80</v>
      </c>
      <c r="G26" s="38">
        <f t="shared" si="7"/>
        <v>120</v>
      </c>
      <c r="H26" s="48">
        <f>-SUMIFS('transaction details'!$G:$G,'transaction details'!$H:$H,'Budget Detail-Own 2016'!H$2,'transaction details'!$D:$D,'Budget Detail-Own 2016'!$A26)</f>
        <v>3</v>
      </c>
      <c r="I26" s="38">
        <f t="shared" si="8"/>
        <v>197</v>
      </c>
      <c r="J26" s="48">
        <f>-SUMIFS('transaction details'!$G:$G,'transaction details'!$H:$H,'Budget Detail-Own 2016'!J$2,'transaction details'!$D:$D,'Budget Detail-Own 2016'!$A26)</f>
        <v>70</v>
      </c>
      <c r="K26" s="38">
        <f t="shared" si="0"/>
        <v>130</v>
      </c>
      <c r="L26" s="48">
        <f>-SUMIFS('transaction details'!$G:$G,'transaction details'!$H:$H,'Budget Detail-Own 2016'!L$2,'transaction details'!$D:$D,'Budget Detail-Own 2016'!$A26)</f>
        <v>80</v>
      </c>
      <c r="M26" s="38">
        <f t="shared" si="1"/>
        <v>120</v>
      </c>
      <c r="N26" s="48">
        <f>-SUMIFS('transaction details'!$G:$G,'transaction details'!$H:$H,'Budget Detail-Own 2016'!N$2,'transaction details'!$D:$D,'Budget Detail-Own 2016'!$A26)</f>
        <v>20</v>
      </c>
      <c r="O26" s="38">
        <f t="shared" si="1"/>
        <v>180</v>
      </c>
      <c r="P26" s="48">
        <f>-SUMIFS('transaction details'!$G:$G,'transaction details'!$H:$H,'Budget Detail-Own 2016'!P$2,'transaction details'!$D:$D,'Budget Detail-Own 2016'!$A26)</f>
        <v>20</v>
      </c>
      <c r="Q26" s="38">
        <f t="shared" si="2"/>
        <v>180</v>
      </c>
      <c r="R26" s="48">
        <f>-SUMIFS('transaction details'!$G:$G,'transaction details'!$H:$H,'Budget Detail-Own 2016'!R$2,'transaction details'!$D:$D,'Budget Detail-Own 2016'!$A26)</f>
        <v>0</v>
      </c>
      <c r="S26" s="38">
        <f t="shared" si="2"/>
        <v>200</v>
      </c>
      <c r="T26" s="48">
        <f>-SUMIFS('transaction details'!$G:$G,'transaction details'!$H:$H,'Budget Detail-Own 2016'!T$2,'transaction details'!$D:$D,'Budget Detail-Own 2016'!$A26)</f>
        <v>0</v>
      </c>
      <c r="U26" s="38">
        <f t="shared" si="2"/>
        <v>200</v>
      </c>
      <c r="V26" s="48">
        <f>-SUMIFS('transaction details'!$G:$G,'transaction details'!$H:$H,'Budget Detail-Own 2016'!V$2,'transaction details'!$D:$D,'Budget Detail-Own 2016'!$A26)</f>
        <v>0</v>
      </c>
      <c r="W26" s="38">
        <f t="shared" si="2"/>
        <v>200</v>
      </c>
      <c r="X26" s="48">
        <f>-SUMIFS('transaction details'!$G:$G,'transaction details'!$H:$H,'Budget Detail-Own 2016'!X$2,'transaction details'!$D:$D,'Budget Detail-Own 2016'!$A26)</f>
        <v>0</v>
      </c>
      <c r="Y26" s="38">
        <f t="shared" si="2"/>
        <v>200</v>
      </c>
      <c r="Z26" s="48">
        <f>-SUMIFS('transaction details'!$G:$G,'transaction details'!$H:$H,'Budget Detail-Own 2016'!Z$2,'transaction details'!$D:$D,'Budget Detail-Own 2016'!$A26)</f>
        <v>0</v>
      </c>
      <c r="AA26" s="38"/>
    </row>
    <row r="27" spans="1:27" x14ac:dyDescent="0.25">
      <c r="A27" s="46" t="s">
        <v>36</v>
      </c>
      <c r="B27" s="4">
        <f t="shared" si="3"/>
        <v>220</v>
      </c>
      <c r="C27" s="46">
        <v>20</v>
      </c>
      <c r="D27" s="48">
        <f>-SUMIFS('transaction details'!$G:$G,'transaction details'!$H:$H,'Budget Detail-Own 2016'!D$2,'transaction details'!$D:$D,'Budget Detail-Own 2016'!$A27)</f>
        <v>0</v>
      </c>
      <c r="E27" s="38">
        <f t="shared" si="7"/>
        <v>20</v>
      </c>
      <c r="F27" s="48">
        <f>-SUMIFS('transaction details'!$G:$G,'transaction details'!$H:$H,'Budget Detail-Own 2016'!F$2,'transaction details'!$D:$D,'Budget Detail-Own 2016'!$A27)</f>
        <v>0</v>
      </c>
      <c r="G27" s="38">
        <f t="shared" si="7"/>
        <v>20</v>
      </c>
      <c r="H27" s="48">
        <f>-SUMIFS('transaction details'!$G:$G,'transaction details'!$H:$H,'Budget Detail-Own 2016'!H$2,'transaction details'!$D:$D,'Budget Detail-Own 2016'!$A27)</f>
        <v>0</v>
      </c>
      <c r="I27" s="38">
        <f t="shared" si="8"/>
        <v>20</v>
      </c>
      <c r="J27" s="48">
        <f>-SUMIFS('transaction details'!$G:$G,'transaction details'!$H:$H,'Budget Detail-Own 2016'!J$2,'transaction details'!$D:$D,'Budget Detail-Own 2016'!$A27)</f>
        <v>0</v>
      </c>
      <c r="K27" s="38">
        <f t="shared" si="0"/>
        <v>20</v>
      </c>
      <c r="L27" s="48">
        <f>-SUMIFS('transaction details'!$G:$G,'transaction details'!$H:$H,'Budget Detail-Own 2016'!L$2,'transaction details'!$D:$D,'Budget Detail-Own 2016'!$A27)</f>
        <v>0</v>
      </c>
      <c r="M27" s="38">
        <f t="shared" si="1"/>
        <v>20</v>
      </c>
      <c r="N27" s="48">
        <f>-SUMIFS('transaction details'!$G:$G,'transaction details'!$H:$H,'Budget Detail-Own 2016'!N$2,'transaction details'!$D:$D,'Budget Detail-Own 2016'!$A27)</f>
        <v>0</v>
      </c>
      <c r="O27" s="38">
        <f t="shared" si="1"/>
        <v>20</v>
      </c>
      <c r="P27" s="48">
        <f>-SUMIFS('transaction details'!$G:$G,'transaction details'!$H:$H,'Budget Detail-Own 2016'!P$2,'transaction details'!$D:$D,'Budget Detail-Own 2016'!$A27)</f>
        <v>0</v>
      </c>
      <c r="Q27" s="38">
        <f t="shared" si="2"/>
        <v>20</v>
      </c>
      <c r="R27" s="48">
        <f>-SUMIFS('transaction details'!$G:$G,'transaction details'!$H:$H,'Budget Detail-Own 2016'!R$2,'transaction details'!$D:$D,'Budget Detail-Own 2016'!$A27)</f>
        <v>0</v>
      </c>
      <c r="S27" s="38">
        <f t="shared" si="2"/>
        <v>20</v>
      </c>
      <c r="T27" s="48">
        <f>-SUMIFS('transaction details'!$G:$G,'transaction details'!$H:$H,'Budget Detail-Own 2016'!T$2,'transaction details'!$D:$D,'Budget Detail-Own 2016'!$A27)</f>
        <v>0</v>
      </c>
      <c r="U27" s="38">
        <f t="shared" si="2"/>
        <v>20</v>
      </c>
      <c r="V27" s="48">
        <f>-SUMIFS('transaction details'!$G:$G,'transaction details'!$H:$H,'Budget Detail-Own 2016'!V$2,'transaction details'!$D:$D,'Budget Detail-Own 2016'!$A27)</f>
        <v>0</v>
      </c>
      <c r="W27" s="38">
        <f t="shared" si="2"/>
        <v>20</v>
      </c>
      <c r="X27" s="48">
        <f>-SUMIFS('transaction details'!$G:$G,'transaction details'!$H:$H,'Budget Detail-Own 2016'!X$2,'transaction details'!$D:$D,'Budget Detail-Own 2016'!$A27)</f>
        <v>0</v>
      </c>
      <c r="Y27" s="38">
        <f t="shared" si="2"/>
        <v>20</v>
      </c>
      <c r="Z27" s="48">
        <f>-SUMIFS('transaction details'!$G:$G,'transaction details'!$H:$H,'Budget Detail-Own 2016'!Z$2,'transaction details'!$D:$D,'Budget Detail-Own 2016'!$A27)</f>
        <v>0</v>
      </c>
      <c r="AA27" s="38"/>
    </row>
    <row r="28" spans="1:27" x14ac:dyDescent="0.25">
      <c r="A28" s="46" t="s">
        <v>41</v>
      </c>
      <c r="B28" s="4">
        <f t="shared" si="3"/>
        <v>220</v>
      </c>
      <c r="C28" s="46">
        <v>20</v>
      </c>
      <c r="D28" s="48">
        <f>-SUMIFS('transaction details'!$G:$G,'transaction details'!$H:$H,'Budget Detail-Own 2016'!D$2,'transaction details'!$D:$D,'Budget Detail-Own 2016'!$A28)</f>
        <v>0</v>
      </c>
      <c r="E28" s="38">
        <f t="shared" si="7"/>
        <v>20</v>
      </c>
      <c r="F28" s="48">
        <f>-SUMIFS('transaction details'!$G:$G,'transaction details'!$H:$H,'Budget Detail-Own 2016'!F$2,'transaction details'!$D:$D,'Budget Detail-Own 2016'!$A28)</f>
        <v>0</v>
      </c>
      <c r="G28" s="38">
        <f t="shared" si="7"/>
        <v>20</v>
      </c>
      <c r="H28" s="48">
        <f>-SUMIFS('transaction details'!$G:$G,'transaction details'!$H:$H,'Budget Detail-Own 2016'!H$2,'transaction details'!$D:$D,'Budget Detail-Own 2016'!$A28)</f>
        <v>0</v>
      </c>
      <c r="I28" s="38">
        <f t="shared" si="8"/>
        <v>20</v>
      </c>
      <c r="J28" s="48">
        <f>-SUMIFS('transaction details'!$G:$G,'transaction details'!$H:$H,'Budget Detail-Own 2016'!J$2,'transaction details'!$D:$D,'Budget Detail-Own 2016'!$A28)</f>
        <v>0</v>
      </c>
      <c r="K28" s="38">
        <f t="shared" si="0"/>
        <v>20</v>
      </c>
      <c r="L28" s="48">
        <f>-SUMIFS('transaction details'!$G:$G,'transaction details'!$H:$H,'Budget Detail-Own 2016'!L$2,'transaction details'!$D:$D,'Budget Detail-Own 2016'!$A28)</f>
        <v>0</v>
      </c>
      <c r="M28" s="38">
        <f t="shared" si="1"/>
        <v>20</v>
      </c>
      <c r="N28" s="48">
        <f>-SUMIFS('transaction details'!$G:$G,'transaction details'!$H:$H,'Budget Detail-Own 2016'!N$2,'transaction details'!$D:$D,'Budget Detail-Own 2016'!$A28)</f>
        <v>0</v>
      </c>
      <c r="O28" s="38">
        <f t="shared" si="1"/>
        <v>20</v>
      </c>
      <c r="P28" s="48">
        <f>-SUMIFS('transaction details'!$G:$G,'transaction details'!$H:$H,'Budget Detail-Own 2016'!P$2,'transaction details'!$D:$D,'Budget Detail-Own 2016'!$A28)</f>
        <v>0</v>
      </c>
      <c r="Q28" s="38">
        <f t="shared" si="2"/>
        <v>20</v>
      </c>
      <c r="R28" s="48">
        <f>-SUMIFS('transaction details'!$G:$G,'transaction details'!$H:$H,'Budget Detail-Own 2016'!R$2,'transaction details'!$D:$D,'Budget Detail-Own 2016'!$A28)</f>
        <v>0</v>
      </c>
      <c r="S28" s="38">
        <f t="shared" si="2"/>
        <v>20</v>
      </c>
      <c r="T28" s="48">
        <f>-SUMIFS('transaction details'!$G:$G,'transaction details'!$H:$H,'Budget Detail-Own 2016'!T$2,'transaction details'!$D:$D,'Budget Detail-Own 2016'!$A28)</f>
        <v>0</v>
      </c>
      <c r="U28" s="38">
        <f t="shared" si="2"/>
        <v>20</v>
      </c>
      <c r="V28" s="48">
        <f>-SUMIFS('transaction details'!$G:$G,'transaction details'!$H:$H,'Budget Detail-Own 2016'!V$2,'transaction details'!$D:$D,'Budget Detail-Own 2016'!$A28)</f>
        <v>0</v>
      </c>
      <c r="W28" s="38">
        <f t="shared" si="2"/>
        <v>20</v>
      </c>
      <c r="X28" s="48">
        <f>-SUMIFS('transaction details'!$G:$G,'transaction details'!$H:$H,'Budget Detail-Own 2016'!X$2,'transaction details'!$D:$D,'Budget Detail-Own 2016'!$A28)</f>
        <v>0</v>
      </c>
      <c r="Y28" s="38">
        <f t="shared" si="2"/>
        <v>20</v>
      </c>
      <c r="Z28" s="48">
        <f>-SUMIFS('transaction details'!$G:$G,'transaction details'!$H:$H,'Budget Detail-Own 2016'!Z$2,'transaction details'!$D:$D,'Budget Detail-Own 2016'!$A28)</f>
        <v>0</v>
      </c>
      <c r="AA28" s="38"/>
    </row>
    <row r="29" spans="1:27" x14ac:dyDescent="0.25">
      <c r="A29" s="46" t="s">
        <v>92</v>
      </c>
      <c r="B29" s="4">
        <f t="shared" si="3"/>
        <v>55.830000000000013</v>
      </c>
      <c r="C29" s="46">
        <v>20</v>
      </c>
      <c r="D29" s="48">
        <f>-SUMIFS('transaction details'!$G:$G,'transaction details'!$H:$H,'Budget Detail-Own 2016'!D$2,'transaction details'!$D:$D,'Budget Detail-Own 2016'!$A29)</f>
        <v>0</v>
      </c>
      <c r="E29" s="38">
        <f t="shared" si="7"/>
        <v>20</v>
      </c>
      <c r="F29" s="48">
        <f>-SUMIFS('transaction details'!$G:$G,'transaction details'!$H:$H,'Budget Detail-Own 2016'!F$2,'transaction details'!$D:$D,'Budget Detail-Own 2016'!$A29)</f>
        <v>0</v>
      </c>
      <c r="G29" s="38">
        <f t="shared" si="7"/>
        <v>20</v>
      </c>
      <c r="H29" s="48">
        <f>-SUMIFS('transaction details'!$G:$G,'transaction details'!$H:$H,'Budget Detail-Own 2016'!H$2,'transaction details'!$D:$D,'Budget Detail-Own 2016'!$A29)</f>
        <v>94.47999999999999</v>
      </c>
      <c r="I29" s="38">
        <f t="shared" si="8"/>
        <v>-74.47999999999999</v>
      </c>
      <c r="J29" s="48">
        <f>-SUMIFS('transaction details'!$G:$G,'transaction details'!$H:$H,'Budget Detail-Own 2016'!J$2,'transaction details'!$D:$D,'Budget Detail-Own 2016'!$A29)</f>
        <v>0</v>
      </c>
      <c r="K29" s="38">
        <f t="shared" si="0"/>
        <v>20</v>
      </c>
      <c r="L29" s="48">
        <f>-SUMIFS('transaction details'!$G:$G,'transaction details'!$H:$H,'Budget Detail-Own 2016'!L$2,'transaction details'!$D:$D,'Budget Detail-Own 2016'!$A29)</f>
        <v>0</v>
      </c>
      <c r="M29" s="38">
        <f t="shared" si="1"/>
        <v>20</v>
      </c>
      <c r="N29" s="48">
        <f>-SUMIFS('transaction details'!$G:$G,'transaction details'!$H:$H,'Budget Detail-Own 2016'!N$2,'transaction details'!$D:$D,'Budget Detail-Own 2016'!$A29)</f>
        <v>61.64</v>
      </c>
      <c r="O29" s="38">
        <f t="shared" si="1"/>
        <v>-41.64</v>
      </c>
      <c r="P29" s="48">
        <f>-SUMIFS('transaction details'!$G:$G,'transaction details'!$H:$H,'Budget Detail-Own 2016'!P$2,'transaction details'!$D:$D,'Budget Detail-Own 2016'!$A29)</f>
        <v>0</v>
      </c>
      <c r="Q29" s="38">
        <f t="shared" si="2"/>
        <v>20</v>
      </c>
      <c r="R29" s="48">
        <f>-SUMIFS('transaction details'!$G:$G,'transaction details'!$H:$H,'Budget Detail-Own 2016'!R$2,'transaction details'!$D:$D,'Budget Detail-Own 2016'!$A29)</f>
        <v>0</v>
      </c>
      <c r="S29" s="38">
        <f t="shared" si="2"/>
        <v>20</v>
      </c>
      <c r="T29" s="48">
        <f>-SUMIFS('transaction details'!$G:$G,'transaction details'!$H:$H,'Budget Detail-Own 2016'!T$2,'transaction details'!$D:$D,'Budget Detail-Own 2016'!$A29)</f>
        <v>8.0500000000000007</v>
      </c>
      <c r="U29" s="38">
        <f t="shared" si="2"/>
        <v>11.95</v>
      </c>
      <c r="V29" s="48">
        <f>-SUMIFS('transaction details'!$G:$G,'transaction details'!$H:$H,'Budget Detail-Own 2016'!V$2,'transaction details'!$D:$D,'Budget Detail-Own 2016'!$A29)</f>
        <v>0</v>
      </c>
      <c r="W29" s="38">
        <f t="shared" si="2"/>
        <v>20</v>
      </c>
      <c r="X29" s="48">
        <f>-SUMIFS('transaction details'!$G:$G,'transaction details'!$H:$H,'Budget Detail-Own 2016'!X$2,'transaction details'!$D:$D,'Budget Detail-Own 2016'!$A29)</f>
        <v>0</v>
      </c>
      <c r="Y29" s="38">
        <f t="shared" si="2"/>
        <v>20</v>
      </c>
      <c r="Z29" s="48">
        <f>-SUMIFS('transaction details'!$G:$G,'transaction details'!$H:$H,'Budget Detail-Own 2016'!Z$2,'transaction details'!$D:$D,'Budget Detail-Own 2016'!$A29)</f>
        <v>0</v>
      </c>
      <c r="AA29" s="38"/>
    </row>
    <row r="30" spans="1:27" x14ac:dyDescent="0.25">
      <c r="A30" s="46" t="s">
        <v>14</v>
      </c>
      <c r="B30" s="4">
        <f t="shared" si="3"/>
        <v>11616.050000000001</v>
      </c>
      <c r="C30" s="46">
        <v>170</v>
      </c>
      <c r="D30" s="48">
        <f>-SUMIFS('transaction details'!$G:$G,'transaction details'!$H:$H,'Budget Detail-Own 2016'!D$2,'transaction details'!$D:$D,'Budget Detail-Own 2016'!$A30)</f>
        <v>0.15</v>
      </c>
      <c r="E30" s="38">
        <f t="shared" si="7"/>
        <v>169.85</v>
      </c>
      <c r="F30" s="48">
        <f>-SUMIFS('transaction details'!$G:$G,'transaction details'!$H:$H,'Budget Detail-Own 2016'!F$2,'transaction details'!$D:$D,'Budget Detail-Own 2016'!$A30)</f>
        <v>0.19</v>
      </c>
      <c r="G30" s="38">
        <f t="shared" si="7"/>
        <v>169.81</v>
      </c>
      <c r="H30" s="48">
        <f>-SUMIFS('transaction details'!$G:$G,'transaction details'!$H:$H,'Budget Detail-Own 2016'!H$2,'transaction details'!$D:$D,'Budget Detail-Own 2016'!$A30)</f>
        <v>85.35</v>
      </c>
      <c r="I30" s="38">
        <f t="shared" si="8"/>
        <v>84.65</v>
      </c>
      <c r="J30" s="48">
        <f>-SUMIFS('transaction details'!$G:$G,'transaction details'!$H:$H,'Budget Detail-Own 2016'!J$2,'transaction details'!$D:$D,'Budget Detail-Own 2016'!$A30)</f>
        <v>-9832.69</v>
      </c>
      <c r="K30" s="38">
        <f t="shared" si="0"/>
        <v>10002.69</v>
      </c>
      <c r="L30" s="48">
        <f>-SUMIFS('transaction details'!$G:$G,'transaction details'!$H:$H,'Budget Detail-Own 2016'!L$2,'transaction details'!$D:$D,'Budget Detail-Own 2016'!$A30)</f>
        <v>0.25</v>
      </c>
      <c r="M30" s="38">
        <f t="shared" si="1"/>
        <v>169.75</v>
      </c>
      <c r="N30" s="48">
        <f>-SUMIFS('transaction details'!$G:$G,'transaction details'!$H:$H,'Budget Detail-Own 2016'!N$2,'transaction details'!$D:$D,'Budget Detail-Own 2016'!$A30)</f>
        <v>0.11</v>
      </c>
      <c r="O30" s="38">
        <f t="shared" si="1"/>
        <v>169.89</v>
      </c>
      <c r="P30" s="48">
        <f>-SUMIFS('transaction details'!$G:$G,'transaction details'!$H:$H,'Budget Detail-Own 2016'!P$2,'transaction details'!$D:$D,'Budget Detail-Own 2016'!$A30)</f>
        <v>0.1</v>
      </c>
      <c r="Q30" s="38">
        <f t="shared" si="2"/>
        <v>169.9</v>
      </c>
      <c r="R30" s="48">
        <f>-SUMIFS('transaction details'!$G:$G,'transaction details'!$H:$H,'Budget Detail-Own 2016'!R$2,'transaction details'!$D:$D,'Budget Detail-Own 2016'!$A30)</f>
        <v>0.14000000000000001</v>
      </c>
      <c r="S30" s="38">
        <f t="shared" si="2"/>
        <v>169.86</v>
      </c>
      <c r="T30" s="48">
        <f>-SUMIFS('transaction details'!$G:$G,'transaction details'!$H:$H,'Budget Detail-Own 2016'!T$2,'transaction details'!$D:$D,'Budget Detail-Own 2016'!$A30)</f>
        <v>0.13</v>
      </c>
      <c r="U30" s="38">
        <f t="shared" si="2"/>
        <v>169.87</v>
      </c>
      <c r="V30" s="48">
        <f>-SUMIFS('transaction details'!$G:$G,'transaction details'!$H:$H,'Budget Detail-Own 2016'!V$2,'transaction details'!$D:$D,'Budget Detail-Own 2016'!$A30)</f>
        <v>0.13</v>
      </c>
      <c r="W30" s="38">
        <f t="shared" si="2"/>
        <v>169.87</v>
      </c>
      <c r="X30" s="48">
        <f>-SUMIFS('transaction details'!$G:$G,'transaction details'!$H:$H,'Budget Detail-Own 2016'!X$2,'transaction details'!$D:$D,'Budget Detail-Own 2016'!$A30)</f>
        <v>0.09</v>
      </c>
      <c r="Y30" s="38">
        <f t="shared" si="2"/>
        <v>169.91</v>
      </c>
      <c r="Z30" s="48">
        <f>-SUMIFS('transaction details'!$G:$G,'transaction details'!$H:$H,'Budget Detail-Own 2016'!Z$2,'transaction details'!$D:$D,'Budget Detail-Own 2016'!$A30)</f>
        <v>0</v>
      </c>
      <c r="AA30" s="38"/>
    </row>
    <row r="31" spans="1:27" x14ac:dyDescent="0.25">
      <c r="A31" s="46" t="s">
        <v>166</v>
      </c>
      <c r="B31" s="4">
        <f t="shared" si="3"/>
        <v>-111.82999999999996</v>
      </c>
      <c r="C31" s="38">
        <f>Goals!P28</f>
        <v>100</v>
      </c>
      <c r="D31" s="48">
        <f>-SUMIFS('transaction details'!$G:$G,'transaction details'!$H:$H,'Budget Detail-Own 2016'!D$2,'transaction details'!$D:$D,'Budget Detail-Own 2016'!$A31)</f>
        <v>26.25</v>
      </c>
      <c r="E31" s="38">
        <f t="shared" si="7"/>
        <v>73.75</v>
      </c>
      <c r="F31" s="48">
        <f>-SUMIFS('transaction details'!$G:$G,'transaction details'!$H:$H,'Budget Detail-Own 2016'!F$2,'transaction details'!$D:$D,'Budget Detail-Own 2016'!$A31)</f>
        <v>24.71</v>
      </c>
      <c r="G31" s="38">
        <f t="shared" si="7"/>
        <v>75.289999999999992</v>
      </c>
      <c r="H31" s="48">
        <f>-SUMIFS('transaction details'!$G:$G,'transaction details'!$H:$H,'Budget Detail-Own 2016'!H$2,'transaction details'!$D:$D,'Budget Detail-Own 2016'!$A31)</f>
        <v>16.989999999999998</v>
      </c>
      <c r="I31" s="38">
        <f t="shared" si="8"/>
        <v>83.01</v>
      </c>
      <c r="J31" s="48">
        <f>-SUMIFS('transaction details'!$G:$G,'transaction details'!$H:$H,'Budget Detail-Own 2016'!J$2,'transaction details'!$D:$D,'Budget Detail-Own 2016'!$A31)</f>
        <v>122.44</v>
      </c>
      <c r="K31" s="38">
        <f t="shared" si="0"/>
        <v>-22.439999999999998</v>
      </c>
      <c r="L31" s="48">
        <f>-SUMIFS('transaction details'!$G:$G,'transaction details'!$H:$H,'Budget Detail-Own 2016'!L$2,'transaction details'!$D:$D,'Budget Detail-Own 2016'!$A31)</f>
        <v>226.16999999999996</v>
      </c>
      <c r="M31" s="38">
        <f t="shared" si="1"/>
        <v>-126.16999999999996</v>
      </c>
      <c r="N31" s="48">
        <f>-SUMIFS('transaction details'!$G:$G,'transaction details'!$H:$H,'Budget Detail-Own 2016'!N$2,'transaction details'!$D:$D,'Budget Detail-Own 2016'!$A31)</f>
        <v>240.27999999999997</v>
      </c>
      <c r="O31" s="38">
        <f t="shared" si="1"/>
        <v>-140.27999999999997</v>
      </c>
      <c r="P31" s="48">
        <f>-SUMIFS('transaction details'!$G:$G,'transaction details'!$H:$H,'Budget Detail-Own 2016'!P$2,'transaction details'!$D:$D,'Budget Detail-Own 2016'!$A31)</f>
        <v>92.78</v>
      </c>
      <c r="Q31" s="38">
        <f t="shared" si="2"/>
        <v>7.2199999999999989</v>
      </c>
      <c r="R31" s="48">
        <f>-SUMIFS('transaction details'!$G:$G,'transaction details'!$H:$H,'Budget Detail-Own 2016'!R$2,'transaction details'!$D:$D,'Budget Detail-Own 2016'!$A31)</f>
        <v>207.6</v>
      </c>
      <c r="S31" s="38">
        <f t="shared" si="2"/>
        <v>-107.6</v>
      </c>
      <c r="T31" s="48">
        <f>-SUMIFS('transaction details'!$G:$G,'transaction details'!$H:$H,'Budget Detail-Own 2016'!T$2,'transaction details'!$D:$D,'Budget Detail-Own 2016'!$A31)</f>
        <v>168.04000000000002</v>
      </c>
      <c r="U31" s="38">
        <f t="shared" si="2"/>
        <v>-68.04000000000002</v>
      </c>
      <c r="V31" s="48">
        <f>-SUMIFS('transaction details'!$G:$G,'transaction details'!$H:$H,'Budget Detail-Own 2016'!V$2,'transaction details'!$D:$D,'Budget Detail-Own 2016'!$A31)</f>
        <v>57.86</v>
      </c>
      <c r="W31" s="38">
        <f t="shared" si="2"/>
        <v>42.14</v>
      </c>
      <c r="X31" s="48">
        <f>-SUMIFS('transaction details'!$G:$G,'transaction details'!$H:$H,'Budget Detail-Own 2016'!X$2,'transaction details'!$D:$D,'Budget Detail-Own 2016'!$A31)</f>
        <v>28.71</v>
      </c>
      <c r="Y31" s="38">
        <f t="shared" si="2"/>
        <v>71.289999999999992</v>
      </c>
      <c r="Z31" s="48">
        <f>-SUMIFS('transaction details'!$G:$G,'transaction details'!$H:$H,'Budget Detail-Own 2016'!Z$2,'transaction details'!$D:$D,'Budget Detail-Own 2016'!$A31)</f>
        <v>0</v>
      </c>
      <c r="AA31" s="38"/>
    </row>
    <row r="32" spans="1:27" x14ac:dyDescent="0.25">
      <c r="A32" s="46" t="s">
        <v>185</v>
      </c>
      <c r="B32" s="4">
        <f t="shared" si="3"/>
        <v>-5508.07</v>
      </c>
      <c r="C32" s="4">
        <f>Goals!P29</f>
        <v>19.100000000000001</v>
      </c>
      <c r="D32" s="48">
        <f>-SUMIFS('transaction details'!$G:$G,'transaction details'!$H:$H,'Budget Detail-Own 2016'!D$2,'transaction details'!$D:$D,'Budget Detail-Own 2016'!$A32)</f>
        <v>321.52</v>
      </c>
      <c r="E32" s="38">
        <f t="shared" si="7"/>
        <v>-302.41999999999996</v>
      </c>
      <c r="F32" s="48">
        <f>-SUMIFS('transaction details'!$G:$G,'transaction details'!$H:$H,'Budget Detail-Own 2016'!F$2,'transaction details'!$D:$D,'Budget Detail-Own 2016'!$A32)</f>
        <v>321.52</v>
      </c>
      <c r="G32" s="38">
        <f t="shared" si="7"/>
        <v>-302.41999999999996</v>
      </c>
      <c r="H32" s="48">
        <f>-SUMIFS('transaction details'!$G:$G,'transaction details'!$H:$H,'Budget Detail-Own 2016'!H$2,'transaction details'!$D:$D,'Budget Detail-Own 2016'!$A32)</f>
        <v>321.52</v>
      </c>
      <c r="I32" s="38">
        <f t="shared" si="8"/>
        <v>-302.41999999999996</v>
      </c>
      <c r="J32" s="48">
        <f>-SUMIFS('transaction details'!$G:$G,'transaction details'!$H:$H,'Budget Detail-Own 2016'!J$2,'transaction details'!$D:$D,'Budget Detail-Own 2016'!$A32)</f>
        <v>321.52</v>
      </c>
      <c r="K32" s="38">
        <f t="shared" si="0"/>
        <v>-302.41999999999996</v>
      </c>
      <c r="L32" s="48">
        <f>-SUMIFS('transaction details'!$G:$G,'transaction details'!$H:$H,'Budget Detail-Own 2016'!L$2,'transaction details'!$D:$D,'Budget Detail-Own 2016'!$A32)</f>
        <v>551.52</v>
      </c>
      <c r="M32" s="38">
        <f t="shared" si="1"/>
        <v>-532.41999999999996</v>
      </c>
      <c r="N32" s="48">
        <f>-SUMIFS('transaction details'!$G:$G,'transaction details'!$H:$H,'Budget Detail-Own 2016'!N$2,'transaction details'!$D:$D,'Budget Detail-Own 2016'!$A32)</f>
        <v>321.52</v>
      </c>
      <c r="O32" s="38">
        <f t="shared" si="1"/>
        <v>-302.41999999999996</v>
      </c>
      <c r="P32" s="48">
        <f>-SUMIFS('transaction details'!$G:$G,'transaction details'!$H:$H,'Budget Detail-Own 2016'!P$2,'transaction details'!$D:$D,'Budget Detail-Own 2016'!$A32)</f>
        <v>519.16999999999996</v>
      </c>
      <c r="Q32" s="38">
        <f t="shared" si="2"/>
        <v>-500.06999999999994</v>
      </c>
      <c r="R32" s="48">
        <f>-SUMIFS('transaction details'!$G:$G,'transaction details'!$H:$H,'Budget Detail-Own 2016'!R$2,'transaction details'!$D:$D,'Budget Detail-Own 2016'!$A32)</f>
        <v>759.97</v>
      </c>
      <c r="S32" s="38">
        <f t="shared" si="2"/>
        <v>-740.87</v>
      </c>
      <c r="T32" s="48">
        <f>-SUMIFS('transaction details'!$G:$G,'transaction details'!$H:$H,'Budget Detail-Own 2016'!T$2,'transaction details'!$D:$D,'Budget Detail-Own 2016'!$A32)</f>
        <v>759.97</v>
      </c>
      <c r="U32" s="38">
        <f t="shared" si="2"/>
        <v>-740.87</v>
      </c>
      <c r="V32" s="48">
        <f>-SUMIFS('transaction details'!$G:$G,'transaction details'!$H:$H,'Budget Detail-Own 2016'!V$2,'transaction details'!$D:$D,'Budget Detail-Own 2016'!$A32)</f>
        <v>759.97</v>
      </c>
      <c r="W32" s="38">
        <f t="shared" si="2"/>
        <v>-740.87</v>
      </c>
      <c r="X32" s="48">
        <f>-SUMIFS('transaction details'!$G:$G,'transaction details'!$H:$H,'Budget Detail-Own 2016'!X$2,'transaction details'!$D:$D,'Budget Detail-Own 2016'!$A32)</f>
        <v>759.97</v>
      </c>
      <c r="Y32" s="38">
        <f t="shared" si="2"/>
        <v>-740.87</v>
      </c>
      <c r="Z32" s="48">
        <f>-SUMIFS('transaction details'!$G:$G,'transaction details'!$H:$H,'Budget Detail-Own 2016'!Z$2,'transaction details'!$D:$D,'Budget Detail-Own 2016'!$A32)</f>
        <v>0</v>
      </c>
      <c r="AA32" s="38"/>
    </row>
    <row r="33" spans="1:27" x14ac:dyDescent="0.25">
      <c r="A33" s="46" t="s">
        <v>170</v>
      </c>
      <c r="B33" s="4">
        <f t="shared" si="3"/>
        <v>-103</v>
      </c>
      <c r="C33" s="46">
        <v>0</v>
      </c>
      <c r="D33" s="48">
        <f>-SUMIFS('transaction details'!$G:$G,'transaction details'!$H:$H,'Budget Detail-Own 2016'!D$2,'transaction details'!$D:$D,'Budget Detail-Own 2016'!$A33)</f>
        <v>3.25</v>
      </c>
      <c r="E33" s="38">
        <f t="shared" si="7"/>
        <v>-3.25</v>
      </c>
      <c r="F33" s="48">
        <f>-SUMIFS('transaction details'!$G:$G,'transaction details'!$H:$H,'Budget Detail-Own 2016'!F$2,'transaction details'!$D:$D,'Budget Detail-Own 2016'!$A33)</f>
        <v>4</v>
      </c>
      <c r="G33" s="38">
        <f t="shared" si="7"/>
        <v>-4</v>
      </c>
      <c r="H33" s="48">
        <f>-SUMIFS('transaction details'!$G:$G,'transaction details'!$H:$H,'Budget Detail-Own 2016'!H$2,'transaction details'!$D:$D,'Budget Detail-Own 2016'!$A33)</f>
        <v>17</v>
      </c>
      <c r="I33" s="38">
        <f t="shared" si="8"/>
        <v>-17</v>
      </c>
      <c r="J33" s="48">
        <f>-SUMIFS('transaction details'!$G:$G,'transaction details'!$H:$H,'Budget Detail-Own 2016'!J$2,'transaction details'!$D:$D,'Budget Detail-Own 2016'!$A33)</f>
        <v>34</v>
      </c>
      <c r="K33" s="38">
        <f t="shared" si="0"/>
        <v>-34</v>
      </c>
      <c r="L33" s="48">
        <f>-SUMIFS('transaction details'!$G:$G,'transaction details'!$H:$H,'Budget Detail-Own 2016'!L$2,'transaction details'!$D:$D,'Budget Detail-Own 2016'!$A33)</f>
        <v>0</v>
      </c>
      <c r="M33" s="38">
        <f t="shared" si="1"/>
        <v>0</v>
      </c>
      <c r="N33" s="48">
        <f>-SUMIFS('transaction details'!$G:$G,'transaction details'!$H:$H,'Budget Detail-Own 2016'!N$2,'transaction details'!$D:$D,'Budget Detail-Own 2016'!$A33)</f>
        <v>33</v>
      </c>
      <c r="O33" s="38">
        <f t="shared" si="1"/>
        <v>-33</v>
      </c>
      <c r="P33" s="48">
        <f>-SUMIFS('transaction details'!$G:$G,'transaction details'!$H:$H,'Budget Detail-Own 2016'!P$2,'transaction details'!$D:$D,'Budget Detail-Own 2016'!$A33)</f>
        <v>0</v>
      </c>
      <c r="Q33" s="38">
        <f t="shared" si="2"/>
        <v>0</v>
      </c>
      <c r="R33" s="48">
        <f>-SUMIFS('transaction details'!$G:$G,'transaction details'!$H:$H,'Budget Detail-Own 2016'!R$2,'transaction details'!$D:$D,'Budget Detail-Own 2016'!$A33)</f>
        <v>7.25</v>
      </c>
      <c r="S33" s="38">
        <f t="shared" si="2"/>
        <v>-7.25</v>
      </c>
      <c r="T33" s="48">
        <f>-SUMIFS('transaction details'!$G:$G,'transaction details'!$H:$H,'Budget Detail-Own 2016'!T$2,'transaction details'!$D:$D,'Budget Detail-Own 2016'!$A33)</f>
        <v>4.5</v>
      </c>
      <c r="U33" s="38">
        <f t="shared" si="2"/>
        <v>-4.5</v>
      </c>
      <c r="V33" s="48">
        <f>-SUMIFS('transaction details'!$G:$G,'transaction details'!$H:$H,'Budget Detail-Own 2016'!V$2,'transaction details'!$D:$D,'Budget Detail-Own 2016'!$A33)</f>
        <v>0</v>
      </c>
      <c r="W33" s="38">
        <f t="shared" si="2"/>
        <v>0</v>
      </c>
      <c r="X33" s="48">
        <f>-SUMIFS('transaction details'!$G:$G,'transaction details'!$H:$H,'Budget Detail-Own 2016'!X$2,'transaction details'!$D:$D,'Budget Detail-Own 2016'!$A33)</f>
        <v>0</v>
      </c>
      <c r="Y33" s="38">
        <f t="shared" si="2"/>
        <v>0</v>
      </c>
      <c r="Z33" s="48">
        <f>-SUMIFS('transaction details'!$G:$G,'transaction details'!$H:$H,'Budget Detail-Own 2016'!Z$2,'transaction details'!$D:$D,'Budget Detail-Own 2016'!$A33)</f>
        <v>0</v>
      </c>
      <c r="AA33" s="38"/>
    </row>
    <row r="34" spans="1:27" x14ac:dyDescent="0.25">
      <c r="A34" s="46" t="s">
        <v>102</v>
      </c>
      <c r="B34" s="4">
        <f t="shared" si="3"/>
        <v>-50.7</v>
      </c>
      <c r="C34" s="46">
        <v>0</v>
      </c>
      <c r="D34" s="48">
        <f>-SUMIFS('transaction details'!$G:$G,'transaction details'!$H:$H,'Budget Detail-Own 2016'!D$2,'transaction details'!$D:$D,'Budget Detail-Own 2016'!$A34)</f>
        <v>0</v>
      </c>
      <c r="E34" s="38">
        <f t="shared" si="7"/>
        <v>0</v>
      </c>
      <c r="F34" s="48">
        <f>-SUMIFS('transaction details'!$G:$G,'transaction details'!$H:$H,'Budget Detail-Own 2016'!F$2,'transaction details'!$D:$D,'Budget Detail-Own 2016'!$A34)</f>
        <v>0</v>
      </c>
      <c r="G34" s="38">
        <f t="shared" si="7"/>
        <v>0</v>
      </c>
      <c r="H34" s="48">
        <f>-SUMIFS('transaction details'!$G:$G,'transaction details'!$H:$H,'Budget Detail-Own 2016'!H$2,'transaction details'!$D:$D,'Budget Detail-Own 2016'!$A34)</f>
        <v>0</v>
      </c>
      <c r="I34" s="38">
        <f t="shared" si="8"/>
        <v>0</v>
      </c>
      <c r="J34" s="48">
        <f>-SUMIFS('transaction details'!$G:$G,'transaction details'!$H:$H,'Budget Detail-Own 2016'!J$2,'transaction details'!$D:$D,'Budget Detail-Own 2016'!$A34)</f>
        <v>12.5</v>
      </c>
      <c r="K34" s="38">
        <f t="shared" si="0"/>
        <v>-12.5</v>
      </c>
      <c r="L34" s="48">
        <f>-SUMIFS('transaction details'!$G:$G,'transaction details'!$H:$H,'Budget Detail-Own 2016'!L$2,'transaction details'!$D:$D,'Budget Detail-Own 2016'!$A34)</f>
        <v>0</v>
      </c>
      <c r="M34" s="38">
        <f t="shared" si="1"/>
        <v>0</v>
      </c>
      <c r="N34" s="48">
        <f>-SUMIFS('transaction details'!$G:$G,'transaction details'!$H:$H,'Budget Detail-Own 2016'!N$2,'transaction details'!$D:$D,'Budget Detail-Own 2016'!$A34)</f>
        <v>0</v>
      </c>
      <c r="O34" s="38">
        <f t="shared" si="1"/>
        <v>0</v>
      </c>
      <c r="P34" s="48">
        <f>-SUMIFS('transaction details'!$G:$G,'transaction details'!$H:$H,'Budget Detail-Own 2016'!P$2,'transaction details'!$D:$D,'Budget Detail-Own 2016'!$A34)</f>
        <v>0</v>
      </c>
      <c r="Q34" s="38">
        <f t="shared" si="2"/>
        <v>0</v>
      </c>
      <c r="R34" s="48">
        <f>-SUMIFS('transaction details'!$G:$G,'transaction details'!$H:$H,'Budget Detail-Own 2016'!R$2,'transaction details'!$D:$D,'Budget Detail-Own 2016'!$A34)</f>
        <v>3.3</v>
      </c>
      <c r="S34" s="38">
        <f t="shared" si="2"/>
        <v>-3.3</v>
      </c>
      <c r="T34" s="48">
        <f>-SUMIFS('transaction details'!$G:$G,'transaction details'!$H:$H,'Budget Detail-Own 2016'!T$2,'transaction details'!$D:$D,'Budget Detail-Own 2016'!$A34)</f>
        <v>34.9</v>
      </c>
      <c r="U34" s="38">
        <f t="shared" si="2"/>
        <v>-34.9</v>
      </c>
      <c r="V34" s="48">
        <f>-SUMIFS('transaction details'!$G:$G,'transaction details'!$H:$H,'Budget Detail-Own 2016'!V$2,'transaction details'!$D:$D,'Budget Detail-Own 2016'!$A34)</f>
        <v>0</v>
      </c>
      <c r="W34" s="38">
        <f t="shared" si="2"/>
        <v>0</v>
      </c>
      <c r="X34" s="48">
        <f>-SUMIFS('transaction details'!$G:$G,'transaction details'!$H:$H,'Budget Detail-Own 2016'!X$2,'transaction details'!$D:$D,'Budget Detail-Own 2016'!$A34)</f>
        <v>0</v>
      </c>
      <c r="Y34" s="38">
        <f t="shared" si="2"/>
        <v>0</v>
      </c>
      <c r="Z34" s="48">
        <f>-SUMIFS('transaction details'!$G:$G,'transaction details'!$H:$H,'Budget Detail-Own 2016'!Z$2,'transaction details'!$D:$D,'Budget Detail-Own 2016'!$A34)</f>
        <v>0</v>
      </c>
      <c r="AA34" s="38"/>
    </row>
    <row r="35" spans="1:27" x14ac:dyDescent="0.25">
      <c r="A35" s="46" t="s">
        <v>95</v>
      </c>
      <c r="B35" s="4">
        <f t="shared" si="3"/>
        <v>-1476.3600000000001</v>
      </c>
      <c r="C35" s="46">
        <v>100</v>
      </c>
      <c r="D35" s="48">
        <f>-SUMIFS('transaction details'!$G:$G,'transaction details'!$H:$H,'Budget Detail-Own 2016'!D$2,'transaction details'!$D:$D,'Budget Detail-Own 2016'!$A35)</f>
        <v>415.9</v>
      </c>
      <c r="E35" s="38">
        <f t="shared" si="7"/>
        <v>-315.89999999999998</v>
      </c>
      <c r="F35" s="48">
        <f>-SUMIFS('transaction details'!$G:$G,'transaction details'!$H:$H,'Budget Detail-Own 2016'!F$2,'transaction details'!$D:$D,'Budget Detail-Own 2016'!$A35)</f>
        <v>79.48</v>
      </c>
      <c r="G35" s="38">
        <f t="shared" si="7"/>
        <v>20.519999999999996</v>
      </c>
      <c r="H35" s="48">
        <f>-SUMIFS('transaction details'!$G:$G,'transaction details'!$H:$H,'Budget Detail-Own 2016'!H$2,'transaction details'!$D:$D,'Budget Detail-Own 2016'!$A35)</f>
        <v>352.68</v>
      </c>
      <c r="I35" s="38">
        <f t="shared" si="8"/>
        <v>-252.68</v>
      </c>
      <c r="J35" s="48">
        <f>-SUMIFS('transaction details'!$G:$G,'transaction details'!$H:$H,'Budget Detail-Own 2016'!J$2,'transaction details'!$D:$D,'Budget Detail-Own 2016'!$A35)</f>
        <v>38.82</v>
      </c>
      <c r="K35" s="38">
        <f t="shared" si="0"/>
        <v>61.18</v>
      </c>
      <c r="L35" s="48">
        <f>-SUMIFS('transaction details'!$G:$G,'transaction details'!$H:$H,'Budget Detail-Own 2016'!L$2,'transaction details'!$D:$D,'Budget Detail-Own 2016'!$A35)</f>
        <v>357.86</v>
      </c>
      <c r="M35" s="38">
        <f t="shared" si="1"/>
        <v>-257.86</v>
      </c>
      <c r="N35" s="48">
        <f>-SUMIFS('transaction details'!$G:$G,'transaction details'!$H:$H,'Budget Detail-Own 2016'!N$2,'transaction details'!$D:$D,'Budget Detail-Own 2016'!$A35)</f>
        <v>37.119999999999997</v>
      </c>
      <c r="O35" s="38">
        <f t="shared" si="1"/>
        <v>62.88</v>
      </c>
      <c r="P35" s="48">
        <f>-SUMIFS('transaction details'!$G:$G,'transaction details'!$H:$H,'Budget Detail-Own 2016'!P$2,'transaction details'!$D:$D,'Budget Detail-Own 2016'!$A35)</f>
        <v>367.04</v>
      </c>
      <c r="Q35" s="38">
        <f t="shared" si="2"/>
        <v>-267.04000000000002</v>
      </c>
      <c r="R35" s="48">
        <f>-SUMIFS('transaction details'!$G:$G,'transaction details'!$H:$H,'Budget Detail-Own 2016'!R$2,'transaction details'!$D:$D,'Budget Detail-Own 2016'!$A35)</f>
        <v>64.42</v>
      </c>
      <c r="S35" s="38">
        <f t="shared" si="2"/>
        <v>35.58</v>
      </c>
      <c r="T35" s="48">
        <f>-SUMIFS('transaction details'!$G:$G,'transaction details'!$H:$H,'Budget Detail-Own 2016'!T$2,'transaction details'!$D:$D,'Budget Detail-Own 2016'!$A35)</f>
        <v>376.48</v>
      </c>
      <c r="U35" s="38">
        <f t="shared" si="2"/>
        <v>-276.48</v>
      </c>
      <c r="V35" s="48">
        <f>-SUMIFS('transaction details'!$G:$G,'transaction details'!$H:$H,'Budget Detail-Own 2016'!V$2,'transaction details'!$D:$D,'Budget Detail-Own 2016'!$A35)</f>
        <v>47.41</v>
      </c>
      <c r="W35" s="38">
        <f t="shared" si="2"/>
        <v>52.59</v>
      </c>
      <c r="X35" s="48">
        <f>-SUMIFS('transaction details'!$G:$G,'transaction details'!$H:$H,'Budget Detail-Own 2016'!X$2,'transaction details'!$D:$D,'Budget Detail-Own 2016'!$A35)</f>
        <v>439.15</v>
      </c>
      <c r="Y35" s="38">
        <f t="shared" si="2"/>
        <v>-339.15</v>
      </c>
      <c r="Z35" s="48">
        <f>-SUMIFS('transaction details'!$G:$G,'transaction details'!$H:$H,'Budget Detail-Own 2016'!Z$2,'transaction details'!$D:$D,'Budget Detail-Own 2016'!$A35)</f>
        <v>0</v>
      </c>
      <c r="AA35" s="38"/>
    </row>
    <row r="36" spans="1:27" x14ac:dyDescent="0.25">
      <c r="A36" s="46" t="s">
        <v>169</v>
      </c>
      <c r="B36" s="4">
        <f t="shared" si="3"/>
        <v>182.64</v>
      </c>
      <c r="C36" s="46">
        <v>0</v>
      </c>
      <c r="D36" s="48">
        <f>-SUMIFS('transaction details'!$G:$G,'transaction details'!$H:$H,'Budget Detail-Own 2016'!D$2,'transaction details'!$D:$D,'Budget Detail-Own 2016'!$A36)</f>
        <v>0</v>
      </c>
      <c r="E36" s="38">
        <f t="shared" si="7"/>
        <v>0</v>
      </c>
      <c r="F36" s="48">
        <f>-SUMIFS('transaction details'!$G:$G,'transaction details'!$H:$H,'Budget Detail-Own 2016'!F$2,'transaction details'!$D:$D,'Budget Detail-Own 2016'!$A36)</f>
        <v>0</v>
      </c>
      <c r="G36" s="38">
        <f t="shared" si="7"/>
        <v>0</v>
      </c>
      <c r="H36" s="48">
        <f>-SUMIFS('transaction details'!$G:$G,'transaction details'!$H:$H,'Budget Detail-Own 2016'!H$2,'transaction details'!$D:$D,'Budget Detail-Own 2016'!$A36)</f>
        <v>0.44</v>
      </c>
      <c r="I36" s="38">
        <f t="shared" si="8"/>
        <v>-0.44</v>
      </c>
      <c r="J36" s="48">
        <f>-SUMIFS('transaction details'!$G:$G,'transaction details'!$H:$H,'Budget Detail-Own 2016'!J$2,'transaction details'!$D:$D,'Budget Detail-Own 2016'!$A36)</f>
        <v>-45</v>
      </c>
      <c r="K36" s="38">
        <f t="shared" si="0"/>
        <v>45</v>
      </c>
      <c r="L36" s="48">
        <f>-SUMIFS('transaction details'!$G:$G,'transaction details'!$H:$H,'Budget Detail-Own 2016'!L$2,'transaction details'!$D:$D,'Budget Detail-Own 2016'!$A36)</f>
        <v>0</v>
      </c>
      <c r="M36" s="38">
        <f t="shared" si="1"/>
        <v>0</v>
      </c>
      <c r="N36" s="48">
        <f>-SUMIFS('transaction details'!$G:$G,'transaction details'!$H:$H,'Budget Detail-Own 2016'!N$2,'transaction details'!$D:$D,'Budget Detail-Own 2016'!$A36)</f>
        <v>0</v>
      </c>
      <c r="O36" s="38">
        <f t="shared" si="1"/>
        <v>0</v>
      </c>
      <c r="P36" s="48">
        <f>-SUMIFS('transaction details'!$G:$G,'transaction details'!$H:$H,'Budget Detail-Own 2016'!P$2,'transaction details'!$D:$D,'Budget Detail-Own 2016'!$A36)</f>
        <v>-105</v>
      </c>
      <c r="Q36" s="38">
        <f t="shared" si="2"/>
        <v>105</v>
      </c>
      <c r="R36" s="48">
        <f>-SUMIFS('transaction details'!$G:$G,'transaction details'!$H:$H,'Budget Detail-Own 2016'!R$2,'transaction details'!$D:$D,'Budget Detail-Own 2016'!$A36)</f>
        <v>-33.08</v>
      </c>
      <c r="S36" s="38">
        <f t="shared" si="2"/>
        <v>33.08</v>
      </c>
      <c r="T36" s="48">
        <f>-SUMIFS('transaction details'!$G:$G,'transaction details'!$H:$H,'Budget Detail-Own 2016'!T$2,'transaction details'!$D:$D,'Budget Detail-Own 2016'!$A36)</f>
        <v>0</v>
      </c>
      <c r="U36" s="38">
        <f t="shared" si="2"/>
        <v>0</v>
      </c>
      <c r="V36" s="48">
        <f>-SUMIFS('transaction details'!$G:$G,'transaction details'!$H:$H,'Budget Detail-Own 2016'!V$2,'transaction details'!$D:$D,'Budget Detail-Own 2016'!$A36)</f>
        <v>0</v>
      </c>
      <c r="W36" s="38">
        <f t="shared" si="2"/>
        <v>0</v>
      </c>
      <c r="X36" s="48">
        <f>-SUMIFS('transaction details'!$G:$G,'transaction details'!$H:$H,'Budget Detail-Own 2016'!X$2,'transaction details'!$D:$D,'Budget Detail-Own 2016'!$A36)</f>
        <v>0</v>
      </c>
      <c r="Y36" s="38">
        <f t="shared" si="2"/>
        <v>0</v>
      </c>
      <c r="Z36" s="48">
        <f>-SUMIFS('transaction details'!$G:$G,'transaction details'!$H:$H,'Budget Detail-Own 2016'!Z$2,'transaction details'!$D:$D,'Budget Detail-Own 2016'!$A36)</f>
        <v>0</v>
      </c>
      <c r="AA36" s="38"/>
    </row>
    <row r="37" spans="1:27" x14ac:dyDescent="0.25">
      <c r="A37" s="46" t="s">
        <v>6</v>
      </c>
      <c r="B37" s="4">
        <f t="shared" si="3"/>
        <v>0</v>
      </c>
      <c r="C37" s="46">
        <v>0</v>
      </c>
      <c r="D37" s="48">
        <f>-SUMIFS('transaction details'!$G:$G,'transaction details'!$H:$H,'Budget Detail-Own 2016'!D$2,'transaction details'!$D:$D,'Budget Detail-Own 2016'!$A37)</f>
        <v>0</v>
      </c>
      <c r="E37" s="4">
        <f>$C37-D37</f>
        <v>0</v>
      </c>
      <c r="F37" s="48">
        <f>-SUMIFS('transaction details'!$G:$G,'transaction details'!$H:$H,'Budget Detail-Own 2016'!F$2,'transaction details'!$D:$D,'Budget Detail-Own 2016'!$A37)</f>
        <v>0</v>
      </c>
      <c r="G37" s="4">
        <f>$C37-F37</f>
        <v>0</v>
      </c>
      <c r="H37" s="48">
        <f>-SUMIFS('transaction details'!$G:$G,'transaction details'!$H:$H,'Budget Detail-Own 2016'!H$2,'transaction details'!$D:$D,'Budget Detail-Own 2016'!$A37)</f>
        <v>0</v>
      </c>
      <c r="I37" s="4">
        <f t="shared" si="8"/>
        <v>0</v>
      </c>
      <c r="J37" s="48">
        <f>-SUMIFS('transaction details'!$G:$G,'transaction details'!$H:$H,'Budget Detail-Own 2016'!J$2,'transaction details'!$D:$D,'Budget Detail-Own 2016'!$A37)</f>
        <v>0</v>
      </c>
      <c r="K37" s="38">
        <f t="shared" si="0"/>
        <v>0</v>
      </c>
      <c r="L37" s="48">
        <f>-SUMIFS('transaction details'!$G:$G,'transaction details'!$H:$H,'Budget Detail-Own 2016'!L$2,'transaction details'!$D:$D,'Budget Detail-Own 2016'!$A37)</f>
        <v>0</v>
      </c>
      <c r="M37" s="38">
        <f t="shared" si="1"/>
        <v>0</v>
      </c>
      <c r="N37" s="48">
        <f>-SUMIFS('transaction details'!$G:$G,'transaction details'!$H:$H,'Budget Detail-Own 2016'!N$2,'transaction details'!$D:$D,'Budget Detail-Own 2016'!$A37)</f>
        <v>0</v>
      </c>
      <c r="O37" s="38">
        <f t="shared" si="1"/>
        <v>0</v>
      </c>
      <c r="P37" s="48">
        <f>-SUMIFS('transaction details'!$G:$G,'transaction details'!$H:$H,'Budget Detail-Own 2016'!P$2,'transaction details'!$D:$D,'Budget Detail-Own 2016'!$A37)</f>
        <v>0</v>
      </c>
      <c r="Q37" s="38">
        <f t="shared" si="2"/>
        <v>0</v>
      </c>
      <c r="R37" s="48">
        <f>-SUMIFS('transaction details'!$G:$G,'transaction details'!$H:$H,'Budget Detail-Own 2016'!R$2,'transaction details'!$D:$D,'Budget Detail-Own 2016'!$A37)</f>
        <v>0</v>
      </c>
      <c r="S37" s="38">
        <f t="shared" si="2"/>
        <v>0</v>
      </c>
      <c r="T37" s="48">
        <f>-SUMIFS('transaction details'!$G:$G,'transaction details'!$H:$H,'Budget Detail-Own 2016'!T$2,'transaction details'!$D:$D,'Budget Detail-Own 2016'!$A37)</f>
        <v>0</v>
      </c>
      <c r="U37" s="38">
        <f t="shared" si="2"/>
        <v>0</v>
      </c>
      <c r="V37" s="48">
        <f>-SUMIFS('transaction details'!$G:$G,'transaction details'!$H:$H,'Budget Detail-Own 2016'!V$2,'transaction details'!$D:$D,'Budget Detail-Own 2016'!$A37)</f>
        <v>0</v>
      </c>
      <c r="W37" s="38">
        <f t="shared" si="2"/>
        <v>0</v>
      </c>
      <c r="X37" s="48">
        <f>-SUMIFS('transaction details'!$G:$G,'transaction details'!$H:$H,'Budget Detail-Own 2016'!X$2,'transaction details'!$D:$D,'Budget Detail-Own 2016'!$A37)</f>
        <v>0</v>
      </c>
      <c r="Y37" s="38">
        <f t="shared" si="2"/>
        <v>0</v>
      </c>
      <c r="Z37" s="48">
        <f>-SUMIFS('transaction details'!$G:$G,'transaction details'!$H:$H,'Budget Detail-Own 2016'!Z$2,'transaction details'!$D:$D,'Budget Detail-Own 2016'!$A37)</f>
        <v>0</v>
      </c>
      <c r="AA37" s="4"/>
    </row>
    <row r="38" spans="1:27" x14ac:dyDescent="0.25">
      <c r="A38" s="46" t="s">
        <v>1207</v>
      </c>
      <c r="B38" s="4">
        <f t="shared" ref="B38" si="9">E38+G38+I38+K38+M38+O38+Q38+S38+U38+W38+Y38+AA38</f>
        <v>-7307.11</v>
      </c>
      <c r="C38" s="46">
        <v>0</v>
      </c>
      <c r="D38" s="48">
        <f>-SUMIFS('transaction details'!$G:$G,'transaction details'!$H:$H,'Budget Detail-Own 2016'!D$2,'transaction details'!$D:$D,'Budget Detail-Own 2016'!$A38)</f>
        <v>0</v>
      </c>
      <c r="E38" s="4">
        <f>$C38-D38</f>
        <v>0</v>
      </c>
      <c r="F38" s="48">
        <f>-SUMIFS('transaction details'!$G:$G,'transaction details'!$H:$H,'Budget Detail-Own 2016'!F$2,'transaction details'!$D:$D,'Budget Detail-Own 2016'!$A38)</f>
        <v>0</v>
      </c>
      <c r="G38" s="4">
        <f>$C38-F38</f>
        <v>0</v>
      </c>
      <c r="H38" s="48">
        <f>-SUMIFS('transaction details'!$G:$G,'transaction details'!$H:$H,'Budget Detail-Own 2016'!H$2,'transaction details'!$D:$D,'Budget Detail-Own 2016'!$A38)</f>
        <v>10580</v>
      </c>
      <c r="I38" s="4">
        <f t="shared" ref="I38" si="10">$C38-H38</f>
        <v>-10580</v>
      </c>
      <c r="J38" s="48">
        <f>-SUMIFS('transaction details'!$G:$G,'transaction details'!$H:$H,'Budget Detail-Own 2016'!J$2,'transaction details'!$D:$D,'Budget Detail-Own 2016'!$A38)</f>
        <v>0</v>
      </c>
      <c r="K38" s="38">
        <f t="shared" si="0"/>
        <v>0</v>
      </c>
      <c r="L38" s="48">
        <f>-SUMIFS('transaction details'!$G:$G,'transaction details'!$H:$H,'Budget Detail-Own 2016'!L$2,'transaction details'!$D:$D,'Budget Detail-Own 2016'!$A38)</f>
        <v>0</v>
      </c>
      <c r="M38" s="38">
        <f t="shared" si="1"/>
        <v>0</v>
      </c>
      <c r="N38" s="48">
        <f>-SUMIFS('transaction details'!$G:$G,'transaction details'!$H:$H,'Budget Detail-Own 2016'!N$2,'transaction details'!$D:$D,'Budget Detail-Own 2016'!$A38)</f>
        <v>0</v>
      </c>
      <c r="O38" s="38">
        <f t="shared" si="1"/>
        <v>0</v>
      </c>
      <c r="P38" s="48">
        <f>-SUMIFS('transaction details'!$G:$G,'transaction details'!$H:$H,'Budget Detail-Own 2016'!P$2,'transaction details'!$D:$D,'Budget Detail-Own 2016'!$A38)</f>
        <v>1955.41</v>
      </c>
      <c r="Q38" s="38">
        <f t="shared" si="2"/>
        <v>-1955.41</v>
      </c>
      <c r="R38" s="48">
        <f>-SUMIFS('transaction details'!$G:$G,'transaction details'!$H:$H,'Budget Detail-Own 2016'!R$2,'transaction details'!$D:$D,'Budget Detail-Own 2016'!$A38)</f>
        <v>-5694.59</v>
      </c>
      <c r="S38" s="38">
        <f t="shared" si="2"/>
        <v>5694.59</v>
      </c>
      <c r="T38" s="48">
        <f>-SUMIFS('transaction details'!$G:$G,'transaction details'!$H:$H,'Budget Detail-Own 2016'!T$2,'transaction details'!$D:$D,'Budget Detail-Own 2016'!$A38)</f>
        <v>0</v>
      </c>
      <c r="U38" s="38">
        <f t="shared" si="2"/>
        <v>0</v>
      </c>
      <c r="V38" s="48">
        <f>-SUMIFS('transaction details'!$G:$G,'transaction details'!$H:$H,'Budget Detail-Own 2016'!V$2,'transaction details'!$D:$D,'Budget Detail-Own 2016'!$A38)</f>
        <v>466.28999999999996</v>
      </c>
      <c r="W38" s="38">
        <f t="shared" si="2"/>
        <v>-466.28999999999996</v>
      </c>
      <c r="X38" s="48">
        <f>-SUMIFS('transaction details'!$G:$G,'transaction details'!$H:$H,'Budget Detail-Own 2016'!X$2,'transaction details'!$D:$D,'Budget Detail-Own 2016'!$A38)</f>
        <v>0</v>
      </c>
      <c r="Y38" s="38">
        <f t="shared" si="2"/>
        <v>0</v>
      </c>
      <c r="Z38" s="48">
        <f>-SUMIFS('transaction details'!$G:$G,'transaction details'!$H:$H,'Budget Detail-Own 2016'!Z$2,'transaction details'!$D:$D,'Budget Detail-Own 2016'!$A38)</f>
        <v>0</v>
      </c>
      <c r="AA38" s="4"/>
    </row>
    <row r="39" spans="1:27" x14ac:dyDescent="0.25">
      <c r="A39" s="46" t="s">
        <v>121</v>
      </c>
      <c r="B39" s="4">
        <f t="shared" si="3"/>
        <v>-458.63</v>
      </c>
      <c r="D39" s="48">
        <f>-SUMIFS('transaction details'!$G:$G,'transaction details'!$H:$H,'Budget Detail-Own 2016'!D$2,'transaction details'!$D:$D,'Budget Detail-Own 2016'!$A39)</f>
        <v>27.17</v>
      </c>
      <c r="E39" s="38">
        <f t="shared" si="7"/>
        <v>-27.17</v>
      </c>
      <c r="F39" s="48">
        <f>-SUMIFS('transaction details'!$G:$G,'transaction details'!$H:$H,'Budget Detail-Own 2016'!F$2,'transaction details'!$D:$D,'Budget Detail-Own 2016'!$A39)</f>
        <v>0</v>
      </c>
      <c r="G39" s="38">
        <f t="shared" si="7"/>
        <v>0</v>
      </c>
      <c r="H39" s="48">
        <f>-SUMIFS('transaction details'!$G:$G,'transaction details'!$H:$H,'Budget Detail-Own 2016'!H$2,'transaction details'!$D:$D,'Budget Detail-Own 2016'!$A39)</f>
        <v>0</v>
      </c>
      <c r="I39" s="38">
        <f t="shared" si="8"/>
        <v>0</v>
      </c>
      <c r="J39" s="48">
        <f>-SUMIFS('transaction details'!$G:$G,'transaction details'!$H:$H,'Budget Detail-Own 2016'!J$2,'transaction details'!$D:$D,'Budget Detail-Own 2016'!$A39)</f>
        <v>0</v>
      </c>
      <c r="K39" s="38">
        <f t="shared" si="0"/>
        <v>0</v>
      </c>
      <c r="L39" s="48">
        <f>-SUMIFS('transaction details'!$G:$G,'transaction details'!$H:$H,'Budget Detail-Own 2016'!L$2,'transaction details'!$D:$D,'Budget Detail-Own 2016'!$A39)</f>
        <v>78.209999999999994</v>
      </c>
      <c r="M39" s="38">
        <f t="shared" si="1"/>
        <v>-78.209999999999994</v>
      </c>
      <c r="N39" s="48">
        <f>-SUMIFS('transaction details'!$G:$G,'transaction details'!$H:$H,'Budget Detail-Own 2016'!N$2,'transaction details'!$D:$D,'Budget Detail-Own 2016'!$A39)</f>
        <v>0</v>
      </c>
      <c r="O39" s="38">
        <f t="shared" si="1"/>
        <v>0</v>
      </c>
      <c r="P39" s="48">
        <f>-SUMIFS('transaction details'!$G:$G,'transaction details'!$H:$H,'Budget Detail-Own 2016'!P$2,'transaction details'!$D:$D,'Budget Detail-Own 2016'!$A39)</f>
        <v>247.25</v>
      </c>
      <c r="Q39" s="38">
        <f t="shared" si="2"/>
        <v>-247.25</v>
      </c>
      <c r="R39" s="48">
        <f>-SUMIFS('transaction details'!$G:$G,'transaction details'!$H:$H,'Budget Detail-Own 2016'!R$2,'transaction details'!$D:$D,'Budget Detail-Own 2016'!$A39)</f>
        <v>106</v>
      </c>
      <c r="S39" s="38">
        <f t="shared" si="2"/>
        <v>-106</v>
      </c>
      <c r="T39" s="48">
        <f>-SUMIFS('transaction details'!$G:$G,'transaction details'!$H:$H,'Budget Detail-Own 2016'!T$2,'transaction details'!$D:$D,'Budget Detail-Own 2016'!$A39)</f>
        <v>0</v>
      </c>
      <c r="U39" s="38">
        <f t="shared" si="2"/>
        <v>0</v>
      </c>
      <c r="V39" s="48">
        <f>-SUMIFS('transaction details'!$G:$G,'transaction details'!$H:$H,'Budget Detail-Own 2016'!V$2,'transaction details'!$D:$D,'Budget Detail-Own 2016'!$A39)</f>
        <v>0</v>
      </c>
      <c r="W39" s="38">
        <f t="shared" si="2"/>
        <v>0</v>
      </c>
      <c r="X39" s="48">
        <f>-SUMIFS('transaction details'!$G:$G,'transaction details'!$H:$H,'Budget Detail-Own 2016'!X$2,'transaction details'!$D:$D,'Budget Detail-Own 2016'!$A39)</f>
        <v>0</v>
      </c>
      <c r="Y39" s="38">
        <f t="shared" si="2"/>
        <v>0</v>
      </c>
      <c r="Z39" s="48">
        <f>-SUMIFS('transaction details'!$G:$G,'transaction details'!$H:$H,'Budget Detail-Own 2016'!Z$2,'transaction details'!$D:$D,'Budget Detail-Own 2016'!$A39)</f>
        <v>0</v>
      </c>
      <c r="AA39" s="38"/>
    </row>
    <row r="40" spans="1:27" x14ac:dyDescent="0.25">
      <c r="A40" s="64"/>
      <c r="B40" s="64"/>
      <c r="C40" s="64"/>
    </row>
    <row r="41" spans="1:27" s="51" customFormat="1" x14ac:dyDescent="0.25">
      <c r="A41" s="51" t="s">
        <v>9</v>
      </c>
      <c r="B41" s="51">
        <f>SUM(B3:B35)</f>
        <v>-28768.309999999994</v>
      </c>
      <c r="C41" s="51">
        <f>SUM(C3:C37)-C37</f>
        <v>5688.1</v>
      </c>
      <c r="D41" s="51">
        <f t="shared" ref="D41:AA41" si="11">SUM(D3:D39)</f>
        <v>6687.7199999999993</v>
      </c>
      <c r="E41" s="51">
        <f t="shared" si="11"/>
        <v>-999.61999999999989</v>
      </c>
      <c r="F41" s="51">
        <f t="shared" si="11"/>
        <v>15526.449999999999</v>
      </c>
      <c r="G41" s="51">
        <f t="shared" si="11"/>
        <v>-9838.3499999999985</v>
      </c>
      <c r="H41" s="51">
        <f t="shared" si="11"/>
        <v>16623</v>
      </c>
      <c r="I41" s="51">
        <f t="shared" si="11"/>
        <v>-10934.9</v>
      </c>
      <c r="J41" s="51">
        <f t="shared" si="11"/>
        <v>-3305.9700000000016</v>
      </c>
      <c r="K41" s="51">
        <f t="shared" si="11"/>
        <v>8994.07</v>
      </c>
      <c r="L41" s="51">
        <f t="shared" si="11"/>
        <v>9532.1</v>
      </c>
      <c r="M41" s="51">
        <f t="shared" si="11"/>
        <v>-3844</v>
      </c>
      <c r="N41" s="51">
        <f t="shared" si="11"/>
        <v>20710.989999999998</v>
      </c>
      <c r="O41" s="51">
        <f t="shared" si="11"/>
        <v>-15022.890000000001</v>
      </c>
      <c r="P41" s="51">
        <f t="shared" si="11"/>
        <v>7484.4599999999991</v>
      </c>
      <c r="Q41" s="51">
        <f t="shared" si="11"/>
        <v>-1796.36</v>
      </c>
      <c r="R41" s="51">
        <f t="shared" si="11"/>
        <v>2076.4700000000012</v>
      </c>
      <c r="S41" s="51">
        <f t="shared" si="11"/>
        <v>3611.63</v>
      </c>
      <c r="T41" s="51">
        <f t="shared" si="11"/>
        <v>8642.32</v>
      </c>
      <c r="U41" s="51">
        <f t="shared" si="11"/>
        <v>-2954.2200000000007</v>
      </c>
      <c r="V41" s="51">
        <f t="shared" si="11"/>
        <v>2080.84</v>
      </c>
      <c r="W41" s="51">
        <f t="shared" si="11"/>
        <v>3607.26</v>
      </c>
      <c r="X41" s="51">
        <f t="shared" si="11"/>
        <v>12862.13</v>
      </c>
      <c r="Y41" s="51">
        <f t="shared" si="11"/>
        <v>-7174.0299999999988</v>
      </c>
      <c r="Z41" s="51">
        <f t="shared" si="11"/>
        <v>0</v>
      </c>
      <c r="AA41" s="51">
        <f t="shared" si="11"/>
        <v>0</v>
      </c>
    </row>
    <row r="42" spans="1:27" x14ac:dyDescent="0.25">
      <c r="A42" s="46" t="s">
        <v>439</v>
      </c>
      <c r="B42" s="4"/>
      <c r="D42" s="48">
        <f>D41-D37</f>
        <v>6687.7199999999993</v>
      </c>
      <c r="E42" s="48"/>
      <c r="F42" s="48">
        <f>F41-F37</f>
        <v>15526.449999999999</v>
      </c>
      <c r="G42" s="4"/>
      <c r="H42" s="48">
        <f>H41-H37</f>
        <v>16623</v>
      </c>
      <c r="I42" s="4"/>
      <c r="J42" s="48">
        <f>J41-J37</f>
        <v>-3305.9700000000016</v>
      </c>
      <c r="K42" s="4"/>
      <c r="L42" s="48">
        <f>L41-L37</f>
        <v>9532.1</v>
      </c>
      <c r="N42" s="48">
        <f>N41-N37</f>
        <v>20710.989999999998</v>
      </c>
      <c r="P42" s="48">
        <f>P41-P37</f>
        <v>7484.4599999999991</v>
      </c>
      <c r="R42" s="48">
        <f>R41-R37</f>
        <v>2076.4700000000012</v>
      </c>
      <c r="T42" s="48">
        <f>T41-T37</f>
        <v>8642.32</v>
      </c>
      <c r="V42" s="48">
        <f>V41-V37</f>
        <v>2080.84</v>
      </c>
      <c r="X42" s="48">
        <f>X41-X37</f>
        <v>12862.13</v>
      </c>
      <c r="Z42" s="48">
        <f>Z41-Z37</f>
        <v>0</v>
      </c>
    </row>
    <row r="43" spans="1:27" x14ac:dyDescent="0.25">
      <c r="A43" s="46" t="s">
        <v>440</v>
      </c>
      <c r="D43" s="48">
        <f>D42-D16-D22-D17</f>
        <v>3568.2399999999993</v>
      </c>
      <c r="F43" s="48">
        <f>F42-F16-F22-F17</f>
        <v>7564.7699999999986</v>
      </c>
      <c r="H43" s="48">
        <f>H42-H16-H22-H17-H38</f>
        <v>2870.16</v>
      </c>
      <c r="J43" s="48">
        <f>J42-J16-J22-J17</f>
        <v>-6663.2200000000012</v>
      </c>
      <c r="L43" s="48">
        <f>L42-L16-L22-L17</f>
        <v>3897.19</v>
      </c>
      <c r="N43" s="48">
        <f>N42-N16-N22-N17</f>
        <v>17441.969999999998</v>
      </c>
      <c r="P43" s="48">
        <f>P42-P16-P22-P17</f>
        <v>4343.4999999999991</v>
      </c>
      <c r="R43" s="48">
        <f>R42-R16-R22-R17</f>
        <v>-1061.5699999999988</v>
      </c>
      <c r="T43" s="48">
        <f>T42-T16-T22-T17</f>
        <v>4233.2099999999991</v>
      </c>
      <c r="V43" s="48">
        <f>V42-V16-V22-V17</f>
        <v>-1858.3899999999999</v>
      </c>
      <c r="X43" s="48">
        <f>X42-X16-X22-X17</f>
        <v>3008.9499999999989</v>
      </c>
      <c r="Z43" s="48">
        <f>Z42-Z16-Z22-Z17</f>
        <v>0</v>
      </c>
    </row>
    <row r="44" spans="1:27" x14ac:dyDescent="0.25">
      <c r="A44" s="46" t="s">
        <v>441</v>
      </c>
      <c r="D44" s="48">
        <f>D43-D25</f>
        <v>3568.2399999999993</v>
      </c>
      <c r="F44" s="48">
        <f>F43-F25</f>
        <v>2825.2999999999984</v>
      </c>
      <c r="H44" s="48">
        <f>H43-H25</f>
        <v>2657.0899999999997</v>
      </c>
      <c r="J44" s="48">
        <f>J43-J25</f>
        <v>-6663.2200000000012</v>
      </c>
      <c r="L44" s="48">
        <f>L43-L25</f>
        <v>3897.19</v>
      </c>
      <c r="N44" s="48">
        <f>N43-N25</f>
        <v>2085.6699999999983</v>
      </c>
      <c r="P44" s="48">
        <f>P43-P25</f>
        <v>4343.4999999999991</v>
      </c>
      <c r="R44" s="48">
        <f>R43-R25</f>
        <v>-1749.4199999999987</v>
      </c>
      <c r="T44" s="48">
        <f>T43-T25</f>
        <v>3948.6599999999989</v>
      </c>
      <c r="V44" s="48">
        <f>V43-V25</f>
        <v>3534.4099999999994</v>
      </c>
      <c r="X44" s="48">
        <f>X43-X25</f>
        <v>3008.9499999999989</v>
      </c>
      <c r="Z44" s="48">
        <f>Z43-Z25</f>
        <v>0</v>
      </c>
    </row>
    <row r="45" spans="1:27" x14ac:dyDescent="0.25">
      <c r="A45" s="46" t="s">
        <v>547</v>
      </c>
      <c r="D45" s="48"/>
      <c r="F45" s="48"/>
      <c r="H45" s="48">
        <f>H44-H30-H12</f>
        <v>2299.79</v>
      </c>
      <c r="J45" s="48">
        <f>J44-J30-J12</f>
        <v>3169.4699999999993</v>
      </c>
      <c r="L45" s="48">
        <f>L44-L30-L12</f>
        <v>3861.71</v>
      </c>
      <c r="N45" s="48">
        <f>N44-N30-N12</f>
        <v>1985.5599999999981</v>
      </c>
      <c r="P45" s="48">
        <f>P44-P30-P12</f>
        <v>4143.3999999999987</v>
      </c>
      <c r="R45" s="48">
        <f>R44-R30-R12</f>
        <v>-1749.5599999999988</v>
      </c>
      <c r="S45" s="48"/>
      <c r="T45" s="48">
        <f>T44-T30-T12</f>
        <v>3478.5299999999988</v>
      </c>
      <c r="U45" s="48"/>
      <c r="V45" s="48">
        <f>V44-V30-V12</f>
        <v>3694.2899999999991</v>
      </c>
      <c r="W45" s="48"/>
      <c r="X45" s="48">
        <f>X44-X30-X12</f>
        <v>2948.119999999999</v>
      </c>
      <c r="Y45" s="48"/>
      <c r="Z45" s="48">
        <f>Z44-Z30-Z12</f>
        <v>0</v>
      </c>
      <c r="AA45" s="48"/>
    </row>
    <row r="46" spans="1:27" x14ac:dyDescent="0.25">
      <c r="A46" s="46" t="s">
        <v>168</v>
      </c>
    </row>
    <row r="47" spans="1:27" x14ac:dyDescent="0.25">
      <c r="A47" s="46" t="s">
        <v>118</v>
      </c>
    </row>
    <row r="48" spans="1:27" s="50" customFormat="1" x14ac:dyDescent="0.25">
      <c r="A48" s="50" t="s">
        <v>261</v>
      </c>
      <c r="B48" s="50">
        <f>SUM(D48:BB48)</f>
        <v>118575.10999999999</v>
      </c>
      <c r="D48" s="50">
        <f>SUMIFS('transaction details'!$G:$G,'transaction details'!$H:$H,'Budget Detail-Own 2016'!D$2,'transaction details'!$D:$D,'Budget Detail-Own 2016'!$A48,'transaction details'!$G:$G,"&gt;0")</f>
        <v>7717.84</v>
      </c>
      <c r="F48" s="50">
        <f>SUMIFS('transaction details'!$G:$G,'transaction details'!$H:$H,'Budget Detail-Own 2016'!F$2,'transaction details'!$D:$D,'Budget Detail-Own 2016'!$A48,'transaction details'!$G:$G,"&gt;0")</f>
        <v>37001.230000000003</v>
      </c>
      <c r="H48" s="50">
        <f>SUMIFS('transaction details'!$G:$G,'transaction details'!$H:$H,'Budget Detail-Own 2016'!H$2,'transaction details'!$D:$D,'Budget Detail-Own 2016'!$A48,'transaction details'!$G:$G,"&gt;0")</f>
        <v>8321.1999999999989</v>
      </c>
      <c r="J48" s="50">
        <f>SUMIFS('transaction details'!$G:$G,'transaction details'!$H:$H,'Budget Detail-Own 2016'!J$2,'transaction details'!$D:$D,'Budget Detail-Own 2016'!$A48,'transaction details'!$G:$G,"&gt;0")</f>
        <v>8208.77</v>
      </c>
      <c r="L48" s="50">
        <f>SUMIFS('transaction details'!$G:$G,'transaction details'!$H:$H,'Budget Detail-Own 2016'!L$2,'transaction details'!$D:$D,'Budget Detail-Own 2016'!$A48,'transaction details'!$G:$G,"&gt;0")</f>
        <v>8350.93</v>
      </c>
      <c r="N48" s="50">
        <f>SUMIFS('transaction details'!$G:$G,'transaction details'!$H:$H,'Budget Detail-Own 2016'!N$2,'transaction details'!$D:$D,'Budget Detail-Own 2016'!$A48,'transaction details'!$G:$G,"&gt;0")</f>
        <v>9778.61</v>
      </c>
      <c r="P48" s="50">
        <f>SUMIFS('transaction details'!$G:$G,'transaction details'!$H:$H,'Budget Detail-Own 2016'!P$2,'transaction details'!$D:$D,'Budget Detail-Own 2016'!$A48,'transaction details'!$G:$G,"&gt;0")</f>
        <v>16519.849999999999</v>
      </c>
      <c r="R48" s="50">
        <f>SUMIFS('transaction details'!$G:$G,'transaction details'!$H:$H,'Budget Detail-Own 2016'!R$2,'transaction details'!$D:$D,'Budget Detail-Own 2016'!$A48,'transaction details'!$G:$G,"&gt;0")</f>
        <v>3304.7</v>
      </c>
      <c r="T48" s="50">
        <f>SUMIFS('transaction details'!$G:$G,'transaction details'!$H:$H,'Budget Detail-Own 2016'!T$2,'transaction details'!$D:$D,'Budget Detail-Own 2016'!$A48,'transaction details'!$G:$G,"&gt;0")</f>
        <v>8335.16</v>
      </c>
      <c r="V48" s="50">
        <f>SUMIFS('transaction details'!$G:$G,'transaction details'!$H:$H,'Budget Detail-Own 2016'!V$2,'transaction details'!$D:$D,'Budget Detail-Own 2016'!$A48,'transaction details'!$G:$G,"&gt;0")</f>
        <v>3321.18</v>
      </c>
      <c r="X48" s="50">
        <f>SUMIFS('transaction details'!$G:$G,'transaction details'!$H:$H,'Budget Detail-Own 2016'!X$2,'transaction details'!$D:$D,'Budget Detail-Own 2016'!$A48,'transaction details'!$G:$G,"&gt;0")</f>
        <v>7715.6399999999994</v>
      </c>
      <c r="Z48" s="50">
        <f>SUMIFS('transaction details'!$G:$G,'transaction details'!$H:$H,'Budget Detail-Own 2016'!Z$2,'transaction details'!$D:$D,'Budget Detail-Own 2016'!$A48,'transaction details'!$G:$G,"&gt;0")</f>
        <v>0</v>
      </c>
    </row>
    <row r="49" spans="1:26" x14ac:dyDescent="0.25">
      <c r="A49" s="46" t="s">
        <v>116</v>
      </c>
      <c r="B49" s="46">
        <f>SUM(D49:BB49)</f>
        <v>0</v>
      </c>
    </row>
    <row r="50" spans="1:26" x14ac:dyDescent="0.25">
      <c r="A50" s="46" t="s">
        <v>117</v>
      </c>
      <c r="B50" s="48">
        <f>SUM(D50:BB50)</f>
        <v>0</v>
      </c>
    </row>
    <row r="51" spans="1:26" x14ac:dyDescent="0.25">
      <c r="A51" s="46" t="s">
        <v>133</v>
      </c>
      <c r="B51" s="46">
        <f>SUM(D51:BB51)</f>
        <v>0</v>
      </c>
    </row>
    <row r="52" spans="1:26" x14ac:dyDescent="0.25">
      <c r="A52" s="46" t="s">
        <v>1050</v>
      </c>
    </row>
    <row r="53" spans="1:26" x14ac:dyDescent="0.25">
      <c r="A53" s="46" t="s">
        <v>162</v>
      </c>
      <c r="B53" s="46">
        <f>SUM(D53:BB53)</f>
        <v>0</v>
      </c>
    </row>
    <row r="54" spans="1:26" x14ac:dyDescent="0.25">
      <c r="A54" s="46" t="s">
        <v>173</v>
      </c>
      <c r="B54" s="46">
        <f>SUM(D54:BB54)</f>
        <v>0</v>
      </c>
    </row>
    <row r="55" spans="1:26" x14ac:dyDescent="0.25">
      <c r="A55" s="46" t="s">
        <v>184</v>
      </c>
    </row>
    <row r="56" spans="1:26" s="50" customFormat="1" x14ac:dyDescent="0.25">
      <c r="A56" s="50" t="s">
        <v>242</v>
      </c>
      <c r="B56" s="50" t="s">
        <v>301</v>
      </c>
      <c r="D56" s="50">
        <f>SUMIFS('transaction details'!$G:$G,'transaction details'!$H:$H,'Budget Detail-Own 2016'!D$2,'transaction details'!$D:$D,'Budget Detail-Own 2016'!$A56,'transaction details'!$G:$G,"&lt;0")</f>
        <v>-4261.4400000000005</v>
      </c>
      <c r="F56" s="50">
        <f>SUMIFS('transaction details'!$G:$G,'transaction details'!$H:$H,'Budget Detail-Own 2016'!F$2,'transaction details'!$D:$D,'Budget Detail-Own 2016'!$A56,'transaction details'!$G:$G,"&lt;0")</f>
        <v>-6044.38</v>
      </c>
      <c r="H56" s="50">
        <f>SUMIFS('transaction details'!$G:$G,'transaction details'!$H:$H,'Budget Detail-Own 2016'!H$2,'transaction details'!$D:$D,'Budget Detail-Own 2016'!$A56,'transaction details'!$G:$G,"&lt;0")</f>
        <v>-3960.19</v>
      </c>
      <c r="J56" s="50">
        <f>SUMIFS('transaction details'!$G:$G,'transaction details'!$H:$H,'Budget Detail-Own 2016'!J$2,'transaction details'!$D:$D,'Budget Detail-Own 2016'!$A56,'transaction details'!$G:$G,"&lt;0")</f>
        <v>-3374.33</v>
      </c>
      <c r="L56" s="50">
        <f>SUMIFS('transaction details'!$G:$G,'transaction details'!$H:$H,'Budget Detail-Own 2016'!L$2,'transaction details'!$D:$D,'Budget Detail-Own 2016'!$A56,'transaction details'!$G:$G,"&lt;0")</f>
        <v>-3642.91</v>
      </c>
      <c r="N56" s="50">
        <f>SUMIFS('transaction details'!$G:$G,'transaction details'!$H:$H,'Budget Detail-Own 2016'!N$2,'transaction details'!$D:$D,'Budget Detail-Own 2016'!$A56,'transaction details'!$G:$G,"&lt;0")</f>
        <v>-9264.66</v>
      </c>
      <c r="P56" s="50">
        <f>SUMIFS('transaction details'!$G:$G,'transaction details'!$H:$H,'Budget Detail-Own 2016'!P$2,'transaction details'!$D:$D,'Budget Detail-Own 2016'!$A56,'transaction details'!$G:$G,"&lt;0")</f>
        <v>-1931.96</v>
      </c>
      <c r="R56" s="50">
        <f>SUMIFS('transaction details'!$G:$G,'transaction details'!$H:$H,'Budget Detail-Own 2016'!R$2,'transaction details'!$D:$D,'Budget Detail-Own 2016'!$A56,'transaction details'!$G:$G,"&lt;0")</f>
        <v>-1266.6600000000001</v>
      </c>
      <c r="T56" s="50">
        <f>SUMIFS('transaction details'!$G:$G,'transaction details'!$H:$H,'Budget Detail-Own 2016'!T$2,'transaction details'!$D:$D,'Budget Detail-Own 2016'!$A56,'transaction details'!$G:$G,"&lt;0")</f>
        <v>-1446.04</v>
      </c>
      <c r="V56" s="50">
        <f>SUMIFS('transaction details'!$G:$G,'transaction details'!$H:$H,'Budget Detail-Own 2016'!V$2,'transaction details'!$D:$D,'Budget Detail-Own 2016'!$A56,'transaction details'!$G:$G,"&lt;0")</f>
        <v>-2253.4499999999998</v>
      </c>
      <c r="X56" s="50">
        <f>SUMIFS('transaction details'!$G:$G,'transaction details'!$H:$H,'Budget Detail-Own 2016'!X$2,'transaction details'!$D:$D,'Budget Detail-Own 2016'!$A56,'transaction details'!$G:$G,"&lt;0")</f>
        <v>-3474.18</v>
      </c>
      <c r="Z56" s="50">
        <f>SUMIFS('transaction details'!$G:$G,'transaction details'!$H:$H,'Budget Detail-Own 2016'!Z$2,'transaction details'!$D:$D,'Budget Detail-Own 2016'!$A56,'transaction details'!$G:$G,"&lt;0")</f>
        <v>0</v>
      </c>
    </row>
    <row r="57" spans="1:26" s="50" customFormat="1" x14ac:dyDescent="0.25">
      <c r="A57" s="50" t="s">
        <v>242</v>
      </c>
      <c r="B57" s="50" t="s">
        <v>302</v>
      </c>
      <c r="D57" s="50">
        <f>SUMIFS('transaction details'!$G:$G,'transaction details'!$H:$H,'Budget Detail-Own 2016'!D$2,'transaction details'!$D:$D,'Budget Detail-Own 2016'!$A57,'transaction details'!$G:$G,"&gt;0")</f>
        <v>3655.34</v>
      </c>
      <c r="F57" s="50">
        <f>SUMIFS('transaction details'!$G:$G,'transaction details'!$H:$H,'Budget Detail-Own 2016'!F$2,'transaction details'!$D:$D,'Budget Detail-Own 2016'!$A57,'transaction details'!$G:$G,"&gt;0")</f>
        <v>6044.38</v>
      </c>
      <c r="H57" s="50">
        <f>SUMIFS('transaction details'!$G:$G,'transaction details'!$H:$H,'Budget Detail-Own 2016'!H$2,'transaction details'!$D:$D,'Budget Detail-Own 2016'!$A57,'transaction details'!$G:$G,"&gt;0")</f>
        <v>3960.19</v>
      </c>
      <c r="J57" s="50">
        <f>SUMIFS('transaction details'!$G:$G,'transaction details'!$H:$H,'Budget Detail-Own 2016'!J$2,'transaction details'!$D:$D,'Budget Detail-Own 2016'!$A57,'transaction details'!$G:$G,"&gt;0")</f>
        <v>3437.09</v>
      </c>
      <c r="L57" s="50">
        <f>SUMIFS('transaction details'!$G:$G,'transaction details'!$H:$H,'Budget Detail-Own 2016'!L$2,'transaction details'!$D:$D,'Budget Detail-Own 2016'!$A57,'transaction details'!$G:$G,"&gt;0")</f>
        <v>3642.91</v>
      </c>
      <c r="N57" s="50">
        <f>SUMIFS('transaction details'!$G:$G,'transaction details'!$H:$H,'Budget Detail-Own 2016'!N$2,'transaction details'!$D:$D,'Budget Detail-Own 2016'!$A57,'transaction details'!$G:$G,"&gt;0")</f>
        <v>9776</v>
      </c>
      <c r="P57" s="50">
        <f>SUMIFS('transaction details'!$G:$G,'transaction details'!$H:$H,'Budget Detail-Own 2016'!P$2,'transaction details'!$D:$D,'Budget Detail-Own 2016'!$A57,'transaction details'!$G:$G,"&gt;0")</f>
        <v>1931.96</v>
      </c>
      <c r="R57" s="50">
        <f>SUMIFS('transaction details'!$G:$G,'transaction details'!$H:$H,'Budget Detail-Own 2016'!R$2,'transaction details'!$D:$D,'Budget Detail-Own 2016'!$A57,'transaction details'!$G:$G,"&gt;0")</f>
        <v>1266.6600000000001</v>
      </c>
      <c r="T57" s="50">
        <f>SUMIFS('transaction details'!$G:$G,'transaction details'!$H:$H,'Budget Detail-Own 2016'!T$2,'transaction details'!$D:$D,'Budget Detail-Own 2016'!$A57,'transaction details'!$G:$G,"&gt;0")</f>
        <v>1019.81</v>
      </c>
      <c r="V57" s="50">
        <f>SUMIFS('transaction details'!$G:$G,'transaction details'!$H:$H,'Budget Detail-Own 2016'!V$2,'transaction details'!$D:$D,'Budget Detail-Own 2016'!$A57,'transaction details'!$G:$G,"&gt;0")</f>
        <v>2253.4499999999998</v>
      </c>
      <c r="X57" s="50">
        <f>SUMIFS('transaction details'!$G:$G,'transaction details'!$H:$H,'Budget Detail-Own 2016'!X$2,'transaction details'!$D:$D,'Budget Detail-Own 2016'!$A57,'transaction details'!$G:$G,"&gt;0")</f>
        <v>3472.18</v>
      </c>
      <c r="Z57" s="50">
        <f>SUMIFS('transaction details'!$G:$G,'transaction details'!$H:$H,'Budget Detail-Own 2016'!Z$2,'transaction details'!$D:$D,'Budget Detail-Own 2016'!$A57,'transaction details'!$G:$G,"&gt;0")</f>
        <v>0</v>
      </c>
    </row>
    <row r="58" spans="1:26" s="50" customFormat="1" x14ac:dyDescent="0.25">
      <c r="A58" s="50" t="s">
        <v>226</v>
      </c>
      <c r="B58" s="50" t="s">
        <v>301</v>
      </c>
      <c r="D58" s="50">
        <f>SUMIFS('transaction details'!$G:$G,'transaction details'!$H:$H,'Budget Detail-Own 2016'!D$2,'transaction details'!$D:$D,'Budget Detail-Own 2016'!$A58,'transaction details'!$G:$G,"&lt;0")</f>
        <v>0</v>
      </c>
      <c r="F58" s="50">
        <f>SUMIFS('transaction details'!$G:$G,'transaction details'!$H:$H,'Budget Detail-Own 2016'!F$2,'transaction details'!$D:$D,'Budget Detail-Own 2016'!$A58,'transaction details'!$G:$G,"&lt;0")</f>
        <v>0</v>
      </c>
      <c r="H58" s="50">
        <f>SUMIFS('transaction details'!$G:$G,'transaction details'!$H:$H,'Budget Detail-Own 2016'!H$2,'transaction details'!$D:$D,'Budget Detail-Own 2016'!$A58,'transaction details'!$G:$G,"&lt;0")</f>
        <v>-0.44</v>
      </c>
      <c r="J58" s="50">
        <f>SUMIFS('transaction details'!$G:$G,'transaction details'!$H:$H,'Budget Detail-Own 2016'!J$2,'transaction details'!$D:$D,'Budget Detail-Own 2016'!$A58,'transaction details'!$G:$G,"&lt;0")</f>
        <v>-76099.710000000006</v>
      </c>
      <c r="L58" s="50">
        <f>SUMIFS('transaction details'!$G:$G,'transaction details'!$H:$H,'Budget Detail-Own 2016'!L$2,'transaction details'!$D:$D,'Budget Detail-Own 2016'!$A58,'transaction details'!$G:$G,"&lt;0")</f>
        <v>-94985</v>
      </c>
      <c r="N58" s="50">
        <f>SUMIFS('transaction details'!$G:$G,'transaction details'!$H:$H,'Budget Detail-Own 2016'!N$2,'transaction details'!$D:$D,'Budget Detail-Own 2016'!$A58,'transaction details'!$G:$G,"&lt;0")</f>
        <v>0</v>
      </c>
      <c r="P58" s="50">
        <f>SUMIFS('transaction details'!$G:$G,'transaction details'!$H:$H,'Budget Detail-Own 2016'!P$2,'transaction details'!$D:$D,'Budget Detail-Own 2016'!$A58,'transaction details'!$G:$G,"&lt;0")</f>
        <v>-1000</v>
      </c>
      <c r="R58" s="50">
        <f>SUMIFS('transaction details'!$G:$G,'transaction details'!$H:$H,'Budget Detail-Own 2016'!R$2,'transaction details'!$D:$D,'Budget Detail-Own 2016'!$A58,'transaction details'!$G:$G,"&lt;0")</f>
        <v>-15438.45</v>
      </c>
      <c r="T58" s="50">
        <f>SUMIFS('transaction details'!$G:$G,'transaction details'!$H:$H,'Budget Detail-Own 2016'!T$2,'transaction details'!$D:$D,'Budget Detail-Own 2016'!$A58,'transaction details'!$G:$G,"&lt;0")</f>
        <v>0</v>
      </c>
      <c r="V58" s="50">
        <f>SUMIFS('transaction details'!$G:$G,'transaction details'!$H:$H,'Budget Detail-Own 2016'!V$2,'transaction details'!$D:$D,'Budget Detail-Own 2016'!$A58,'transaction details'!$G:$G,"&lt;0")</f>
        <v>0</v>
      </c>
      <c r="X58" s="50">
        <f>SUMIFS('transaction details'!$G:$G,'transaction details'!$H:$H,'Budget Detail-Own 2016'!X$2,'transaction details'!$D:$D,'Budget Detail-Own 2016'!$A58,'transaction details'!$G:$G,"&lt;0")</f>
        <v>0</v>
      </c>
      <c r="Z58" s="50">
        <f>SUMIFS('transaction details'!$G:$G,'transaction details'!$H:$H,'Budget Detail-Own 2016'!Z$2,'transaction details'!$D:$D,'Budget Detail-Own 2016'!$A58,'transaction details'!$G:$G,"&lt;0")</f>
        <v>0</v>
      </c>
    </row>
    <row r="59" spans="1:26" s="50" customFormat="1" x14ac:dyDescent="0.25">
      <c r="A59" s="50" t="s">
        <v>226</v>
      </c>
      <c r="B59" s="50" t="s">
        <v>302</v>
      </c>
      <c r="D59" s="50">
        <f>SUMIFS('transaction details'!$G:$G,'transaction details'!$H:$H,'Budget Detail-Own 2016'!D$2,'transaction details'!$D:$D,'Budget Detail-Own 2016'!$A59,'transaction details'!$G:$G,"&gt;0")</f>
        <v>0</v>
      </c>
      <c r="F59" s="50">
        <f>SUMIFS('transaction details'!$G:$G,'transaction details'!$H:$H,'Budget Detail-Own 2016'!F$2,'transaction details'!$D:$D,'Budget Detail-Own 2016'!$A59,'transaction details'!$G:$G,"&lt;0")</f>
        <v>0</v>
      </c>
      <c r="H59" s="50">
        <f>SUMIFS('transaction details'!$G:$G,'transaction details'!$H:$H,'Budget Detail-Own 2016'!H$2,'transaction details'!$D:$D,'Budget Detail-Own 2016'!$A59,'transaction details'!$G:$G,"&lt;0")</f>
        <v>-0.44</v>
      </c>
      <c r="J59" s="50">
        <f>SUMIFS('transaction details'!$G:$G,'transaction details'!$H:$H,'Budget Detail-Own 2016'!J$2,'transaction details'!$D:$D,'Budget Detail-Own 2016'!$A59,'transaction details'!$G:$G,"&lt;0")</f>
        <v>-76099.710000000006</v>
      </c>
      <c r="L59" s="50">
        <f>SUMIFS('transaction details'!$G:$G,'transaction details'!$H:$H,'Budget Detail-Own 2016'!L$2,'transaction details'!$D:$D,'Budget Detail-Own 2016'!$A59,'transaction details'!$G:$G,"&lt;0")</f>
        <v>-94985</v>
      </c>
      <c r="N59" s="50">
        <f>SUMIFS('transaction details'!$G:$G,'transaction details'!$H:$H,'Budget Detail-Own 2016'!N$2,'transaction details'!$D:$D,'Budget Detail-Own 2016'!$A59,'transaction details'!$G:$G,"&lt;0")</f>
        <v>0</v>
      </c>
      <c r="P59" s="50">
        <f>SUMIFS('transaction details'!$G:$G,'transaction details'!$H:$H,'Budget Detail-Own 2016'!P$2,'transaction details'!$D:$D,'Budget Detail-Own 2016'!$A59,'transaction details'!$G:$G,"&lt;0")</f>
        <v>-1000</v>
      </c>
      <c r="R59" s="50">
        <f>SUMIFS('transaction details'!$G:$G,'transaction details'!$H:$H,'Budget Detail-Own 2016'!R$2,'transaction details'!$D:$D,'Budget Detail-Own 2016'!$A59,'transaction details'!$G:$G,"&lt;0")</f>
        <v>-15438.45</v>
      </c>
      <c r="T59" s="50">
        <f>SUMIFS('transaction details'!$G:$G,'transaction details'!$H:$H,'Budget Detail-Own 2016'!T$2,'transaction details'!$D:$D,'Budget Detail-Own 2016'!$A59,'transaction details'!$G:$G,"&gt;0")</f>
        <v>0</v>
      </c>
      <c r="V59" s="50">
        <f>SUMIFS('transaction details'!$G:$G,'transaction details'!$H:$H,'Budget Detail-Own 2016'!V$2,'transaction details'!$D:$D,'Budget Detail-Own 2016'!$A59,'transaction details'!$G:$G,"&gt;0")</f>
        <v>9958</v>
      </c>
      <c r="X59" s="50">
        <f>SUMIFS('transaction details'!$G:$G,'transaction details'!$H:$H,'Budget Detail-Own 2016'!X$2,'transaction details'!$D:$D,'Budget Detail-Own 2016'!$A59,'transaction details'!$G:$G,"&gt;0")</f>
        <v>0</v>
      </c>
      <c r="Z59" s="50">
        <f>SUMIFS('transaction details'!$G:$G,'transaction details'!$H:$H,'Budget Detail-Own 2016'!Z$2,'transaction details'!$D:$D,'Budget Detail-Own 2016'!$A59,'transaction details'!$G:$G,"&lt;0")</f>
        <v>0</v>
      </c>
    </row>
    <row r="60" spans="1:26" s="50" customFormat="1" x14ac:dyDescent="0.25">
      <c r="A60" s="50" t="s">
        <v>263</v>
      </c>
      <c r="D60" s="50">
        <f>SUMIFS('transaction details'!$G:$G,'transaction details'!$H:$H,'Budget Detail-Own 2016'!D$2,'transaction details'!$D:$D,'Budget Detail-Own 2016'!$A60,'transaction details'!$G:$G,"&gt;0")</f>
        <v>1462.5</v>
      </c>
      <c r="F60" s="50">
        <f>SUMIFS('transaction details'!$G:$G,'transaction details'!$H:$H,'Budget Detail-Own 2016'!F$2,'transaction details'!$D:$D,'Budget Detail-Own 2016'!$A60,'transaction details'!$G:$G,"&gt;0")</f>
        <v>10185.5</v>
      </c>
      <c r="H60" s="50">
        <f>SUMIFS('transaction details'!$G:$G,'transaction details'!$H:$H,'Budget Detail-Own 2016'!H$2,'transaction details'!$D:$D,'Budget Detail-Own 2016'!$A60,'transaction details'!$G:$G,"&gt;0")</f>
        <v>9326.36</v>
      </c>
      <c r="J60" s="50">
        <f>SUMIFS('transaction details'!$G:$G,'transaction details'!$H:$H,'Budget Detail-Own 2016'!J$2,'transaction details'!$D:$D,'Budget Detail-Own 2016'!$A60,'transaction details'!$G:$G,"&gt;0")</f>
        <v>1687.5</v>
      </c>
      <c r="L60" s="50">
        <f>SUMIFS('transaction details'!$G:$G,'transaction details'!$H:$H,'Budget Detail-Own 2016'!L$2,'transaction details'!$D:$D,'Budget Detail-Own 2016'!$A60,'transaction details'!$G:$G,"&gt;0")</f>
        <v>843.75</v>
      </c>
      <c r="N60" s="50">
        <f>SUMIFS('transaction details'!$G:$G,'transaction details'!$H:$H,'Budget Detail-Own 2016'!N$2,'transaction details'!$D:$D,'Budget Detail-Own 2016'!$A60,'transaction details'!$G:$G,"&gt;0")</f>
        <v>0</v>
      </c>
      <c r="P60" s="50">
        <f>SUMIFS('transaction details'!$G:$G,'transaction details'!$H:$H,'Budget Detail-Own 2016'!P$2,'transaction details'!$D:$D,'Budget Detail-Own 2016'!$A60,'transaction details'!$G:$G,"&gt;0")</f>
        <v>0</v>
      </c>
      <c r="R60" s="50">
        <f>SUMIFS('transaction details'!$G:$G,'transaction details'!$H:$H,'Budget Detail-Own 2016'!R$2,'transaction details'!$D:$D,'Budget Detail-Own 2016'!$A60,'transaction details'!$G:$G,"&gt;0")</f>
        <v>0</v>
      </c>
      <c r="T60" s="50">
        <f>SUMIFS('transaction details'!$G:$G,'transaction details'!$H:$H,'Budget Detail-Own 2016'!T$2,'transaction details'!$D:$D,'Budget Detail-Own 2016'!$A60,'transaction details'!$G:$G,"&gt;0")</f>
        <v>0</v>
      </c>
      <c r="V60" s="50">
        <f>SUMIFS('transaction details'!$G:$G,'transaction details'!$H:$H,'Budget Detail-Own 2016'!V$2,'transaction details'!$D:$D,'Budget Detail-Own 2016'!$A60,'transaction details'!$G:$G,"&gt;0")</f>
        <v>0</v>
      </c>
      <c r="X60" s="50">
        <f>SUMIFS('transaction details'!$G:$G,'transaction details'!$H:$H,'Budget Detail-Own 2016'!X$2,'transaction details'!$D:$D,'Budget Detail-Own 2016'!$A60,'transaction details'!$G:$G,"&gt;0")</f>
        <v>0</v>
      </c>
      <c r="Z60" s="50">
        <f>SUMIFS('transaction details'!$G:$G,'transaction details'!$H:$H,'Budget Detail-Own 2016'!Z$2,'transaction details'!$D:$D,'Budget Detail-Own 2016'!$A60,'transaction details'!$G:$G,"&gt;0")</f>
        <v>0</v>
      </c>
    </row>
    <row r="61" spans="1:26" s="50" customFormat="1" x14ac:dyDescent="0.25">
      <c r="A61" s="50" t="s">
        <v>365</v>
      </c>
      <c r="D61" s="50">
        <f>SUMIFS('transaction details'!$G:$G,'transaction details'!$H:$H,'Budget Detail-Own 2016'!D$2,'transaction details'!$D:$D,'Budget Detail-Own 2016'!$A61,'transaction details'!$G:$G,"&lt;0")</f>
        <v>0</v>
      </c>
      <c r="F61" s="50">
        <f>SUMIFS('transaction details'!$G:$G,'transaction details'!$H:$H,'Budget Detail-Own 2016'!F$2,'transaction details'!$D:$D,'Budget Detail-Own 2016'!$A61,'transaction details'!$G:$G,"&lt;0")</f>
        <v>0</v>
      </c>
      <c r="H61" s="50">
        <f>SUMIFS('transaction details'!$G:$G,'transaction details'!$H:$H,'Budget Detail-Own 2016'!H$2,'transaction details'!$D:$D,'Budget Detail-Own 2016'!$A61,'transaction details'!$G:$G,"&lt;0")</f>
        <v>0</v>
      </c>
      <c r="J61" s="50">
        <f>SUMIFS('transaction details'!$G:$G,'transaction details'!$H:$H,'Budget Detail-Own 2016'!J$2,'transaction details'!$D:$D,'Budget Detail-Own 2016'!$A61,'transaction details'!$G:$G,"&lt;0")</f>
        <v>0</v>
      </c>
      <c r="L61" s="50">
        <f>SUMIFS('transaction details'!$G:$G,'transaction details'!$H:$H,'Budget Detail-Own 2016'!L$2,'transaction details'!$D:$D,'Budget Detail-Own 2016'!$A61,'transaction details'!$G:$G,"&lt;0")</f>
        <v>0</v>
      </c>
      <c r="N61" s="50">
        <f>SUMIFS('transaction details'!$G:$G,'transaction details'!$H:$H,'Budget Detail-Own 2016'!N$2,'transaction details'!$D:$D,'Budget Detail-Own 2016'!$A61,'transaction details'!$G:$G,"&lt;0")</f>
        <v>0</v>
      </c>
      <c r="P61" s="50">
        <f>SUMIFS('transaction details'!$G:$G,'transaction details'!$H:$H,'Budget Detail-Own 2016'!P$2,'transaction details'!$D:$D,'Budget Detail-Own 2016'!$A61,'transaction details'!$G:$G,"&lt;0")</f>
        <v>0</v>
      </c>
      <c r="R61" s="50">
        <f>SUMIFS('transaction details'!$G:$G,'transaction details'!$H:$H,'Budget Detail-Own 2016'!R$2,'transaction details'!$D:$D,'Budget Detail-Own 2016'!$A61,'transaction details'!$G:$G,"&lt;0")</f>
        <v>0</v>
      </c>
      <c r="T61" s="50">
        <f>SUMIFS('transaction details'!$G:$G,'transaction details'!$H:$H,'Budget Detail-Own 2016'!T$2,'transaction details'!$D:$D,'Budget Detail-Own 2016'!$A61,'transaction details'!$G:$G,"&lt;0")</f>
        <v>0</v>
      </c>
      <c r="V61" s="50">
        <f>SUMIFS('transaction details'!$G:$G,'transaction details'!$H:$H,'Budget Detail-Own 2016'!V$2,'transaction details'!$D:$D,'Budget Detail-Own 2016'!$A61,'transaction details'!$G:$G,"&lt;0")</f>
        <v>0</v>
      </c>
      <c r="X61" s="50">
        <f>SUMIFS('transaction details'!$G:$G,'transaction details'!$H:$H,'Budget Detail-Own 2016'!X$2,'transaction details'!$D:$D,'Budget Detail-Own 2016'!$A61,'transaction details'!$G:$G,"&lt;0")</f>
        <v>0</v>
      </c>
      <c r="Z61" s="50">
        <f>SUMIFS('transaction details'!$G:$G,'transaction details'!$H:$H,'Budget Detail-Own 2016'!Z$2,'transaction details'!$D:$D,'Budget Detail-Own 2016'!$A61,'transaction details'!$G:$G,"&lt;0")</f>
        <v>0</v>
      </c>
    </row>
  </sheetData>
  <autoFilter ref="A2:C2">
    <sortState ref="A3:K28">
      <sortCondition ref="A2"/>
    </sortState>
  </autoFilter>
  <mergeCells count="1">
    <mergeCell ref="A40:C40"/>
  </mergeCells>
  <phoneticPr fontId="32" type="noConversion"/>
  <pageMargins left="0.7" right="0.7" top="0.75" bottom="0.75" header="0.3" footer="0.3"/>
  <pageSetup paperSize="9" orientation="portrait" r:id="rId1"/>
  <ignoredErrors>
    <ignoredError sqref="P3:P39 V8 V3:V7 V9:V39" formula="1"/>
  </ignoredErrors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6"/>
  <sheetViews>
    <sheetView workbookViewId="0">
      <pane ySplit="1" topLeftCell="A2312" activePane="bottomLeft" state="frozen"/>
      <selection pane="bottomLeft" activeCell="G2336" sqref="G2224:G2346"/>
    </sheetView>
  </sheetViews>
  <sheetFormatPr defaultColWidth="8.85546875" defaultRowHeight="15.75" x14ac:dyDescent="0.25"/>
  <cols>
    <col min="1" max="1" width="16.42578125" customWidth="1"/>
    <col min="2" max="2" width="12.140625" customWidth="1"/>
    <col min="3" max="3" width="40.28515625" customWidth="1"/>
    <col min="4" max="4" width="25.42578125" customWidth="1"/>
    <col min="5" max="5" width="22.42578125" customWidth="1"/>
    <col min="7" max="7" width="10.85546875" bestFit="1" customWidth="1"/>
    <col min="12" max="12" width="33.140625" bestFit="1" customWidth="1"/>
    <col min="13" max="13" width="27.28515625" bestFit="1" customWidth="1"/>
    <col min="15" max="15" width="27.28515625" bestFit="1" customWidth="1"/>
  </cols>
  <sheetData>
    <row r="1" spans="1:15" x14ac:dyDescent="0.25">
      <c r="A1" t="s">
        <v>231</v>
      </c>
      <c r="B1" t="s">
        <v>232</v>
      </c>
      <c r="C1" t="s">
        <v>233</v>
      </c>
      <c r="D1" t="s">
        <v>367</v>
      </c>
      <c r="E1" t="s">
        <v>368</v>
      </c>
      <c r="F1" t="s">
        <v>234</v>
      </c>
      <c r="G1" t="s">
        <v>235</v>
      </c>
      <c r="H1" t="s">
        <v>299</v>
      </c>
      <c r="I1" t="s">
        <v>300</v>
      </c>
    </row>
    <row r="2" spans="1:15" x14ac:dyDescent="0.25">
      <c r="A2" s="42" t="s">
        <v>236</v>
      </c>
      <c r="B2" s="43">
        <v>41883</v>
      </c>
      <c r="C2" s="42" t="s">
        <v>193</v>
      </c>
      <c r="D2" s="42" t="str">
        <f t="shared" ref="D2:D65" si="0">IF(ISNA(VLOOKUP(E2,$L$2:$M$26,2,FALSE)),E2,VLOOKUP(E2,$L$2:$M$26,2,FALSE))</f>
        <v>Grocery</v>
      </c>
      <c r="E2" s="42" t="s">
        <v>89</v>
      </c>
      <c r="F2" s="42"/>
      <c r="G2" s="42">
        <v>-3.99</v>
      </c>
      <c r="H2" s="42">
        <f t="shared" ref="H2:H65" si="1">YEAR(B2)*100+MONTH(B2)</f>
        <v>201409</v>
      </c>
      <c r="I2" s="42">
        <f>MATCH(D2,$O:$O,0)</f>
        <v>12</v>
      </c>
      <c r="J2" s="42"/>
      <c r="K2" s="42"/>
      <c r="L2" t="s">
        <v>204</v>
      </c>
      <c r="M2" t="s">
        <v>129</v>
      </c>
      <c r="O2" t="s">
        <v>42</v>
      </c>
    </row>
    <row r="3" spans="1:15" x14ac:dyDescent="0.25">
      <c r="A3" s="42" t="s">
        <v>236</v>
      </c>
      <c r="B3" s="43">
        <v>41883</v>
      </c>
      <c r="C3" s="42" t="s">
        <v>193</v>
      </c>
      <c r="D3" s="42" t="str">
        <f t="shared" si="0"/>
        <v>Home Maintainence/Improvement</v>
      </c>
      <c r="E3" s="42" t="s">
        <v>183</v>
      </c>
      <c r="F3" s="42"/>
      <c r="G3" s="44">
        <v>-1089.99</v>
      </c>
      <c r="H3" s="42">
        <f t="shared" si="1"/>
        <v>201409</v>
      </c>
      <c r="I3" s="42">
        <f>MATCH(D3,$O:$O,0)</f>
        <v>16</v>
      </c>
      <c r="J3" s="44"/>
      <c r="K3" s="42"/>
      <c r="L3" t="s">
        <v>192</v>
      </c>
      <c r="M3" t="s">
        <v>89</v>
      </c>
      <c r="O3" s="42" t="s">
        <v>875</v>
      </c>
    </row>
    <row r="4" spans="1:15" x14ac:dyDescent="0.25">
      <c r="A4" s="42" t="s">
        <v>236</v>
      </c>
      <c r="B4" s="43">
        <v>41883</v>
      </c>
      <c r="C4" s="42" t="s">
        <v>223</v>
      </c>
      <c r="D4" s="42" t="str">
        <f t="shared" si="0"/>
        <v>Cell Phone</v>
      </c>
      <c r="E4" s="42" t="s">
        <v>96</v>
      </c>
      <c r="F4" s="42"/>
      <c r="G4" s="42">
        <v>-158.66</v>
      </c>
      <c r="H4" s="42">
        <f t="shared" si="1"/>
        <v>201409</v>
      </c>
      <c r="I4" s="42">
        <f>MATCH(D4,$O:$O,0)</f>
        <v>4</v>
      </c>
      <c r="J4" s="42"/>
      <c r="K4" s="42"/>
      <c r="L4" t="s">
        <v>199</v>
      </c>
      <c r="M4" t="s">
        <v>175</v>
      </c>
      <c r="O4" t="s">
        <v>96</v>
      </c>
    </row>
    <row r="5" spans="1:15" x14ac:dyDescent="0.25">
      <c r="A5" s="42" t="s">
        <v>236</v>
      </c>
      <c r="B5" s="43">
        <v>41884</v>
      </c>
      <c r="C5" s="42" t="s">
        <v>193</v>
      </c>
      <c r="D5" s="42" t="str">
        <f t="shared" si="0"/>
        <v>Gas</v>
      </c>
      <c r="E5" s="42" t="s">
        <v>166</v>
      </c>
      <c r="F5" s="42"/>
      <c r="G5" s="42">
        <v>-110</v>
      </c>
      <c r="H5" s="42">
        <f t="shared" si="1"/>
        <v>201409</v>
      </c>
      <c r="I5" s="42">
        <f>MATCH(D5,$O:$O,0)</f>
        <v>30</v>
      </c>
      <c r="J5" s="42"/>
      <c r="K5" s="42"/>
      <c r="L5" t="s">
        <v>202</v>
      </c>
      <c r="M5" t="s">
        <v>179</v>
      </c>
      <c r="O5" t="s">
        <v>37</v>
      </c>
    </row>
    <row r="6" spans="1:15" x14ac:dyDescent="0.25">
      <c r="A6" s="42" t="s">
        <v>236</v>
      </c>
      <c r="B6" s="43">
        <v>41884</v>
      </c>
      <c r="C6" s="42" t="s">
        <v>203</v>
      </c>
      <c r="D6" s="42" t="str">
        <f t="shared" si="0"/>
        <v>D-Restaurant</v>
      </c>
      <c r="E6" s="42" t="s">
        <v>129</v>
      </c>
      <c r="F6" s="42"/>
      <c r="G6" s="42">
        <v>-51</v>
      </c>
      <c r="H6" s="42">
        <f t="shared" si="1"/>
        <v>201409</v>
      </c>
      <c r="I6" s="42">
        <f>MATCH(D6,$O:$O,0)</f>
        <v>9</v>
      </c>
      <c r="J6" s="42"/>
      <c r="K6" s="42"/>
      <c r="L6" t="s">
        <v>19</v>
      </c>
      <c r="M6" t="s">
        <v>95</v>
      </c>
      <c r="O6" t="s">
        <v>126</v>
      </c>
    </row>
    <row r="7" spans="1:15" x14ac:dyDescent="0.25">
      <c r="A7" s="42" t="s">
        <v>236</v>
      </c>
      <c r="B7" s="43">
        <v>41885</v>
      </c>
      <c r="C7" s="42" t="s">
        <v>214</v>
      </c>
      <c r="D7" s="42" t="str">
        <f t="shared" si="0"/>
        <v>D-Coffee</v>
      </c>
      <c r="E7" s="42" t="s">
        <v>127</v>
      </c>
      <c r="F7" s="42"/>
      <c r="G7" s="42">
        <v>-1.9</v>
      </c>
      <c r="H7" s="42">
        <f t="shared" si="1"/>
        <v>201409</v>
      </c>
      <c r="I7" s="42">
        <f>MATCH(D7,$O:$O,0)</f>
        <v>7</v>
      </c>
      <c r="J7" s="42"/>
      <c r="K7" s="42"/>
      <c r="L7" t="s">
        <v>204</v>
      </c>
      <c r="M7" t="s">
        <v>129</v>
      </c>
      <c r="O7" t="s">
        <v>127</v>
      </c>
    </row>
    <row r="8" spans="1:15" x14ac:dyDescent="0.25">
      <c r="A8" s="42" t="s">
        <v>236</v>
      </c>
      <c r="B8" s="43">
        <v>41885</v>
      </c>
      <c r="C8" s="42" t="s">
        <v>216</v>
      </c>
      <c r="D8" s="42" t="str">
        <f t="shared" si="0"/>
        <v>D-Coffee</v>
      </c>
      <c r="E8" s="42" t="s">
        <v>127</v>
      </c>
      <c r="F8" s="42"/>
      <c r="G8" s="42">
        <v>-6.15</v>
      </c>
      <c r="H8" s="42">
        <f t="shared" si="1"/>
        <v>201409</v>
      </c>
      <c r="I8" s="42">
        <f>MATCH(D8,$O:$O,0)</f>
        <v>7</v>
      </c>
      <c r="J8" s="42"/>
      <c r="K8" s="42"/>
      <c r="L8" t="s">
        <v>215</v>
      </c>
      <c r="M8" t="s">
        <v>127</v>
      </c>
      <c r="O8" t="s">
        <v>128</v>
      </c>
    </row>
    <row r="9" spans="1:15" x14ac:dyDescent="0.25">
      <c r="A9" s="42" t="s">
        <v>236</v>
      </c>
      <c r="B9" s="43">
        <v>41885</v>
      </c>
      <c r="C9" s="42" t="s">
        <v>225</v>
      </c>
      <c r="D9" s="42" t="str">
        <f t="shared" si="0"/>
        <v>Transfers</v>
      </c>
      <c r="E9" s="42" t="s">
        <v>226</v>
      </c>
      <c r="F9" s="42"/>
      <c r="G9" s="42">
        <v>-0.85</v>
      </c>
      <c r="H9" s="42">
        <f t="shared" si="1"/>
        <v>201409</v>
      </c>
      <c r="I9" s="42">
        <f>MATCH(D9,$O:$O,0)</f>
        <v>37</v>
      </c>
      <c r="J9" s="42"/>
      <c r="K9" s="42"/>
      <c r="L9" t="s">
        <v>220</v>
      </c>
      <c r="M9" t="s">
        <v>169</v>
      </c>
      <c r="O9" t="s">
        <v>129</v>
      </c>
    </row>
    <row r="10" spans="1:15" x14ac:dyDescent="0.25">
      <c r="A10" s="42" t="s">
        <v>236</v>
      </c>
      <c r="B10" s="43">
        <v>41886</v>
      </c>
      <c r="C10" s="42" t="s">
        <v>205</v>
      </c>
      <c r="D10" s="42" t="str">
        <f t="shared" si="0"/>
        <v>D-Restaurant</v>
      </c>
      <c r="E10" s="42" t="s">
        <v>129</v>
      </c>
      <c r="F10" s="42"/>
      <c r="G10" s="42">
        <v>-7.66</v>
      </c>
      <c r="H10" s="42">
        <f t="shared" si="1"/>
        <v>201409</v>
      </c>
      <c r="I10" s="42">
        <f>MATCH(D10,$O:$O,0)</f>
        <v>9</v>
      </c>
      <c r="J10" s="42"/>
      <c r="K10" s="42"/>
      <c r="L10" t="s">
        <v>224</v>
      </c>
      <c r="M10" t="s">
        <v>96</v>
      </c>
      <c r="O10" t="s">
        <v>130</v>
      </c>
    </row>
    <row r="11" spans="1:15" x14ac:dyDescent="0.25">
      <c r="A11" s="42" t="s">
        <v>236</v>
      </c>
      <c r="B11" s="43">
        <v>41886</v>
      </c>
      <c r="C11" s="42" t="s">
        <v>214</v>
      </c>
      <c r="D11" s="42" t="str">
        <f t="shared" si="0"/>
        <v>D-Coffee</v>
      </c>
      <c r="E11" s="42" t="s">
        <v>127</v>
      </c>
      <c r="F11" s="42"/>
      <c r="G11" s="42">
        <v>-3.65</v>
      </c>
      <c r="H11" s="42">
        <f t="shared" si="1"/>
        <v>201409</v>
      </c>
      <c r="I11" s="42">
        <f>MATCH(D11,$O:$O,0)</f>
        <v>7</v>
      </c>
      <c r="J11" s="42"/>
      <c r="K11" s="42"/>
      <c r="L11" t="s">
        <v>228</v>
      </c>
      <c r="M11" t="s">
        <v>130</v>
      </c>
      <c r="O11" t="s">
        <v>40</v>
      </c>
    </row>
    <row r="12" spans="1:15" x14ac:dyDescent="0.25">
      <c r="A12" s="42" t="s">
        <v>236</v>
      </c>
      <c r="B12" s="43">
        <v>41886</v>
      </c>
      <c r="C12" s="42" t="s">
        <v>214</v>
      </c>
      <c r="D12" s="42" t="str">
        <f t="shared" si="0"/>
        <v>D-Coffee</v>
      </c>
      <c r="E12" s="42" t="s">
        <v>127</v>
      </c>
      <c r="F12" s="42"/>
      <c r="G12" s="42">
        <v>-3.65</v>
      </c>
      <c r="H12" s="42">
        <f t="shared" si="1"/>
        <v>201409</v>
      </c>
      <c r="I12" s="42">
        <f>MATCH(D12,$O:$O,0)</f>
        <v>7</v>
      </c>
      <c r="J12" s="42"/>
      <c r="K12" s="42"/>
      <c r="L12" t="s">
        <v>226</v>
      </c>
      <c r="M12" t="s">
        <v>226</v>
      </c>
      <c r="O12" t="s">
        <v>89</v>
      </c>
    </row>
    <row r="13" spans="1:15" x14ac:dyDescent="0.25">
      <c r="A13" s="42" t="s">
        <v>236</v>
      </c>
      <c r="B13" s="43">
        <v>41887</v>
      </c>
      <c r="C13" s="42" t="s">
        <v>206</v>
      </c>
      <c r="D13" s="42" t="str">
        <f t="shared" si="0"/>
        <v>D-Restaurant</v>
      </c>
      <c r="E13" s="42" t="s">
        <v>129</v>
      </c>
      <c r="F13" s="42"/>
      <c r="G13" s="42">
        <v>-15.04</v>
      </c>
      <c r="H13" s="42">
        <f t="shared" si="1"/>
        <v>201409</v>
      </c>
      <c r="I13" s="42">
        <f>MATCH(D13,$O:$O,0)</f>
        <v>9</v>
      </c>
      <c r="J13" s="42"/>
      <c r="K13" s="42"/>
      <c r="L13" s="46" t="s">
        <v>1205</v>
      </c>
      <c r="M13" s="46" t="s">
        <v>35</v>
      </c>
      <c r="O13" t="s">
        <v>32</v>
      </c>
    </row>
    <row r="14" spans="1:15" x14ac:dyDescent="0.25">
      <c r="A14" s="42" t="s">
        <v>236</v>
      </c>
      <c r="B14" s="43">
        <v>41888</v>
      </c>
      <c r="C14" s="42" t="s">
        <v>193</v>
      </c>
      <c r="D14" s="42" t="str">
        <f t="shared" si="0"/>
        <v>Grocery</v>
      </c>
      <c r="E14" s="42" t="s">
        <v>89</v>
      </c>
      <c r="F14" s="42"/>
      <c r="G14" s="42">
        <v>-106.81</v>
      </c>
      <c r="H14" s="42">
        <f t="shared" si="1"/>
        <v>201409</v>
      </c>
      <c r="I14" s="42">
        <f>MATCH(D14,$O:$O,0)</f>
        <v>12</v>
      </c>
      <c r="J14" s="42"/>
      <c r="K14" s="42"/>
      <c r="L14" t="s">
        <v>161</v>
      </c>
      <c r="M14" t="s">
        <v>130</v>
      </c>
      <c r="O14" t="s">
        <v>160</v>
      </c>
    </row>
    <row r="15" spans="1:15" x14ac:dyDescent="0.25">
      <c r="A15" s="42" t="s">
        <v>236</v>
      </c>
      <c r="B15" s="43">
        <v>41888</v>
      </c>
      <c r="C15" s="42" t="s">
        <v>214</v>
      </c>
      <c r="D15" s="42" t="str">
        <f t="shared" si="0"/>
        <v>D-Coffee</v>
      </c>
      <c r="E15" s="42" t="s">
        <v>127</v>
      </c>
      <c r="F15" s="42"/>
      <c r="G15" s="42">
        <v>-3</v>
      </c>
      <c r="H15" s="42">
        <f t="shared" si="1"/>
        <v>201409</v>
      </c>
      <c r="I15" s="42">
        <f>MATCH(D15,$O:$O,0)</f>
        <v>7</v>
      </c>
      <c r="J15" s="42"/>
      <c r="K15" s="42"/>
      <c r="L15" t="s">
        <v>311</v>
      </c>
      <c r="M15" t="s">
        <v>166</v>
      </c>
      <c r="O15" t="s">
        <v>177</v>
      </c>
    </row>
    <row r="16" spans="1:15" x14ac:dyDescent="0.25">
      <c r="A16" s="42" t="s">
        <v>236</v>
      </c>
      <c r="B16" s="43">
        <v>41888</v>
      </c>
      <c r="C16" s="42" t="s">
        <v>217</v>
      </c>
      <c r="D16" s="42" t="str">
        <f t="shared" si="0"/>
        <v>D-Coffee</v>
      </c>
      <c r="E16" s="42" t="s">
        <v>127</v>
      </c>
      <c r="F16" s="42"/>
      <c r="G16" s="42">
        <v>-25</v>
      </c>
      <c r="H16" s="42">
        <f t="shared" si="1"/>
        <v>201409</v>
      </c>
      <c r="I16" s="42">
        <f>MATCH(D16,$O:$O,0)</f>
        <v>7</v>
      </c>
      <c r="J16" s="42"/>
      <c r="K16" s="42"/>
      <c r="L16" t="s">
        <v>385</v>
      </c>
      <c r="M16" t="s">
        <v>89</v>
      </c>
      <c r="O16" t="s">
        <v>183</v>
      </c>
    </row>
    <row r="17" spans="1:15" x14ac:dyDescent="0.25">
      <c r="A17" s="42" t="s">
        <v>236</v>
      </c>
      <c r="B17" s="43">
        <v>41889</v>
      </c>
      <c r="C17" s="42" t="s">
        <v>193</v>
      </c>
      <c r="D17" s="42" t="str">
        <f t="shared" si="0"/>
        <v>Gas</v>
      </c>
      <c r="E17" s="42" t="s">
        <v>166</v>
      </c>
      <c r="F17" s="42"/>
      <c r="G17" s="42">
        <v>-57.49</v>
      </c>
      <c r="H17" s="42">
        <f t="shared" si="1"/>
        <v>201409</v>
      </c>
      <c r="I17" s="42">
        <f>MATCH(D17,$O:$O,0)</f>
        <v>30</v>
      </c>
      <c r="J17" s="42"/>
      <c r="K17" s="42"/>
      <c r="L17" s="42" t="s">
        <v>1051</v>
      </c>
      <c r="M17" s="42" t="s">
        <v>90</v>
      </c>
      <c r="O17" t="s">
        <v>175</v>
      </c>
    </row>
    <row r="18" spans="1:15" x14ac:dyDescent="0.25">
      <c r="A18" s="42" t="s">
        <v>236</v>
      </c>
      <c r="B18" s="43">
        <v>41890</v>
      </c>
      <c r="C18" s="42" t="s">
        <v>186</v>
      </c>
      <c r="D18" s="42" t="str">
        <f t="shared" si="0"/>
        <v>D-Restaurant</v>
      </c>
      <c r="E18" s="42" t="s">
        <v>129</v>
      </c>
      <c r="F18" s="42"/>
      <c r="G18" s="42">
        <v>-800</v>
      </c>
      <c r="H18" s="42">
        <f t="shared" si="1"/>
        <v>201409</v>
      </c>
      <c r="I18" s="42">
        <f>MATCH(D18,$O:$O,0)</f>
        <v>9</v>
      </c>
      <c r="J18" s="42"/>
      <c r="K18" s="42"/>
      <c r="L18" s="46" t="s">
        <v>222</v>
      </c>
      <c r="M18" s="46" t="s">
        <v>14</v>
      </c>
      <c r="O18" t="s">
        <v>57</v>
      </c>
    </row>
    <row r="19" spans="1:15" x14ac:dyDescent="0.25">
      <c r="A19" s="42" t="s">
        <v>236</v>
      </c>
      <c r="B19" s="43">
        <v>41891</v>
      </c>
      <c r="C19" s="42" t="s">
        <v>188</v>
      </c>
      <c r="D19" s="42" t="str">
        <f t="shared" si="0"/>
        <v>Newspapers</v>
      </c>
      <c r="E19" s="42" t="s">
        <v>35</v>
      </c>
      <c r="F19" s="42"/>
      <c r="G19" s="42">
        <v>-14.99</v>
      </c>
      <c r="H19" s="42">
        <f t="shared" si="1"/>
        <v>201409</v>
      </c>
      <c r="I19" s="42">
        <f>MATCH(D19,$O:$O,0)</f>
        <v>23</v>
      </c>
      <c r="J19" s="42"/>
      <c r="K19" s="42"/>
      <c r="L19" s="46" t="s">
        <v>1169</v>
      </c>
      <c r="M19" s="46" t="s">
        <v>90</v>
      </c>
      <c r="O19" t="s">
        <v>112</v>
      </c>
    </row>
    <row r="20" spans="1:15" x14ac:dyDescent="0.25">
      <c r="A20" s="42" t="s">
        <v>236</v>
      </c>
      <c r="B20" s="43">
        <v>41894</v>
      </c>
      <c r="C20" s="42" t="s">
        <v>186</v>
      </c>
      <c r="D20" s="42" t="str">
        <f t="shared" si="0"/>
        <v>D-Restaurant</v>
      </c>
      <c r="E20" s="42" t="s">
        <v>129</v>
      </c>
      <c r="F20" s="42"/>
      <c r="G20" s="42">
        <v>-283.87</v>
      </c>
      <c r="H20" s="42">
        <f t="shared" si="1"/>
        <v>201409</v>
      </c>
      <c r="I20" s="42">
        <f>MATCH(D20,$O:$O,0)</f>
        <v>9</v>
      </c>
      <c r="J20" s="42"/>
      <c r="K20" s="42"/>
      <c r="L20" s="42" t="s">
        <v>342</v>
      </c>
      <c r="M20" s="42" t="s">
        <v>183</v>
      </c>
      <c r="O20" t="s">
        <v>34</v>
      </c>
    </row>
    <row r="21" spans="1:15" x14ac:dyDescent="0.25">
      <c r="A21" s="42" t="s">
        <v>236</v>
      </c>
      <c r="B21" s="43">
        <v>41894</v>
      </c>
      <c r="C21" s="42" t="s">
        <v>186</v>
      </c>
      <c r="D21" s="42" t="str">
        <f t="shared" si="0"/>
        <v>D-Restaurant</v>
      </c>
      <c r="E21" s="42" t="s">
        <v>129</v>
      </c>
      <c r="F21" s="42"/>
      <c r="G21" s="42">
        <v>-8.52</v>
      </c>
      <c r="H21" s="42">
        <f t="shared" si="1"/>
        <v>201409</v>
      </c>
      <c r="I21" s="42">
        <f>MATCH(D21,$O:$O,0)</f>
        <v>9</v>
      </c>
      <c r="J21" s="42"/>
      <c r="K21" s="42"/>
      <c r="L21" s="42" t="s">
        <v>375</v>
      </c>
      <c r="M21" s="42" t="s">
        <v>261</v>
      </c>
      <c r="O21" t="s">
        <v>179</v>
      </c>
    </row>
    <row r="22" spans="1:15" x14ac:dyDescent="0.25">
      <c r="A22" s="42" t="s">
        <v>236</v>
      </c>
      <c r="B22" s="43">
        <v>41894</v>
      </c>
      <c r="C22" s="42" t="s">
        <v>186</v>
      </c>
      <c r="D22" s="42" t="str">
        <f t="shared" si="0"/>
        <v>D-Restaurant</v>
      </c>
      <c r="E22" s="42" t="s">
        <v>129</v>
      </c>
      <c r="F22" s="42"/>
      <c r="G22" s="42">
        <v>-5</v>
      </c>
      <c r="H22" s="42">
        <f t="shared" si="1"/>
        <v>201409</v>
      </c>
      <c r="I22" s="42">
        <f>MATCH(D22,$O:$O,0)</f>
        <v>9</v>
      </c>
      <c r="J22" s="42"/>
      <c r="K22" s="42"/>
      <c r="O22" t="s">
        <v>167</v>
      </c>
    </row>
    <row r="23" spans="1:15" x14ac:dyDescent="0.25">
      <c r="A23" s="42" t="s">
        <v>236</v>
      </c>
      <c r="B23" s="43">
        <v>41894</v>
      </c>
      <c r="C23" s="42" t="s">
        <v>221</v>
      </c>
      <c r="D23" s="42" t="str">
        <f t="shared" si="0"/>
        <v>Tax</v>
      </c>
      <c r="E23" s="42" t="s">
        <v>222</v>
      </c>
      <c r="F23" s="42"/>
      <c r="G23" s="42">
        <v>-1.92</v>
      </c>
      <c r="H23" s="42">
        <f t="shared" si="1"/>
        <v>201409</v>
      </c>
      <c r="I23" s="42">
        <f>MATCH(D23,$O:$O,0)</f>
        <v>29</v>
      </c>
      <c r="J23" s="42"/>
      <c r="K23" s="42"/>
      <c r="O23" t="s">
        <v>35</v>
      </c>
    </row>
    <row r="24" spans="1:15" x14ac:dyDescent="0.25">
      <c r="A24" s="42" t="s">
        <v>236</v>
      </c>
      <c r="B24" s="43">
        <v>41894</v>
      </c>
      <c r="C24" s="42" t="s">
        <v>221</v>
      </c>
      <c r="D24" s="42" t="str">
        <f t="shared" si="0"/>
        <v>Tax</v>
      </c>
      <c r="E24" s="42" t="s">
        <v>222</v>
      </c>
      <c r="F24" s="42"/>
      <c r="G24" s="42">
        <v>-0.08</v>
      </c>
      <c r="H24" s="42">
        <f t="shared" si="1"/>
        <v>201409</v>
      </c>
      <c r="I24" s="42">
        <f>MATCH(D24,$O:$O,0)</f>
        <v>29</v>
      </c>
      <c r="J24" s="42"/>
      <c r="K24" s="42"/>
      <c r="O24" t="s">
        <v>61</v>
      </c>
    </row>
    <row r="25" spans="1:15" x14ac:dyDescent="0.25">
      <c r="A25" s="42" t="s">
        <v>236</v>
      </c>
      <c r="B25" s="43">
        <v>41898</v>
      </c>
      <c r="C25" s="42" t="s">
        <v>219</v>
      </c>
      <c r="D25" s="42" t="str">
        <f t="shared" si="0"/>
        <v>Finance Charges</v>
      </c>
      <c r="E25" s="42" t="s">
        <v>169</v>
      </c>
      <c r="F25" s="42"/>
      <c r="G25" s="42">
        <v>-25</v>
      </c>
      <c r="H25" s="42">
        <f t="shared" si="1"/>
        <v>201409</v>
      </c>
      <c r="I25" s="42">
        <f>MATCH(D25,$O:$O,0)</f>
        <v>35</v>
      </c>
      <c r="J25" s="42"/>
      <c r="K25" s="42"/>
      <c r="O25" t="s">
        <v>90</v>
      </c>
    </row>
    <row r="26" spans="1:15" x14ac:dyDescent="0.25">
      <c r="A26" s="42" t="s">
        <v>236</v>
      </c>
      <c r="B26" s="43">
        <v>41898</v>
      </c>
      <c r="C26" s="42" t="s">
        <v>229</v>
      </c>
      <c r="D26" s="42" t="str">
        <f t="shared" si="0"/>
        <v>Utility</v>
      </c>
      <c r="E26" s="42" t="s">
        <v>95</v>
      </c>
      <c r="F26" s="42"/>
      <c r="G26" s="42">
        <v>-49.9</v>
      </c>
      <c r="H26" s="42">
        <f t="shared" si="1"/>
        <v>201409</v>
      </c>
      <c r="I26" s="42">
        <f>MATCH(D26,$O:$O,0)</f>
        <v>34</v>
      </c>
      <c r="J26" s="42"/>
      <c r="K26" s="42"/>
      <c r="O26" t="s">
        <v>36</v>
      </c>
    </row>
    <row r="27" spans="1:15" x14ac:dyDescent="0.25">
      <c r="A27" s="42" t="s">
        <v>236</v>
      </c>
      <c r="B27" s="43">
        <v>41899</v>
      </c>
      <c r="C27" s="42" t="s">
        <v>197</v>
      </c>
      <c r="D27" s="42" t="str">
        <f t="shared" si="0"/>
        <v>Health Care</v>
      </c>
      <c r="E27" s="42" t="s">
        <v>160</v>
      </c>
      <c r="F27" s="42"/>
      <c r="G27" s="42">
        <v>-4.95</v>
      </c>
      <c r="H27" s="42">
        <f t="shared" si="1"/>
        <v>201409</v>
      </c>
      <c r="I27" s="42">
        <f>MATCH(D27,$O:$O,0)</f>
        <v>14</v>
      </c>
      <c r="J27" s="42"/>
      <c r="K27" s="42"/>
      <c r="O27" t="s">
        <v>41</v>
      </c>
    </row>
    <row r="28" spans="1:15" x14ac:dyDescent="0.25">
      <c r="A28" s="42" t="s">
        <v>236</v>
      </c>
      <c r="B28" s="43">
        <v>41899</v>
      </c>
      <c r="C28" s="42" t="s">
        <v>198</v>
      </c>
      <c r="D28" s="42" t="str">
        <f t="shared" si="0"/>
        <v>Home Insurance</v>
      </c>
      <c r="E28" s="42" t="s">
        <v>175</v>
      </c>
      <c r="F28" s="42"/>
      <c r="G28" s="42">
        <v>-536.41</v>
      </c>
      <c r="H28" s="42">
        <f t="shared" si="1"/>
        <v>201409</v>
      </c>
      <c r="I28" s="42">
        <f>MATCH(D28,$O:$O,0)</f>
        <v>17</v>
      </c>
      <c r="J28" s="42"/>
      <c r="K28" s="42"/>
      <c r="O28" t="s">
        <v>92</v>
      </c>
    </row>
    <row r="29" spans="1:15" x14ac:dyDescent="0.25">
      <c r="A29" s="42" t="s">
        <v>236</v>
      </c>
      <c r="B29" s="43">
        <v>41900</v>
      </c>
      <c r="C29" s="42" t="s">
        <v>200</v>
      </c>
      <c r="D29" s="42" t="str">
        <f t="shared" si="0"/>
        <v>Finance Charges</v>
      </c>
      <c r="E29" s="42" t="s">
        <v>169</v>
      </c>
      <c r="F29" s="42"/>
      <c r="G29" s="42">
        <v>-10.28</v>
      </c>
      <c r="H29" s="42">
        <f t="shared" si="1"/>
        <v>201409</v>
      </c>
      <c r="I29" s="42">
        <f>MATCH(D29,$O:$O,0)</f>
        <v>35</v>
      </c>
      <c r="J29" s="42"/>
      <c r="K29" s="42"/>
      <c r="O29" t="s">
        <v>14</v>
      </c>
    </row>
    <row r="30" spans="1:15" x14ac:dyDescent="0.25">
      <c r="A30" s="42" t="s">
        <v>236</v>
      </c>
      <c r="B30" s="43">
        <v>41902</v>
      </c>
      <c r="C30" s="42" t="s">
        <v>230</v>
      </c>
      <c r="D30" s="42" t="str">
        <f t="shared" si="0"/>
        <v>Utility</v>
      </c>
      <c r="E30" s="42" t="s">
        <v>95</v>
      </c>
      <c r="F30" s="42"/>
      <c r="G30" s="42">
        <v>-387.62</v>
      </c>
      <c r="H30" s="42">
        <f t="shared" si="1"/>
        <v>201409</v>
      </c>
      <c r="I30" s="42">
        <f>MATCH(D30,$O:$O,0)</f>
        <v>34</v>
      </c>
      <c r="J30" s="42"/>
      <c r="K30" s="42"/>
      <c r="O30" t="s">
        <v>166</v>
      </c>
    </row>
    <row r="31" spans="1:15" x14ac:dyDescent="0.25">
      <c r="A31" s="42" t="s">
        <v>236</v>
      </c>
      <c r="B31" s="43">
        <v>41903</v>
      </c>
      <c r="C31" s="42" t="s">
        <v>207</v>
      </c>
      <c r="D31" s="42" t="str">
        <f t="shared" si="0"/>
        <v>D-Restaurant</v>
      </c>
      <c r="E31" s="42" t="s">
        <v>129</v>
      </c>
      <c r="F31" s="42"/>
      <c r="G31" s="42">
        <v>-525</v>
      </c>
      <c r="H31" s="42">
        <f t="shared" si="1"/>
        <v>201409</v>
      </c>
      <c r="I31" s="42">
        <f>MATCH(D31,$O:$O,0)</f>
        <v>9</v>
      </c>
      <c r="J31" s="42"/>
      <c r="K31" s="42"/>
      <c r="O31" t="s">
        <v>185</v>
      </c>
    </row>
    <row r="32" spans="1:15" x14ac:dyDescent="0.25">
      <c r="A32" s="42" t="s">
        <v>236</v>
      </c>
      <c r="B32" s="43">
        <v>41906</v>
      </c>
      <c r="C32" s="42" t="s">
        <v>195</v>
      </c>
      <c r="D32" s="42" t="str">
        <f t="shared" si="0"/>
        <v>Guy Thing</v>
      </c>
      <c r="E32" s="42" t="s">
        <v>196</v>
      </c>
      <c r="F32" s="42"/>
      <c r="G32" s="42">
        <v>-300</v>
      </c>
      <c r="H32" s="42">
        <f t="shared" si="1"/>
        <v>201409</v>
      </c>
      <c r="I32" s="42" t="e">
        <f>MATCH(D32,$O:$O,0)</f>
        <v>#N/A</v>
      </c>
      <c r="J32" s="42"/>
      <c r="K32" s="42"/>
      <c r="O32" t="s">
        <v>170</v>
      </c>
    </row>
    <row r="33" spans="1:15" x14ac:dyDescent="0.25">
      <c r="A33" s="42" t="s">
        <v>236</v>
      </c>
      <c r="B33" s="43">
        <v>41908</v>
      </c>
      <c r="C33" s="42" t="s">
        <v>194</v>
      </c>
      <c r="D33" s="42" t="str">
        <f t="shared" si="0"/>
        <v>Grocery</v>
      </c>
      <c r="E33" s="42" t="s">
        <v>89</v>
      </c>
      <c r="F33" s="42"/>
      <c r="G33" s="42">
        <v>-7.55</v>
      </c>
      <c r="H33" s="42">
        <f t="shared" si="1"/>
        <v>201409</v>
      </c>
      <c r="I33" s="42">
        <f>MATCH(D33,$O:$O,0)</f>
        <v>12</v>
      </c>
      <c r="J33" s="42"/>
      <c r="K33" s="42"/>
      <c r="O33" t="s">
        <v>102</v>
      </c>
    </row>
    <row r="34" spans="1:15" x14ac:dyDescent="0.25">
      <c r="A34" s="42" t="s">
        <v>236</v>
      </c>
      <c r="B34" s="43">
        <v>41909</v>
      </c>
      <c r="C34" s="42" t="s">
        <v>208</v>
      </c>
      <c r="D34" s="42" t="str">
        <f t="shared" si="0"/>
        <v>D-Restaurant</v>
      </c>
      <c r="E34" s="42" t="s">
        <v>129</v>
      </c>
      <c r="F34" s="42"/>
      <c r="G34" s="42">
        <v>-36.950000000000003</v>
      </c>
      <c r="H34" s="42">
        <f t="shared" si="1"/>
        <v>201409</v>
      </c>
      <c r="I34" s="42">
        <f>MATCH(D34,$O:$O,0)</f>
        <v>9</v>
      </c>
      <c r="J34" s="42"/>
      <c r="K34" s="42"/>
      <c r="O34" t="s">
        <v>95</v>
      </c>
    </row>
    <row r="35" spans="1:15" x14ac:dyDescent="0.25">
      <c r="A35" s="42" t="s">
        <v>236</v>
      </c>
      <c r="B35" s="43">
        <v>41910</v>
      </c>
      <c r="C35" s="42" t="s">
        <v>187</v>
      </c>
      <c r="D35" s="42" t="str">
        <f t="shared" si="0"/>
        <v>Books</v>
      </c>
      <c r="E35" s="42" t="s">
        <v>42</v>
      </c>
      <c r="F35" s="42"/>
      <c r="G35" s="42">
        <v>-6.99</v>
      </c>
      <c r="H35" s="42">
        <f t="shared" si="1"/>
        <v>201409</v>
      </c>
      <c r="I35" s="42">
        <f>MATCH(D35,$O:$O,0)</f>
        <v>2</v>
      </c>
      <c r="J35" s="42"/>
      <c r="K35" s="42"/>
      <c r="O35" t="s">
        <v>169</v>
      </c>
    </row>
    <row r="36" spans="1:15" x14ac:dyDescent="0.25">
      <c r="A36" s="42" t="s">
        <v>236</v>
      </c>
      <c r="B36" s="43">
        <v>41910</v>
      </c>
      <c r="C36" s="42" t="s">
        <v>189</v>
      </c>
      <c r="D36" s="42" t="str">
        <f t="shared" si="0"/>
        <v>D-Restaurant</v>
      </c>
      <c r="E36" s="42" t="s">
        <v>129</v>
      </c>
      <c r="F36" s="42"/>
      <c r="G36" s="42">
        <v>-5.14</v>
      </c>
      <c r="H36" s="42">
        <f t="shared" si="1"/>
        <v>201409</v>
      </c>
      <c r="I36" s="42">
        <f>MATCH(D36,$O:$O,0)</f>
        <v>9</v>
      </c>
      <c r="J36" s="42"/>
      <c r="K36" s="42"/>
      <c r="O36" t="s">
        <v>121</v>
      </c>
    </row>
    <row r="37" spans="1:15" x14ac:dyDescent="0.25">
      <c r="A37" s="42" t="s">
        <v>236</v>
      </c>
      <c r="B37" s="43">
        <v>41910</v>
      </c>
      <c r="C37" s="42" t="s">
        <v>227</v>
      </c>
      <c r="D37" s="42" t="str">
        <f t="shared" si="0"/>
        <v>Taxi and rental</v>
      </c>
      <c r="E37" s="42" t="s">
        <v>92</v>
      </c>
      <c r="F37" s="42"/>
      <c r="G37" s="42">
        <v>-50</v>
      </c>
      <c r="H37" s="42">
        <f t="shared" si="1"/>
        <v>201409</v>
      </c>
      <c r="I37" s="42">
        <f>MATCH(D37,$O:$O,0)</f>
        <v>28</v>
      </c>
      <c r="J37" s="42"/>
      <c r="K37" s="42"/>
      <c r="O37" t="s">
        <v>226</v>
      </c>
    </row>
    <row r="38" spans="1:15" x14ac:dyDescent="0.25">
      <c r="A38" s="42" t="s">
        <v>236</v>
      </c>
      <c r="B38" s="43">
        <v>41911</v>
      </c>
      <c r="C38" s="42" t="s">
        <v>209</v>
      </c>
      <c r="D38" s="42" t="str">
        <f t="shared" si="0"/>
        <v>D-Restaurant</v>
      </c>
      <c r="E38" s="42" t="s">
        <v>129</v>
      </c>
      <c r="F38" s="42"/>
      <c r="G38" s="42">
        <v>-23.47</v>
      </c>
      <c r="H38" s="42">
        <f t="shared" si="1"/>
        <v>201409</v>
      </c>
      <c r="I38" s="42">
        <f>MATCH(D38,$O:$O,0)</f>
        <v>9</v>
      </c>
      <c r="J38" s="42"/>
      <c r="K38" s="42"/>
      <c r="O38" t="s">
        <v>242</v>
      </c>
    </row>
    <row r="39" spans="1:15" x14ac:dyDescent="0.25">
      <c r="A39" s="42" t="s">
        <v>236</v>
      </c>
      <c r="B39" s="43">
        <v>41911</v>
      </c>
      <c r="C39" s="42" t="s">
        <v>210</v>
      </c>
      <c r="D39" s="42" t="str">
        <f t="shared" si="0"/>
        <v>D-Restaurant</v>
      </c>
      <c r="E39" s="42" t="s">
        <v>129</v>
      </c>
      <c r="F39" s="42"/>
      <c r="G39" s="42">
        <v>-18.23</v>
      </c>
      <c r="H39" s="42">
        <f t="shared" si="1"/>
        <v>201409</v>
      </c>
      <c r="I39" s="42">
        <f>MATCH(D39,$O:$O,0)</f>
        <v>9</v>
      </c>
      <c r="J39" s="42"/>
      <c r="K39" s="42"/>
      <c r="O39" t="s">
        <v>263</v>
      </c>
    </row>
    <row r="40" spans="1:15" x14ac:dyDescent="0.25">
      <c r="A40" s="42" t="s">
        <v>236</v>
      </c>
      <c r="B40" s="43">
        <v>41911</v>
      </c>
      <c r="C40" s="42" t="s">
        <v>218</v>
      </c>
      <c r="D40" s="42" t="str">
        <f t="shared" si="0"/>
        <v>D-Coffee</v>
      </c>
      <c r="E40" s="42" t="s">
        <v>127</v>
      </c>
      <c r="F40" s="42"/>
      <c r="G40" s="42">
        <v>-3.5</v>
      </c>
      <c r="H40" s="42">
        <f t="shared" si="1"/>
        <v>201409</v>
      </c>
      <c r="I40" s="42">
        <f>MATCH(D40,$O:$O,0)</f>
        <v>7</v>
      </c>
      <c r="J40" s="42"/>
      <c r="K40" s="42"/>
      <c r="O40" t="s">
        <v>261</v>
      </c>
    </row>
    <row r="41" spans="1:15" x14ac:dyDescent="0.25">
      <c r="A41" s="42" t="s">
        <v>236</v>
      </c>
      <c r="B41" s="43">
        <v>41911</v>
      </c>
      <c r="C41" s="42" t="s">
        <v>223</v>
      </c>
      <c r="D41" s="42" t="str">
        <f t="shared" si="0"/>
        <v>Internet</v>
      </c>
      <c r="E41" s="42" t="s">
        <v>57</v>
      </c>
      <c r="F41" s="42"/>
      <c r="G41" s="42">
        <v>-63.71</v>
      </c>
      <c r="H41" s="42">
        <f t="shared" si="1"/>
        <v>201409</v>
      </c>
      <c r="I41" s="42">
        <f>MATCH(D41,$O:$O,0)</f>
        <v>18</v>
      </c>
      <c r="J41" s="42"/>
      <c r="K41" s="42"/>
      <c r="O41" t="s">
        <v>6</v>
      </c>
    </row>
    <row r="42" spans="1:15" x14ac:dyDescent="0.25">
      <c r="A42" s="42" t="s">
        <v>236</v>
      </c>
      <c r="B42" s="43">
        <v>41912</v>
      </c>
      <c r="C42" s="42" t="s">
        <v>191</v>
      </c>
      <c r="D42" s="42" t="str">
        <f t="shared" si="0"/>
        <v>Grocery</v>
      </c>
      <c r="E42" s="42" t="s">
        <v>89</v>
      </c>
      <c r="F42" s="42"/>
      <c r="G42" s="42">
        <v>-6.78</v>
      </c>
      <c r="H42" s="42">
        <f t="shared" si="1"/>
        <v>201409</v>
      </c>
      <c r="I42" s="42">
        <f>MATCH(D42,$O:$O,0)</f>
        <v>12</v>
      </c>
      <c r="J42" s="42"/>
      <c r="K42" s="42"/>
      <c r="O42" t="s">
        <v>1050</v>
      </c>
    </row>
    <row r="43" spans="1:15" x14ac:dyDescent="0.25">
      <c r="A43" s="42" t="s">
        <v>236</v>
      </c>
      <c r="B43" s="43">
        <v>41912</v>
      </c>
      <c r="C43" s="42" t="s">
        <v>201</v>
      </c>
      <c r="D43" s="42" t="str">
        <f t="shared" si="0"/>
        <v>Mortgage/Rent</v>
      </c>
      <c r="E43" s="42" t="s">
        <v>179</v>
      </c>
      <c r="F43" s="42"/>
      <c r="G43" s="44">
        <v>-3329.45</v>
      </c>
      <c r="H43" s="42">
        <f t="shared" si="1"/>
        <v>201409</v>
      </c>
      <c r="I43" s="42">
        <f>MATCH(D43,$O:$O,0)</f>
        <v>21</v>
      </c>
      <c r="J43" s="44"/>
      <c r="K43" s="42"/>
      <c r="O43" t="s">
        <v>1207</v>
      </c>
    </row>
    <row r="44" spans="1:15" x14ac:dyDescent="0.25">
      <c r="A44" s="42" t="s">
        <v>236</v>
      </c>
      <c r="B44" s="43">
        <v>41912</v>
      </c>
      <c r="C44" s="42" t="s">
        <v>211</v>
      </c>
      <c r="D44" s="42" t="str">
        <f t="shared" si="0"/>
        <v>D-Restaurant</v>
      </c>
      <c r="E44" s="42" t="s">
        <v>129</v>
      </c>
      <c r="F44" s="42"/>
      <c r="G44" s="42">
        <v>-21.64</v>
      </c>
      <c r="H44" s="42">
        <f t="shared" si="1"/>
        <v>201409</v>
      </c>
      <c r="I44" s="42">
        <f>MATCH(D44,$O:$O,0)</f>
        <v>9</v>
      </c>
      <c r="J44" s="42"/>
      <c r="K44" s="42"/>
    </row>
    <row r="45" spans="1:15" x14ac:dyDescent="0.25">
      <c r="A45" s="42" t="s">
        <v>236</v>
      </c>
      <c r="B45" s="43">
        <v>41912</v>
      </c>
      <c r="C45" s="42" t="s">
        <v>212</v>
      </c>
      <c r="D45" s="42" t="str">
        <f t="shared" si="0"/>
        <v>D-Restaurant</v>
      </c>
      <c r="E45" s="42" t="s">
        <v>129</v>
      </c>
      <c r="F45" s="42"/>
      <c r="G45" s="42">
        <v>-8.74</v>
      </c>
      <c r="H45" s="42">
        <f t="shared" si="1"/>
        <v>201409</v>
      </c>
      <c r="I45" s="42">
        <f>MATCH(D45,$O:$O,0)</f>
        <v>9</v>
      </c>
      <c r="J45" s="42"/>
      <c r="K45" s="42"/>
    </row>
    <row r="46" spans="1:15" x14ac:dyDescent="0.25">
      <c r="A46" s="42" t="s">
        <v>236</v>
      </c>
      <c r="B46" s="43">
        <v>41912</v>
      </c>
      <c r="C46" s="42" t="s">
        <v>213</v>
      </c>
      <c r="D46" s="42" t="str">
        <f t="shared" si="0"/>
        <v>D-Restaurant</v>
      </c>
      <c r="E46" s="42" t="s">
        <v>129</v>
      </c>
      <c r="F46" s="42"/>
      <c r="G46" s="42">
        <v>-4</v>
      </c>
      <c r="H46" s="42">
        <f t="shared" si="1"/>
        <v>201409</v>
      </c>
      <c r="I46" s="42">
        <f>MATCH(D46,$O:$O,0)</f>
        <v>9</v>
      </c>
      <c r="J46" s="42"/>
      <c r="K46" s="42"/>
    </row>
    <row r="47" spans="1:15" x14ac:dyDescent="0.25">
      <c r="A47" s="42" t="s">
        <v>236</v>
      </c>
      <c r="B47" s="43">
        <v>41912</v>
      </c>
      <c r="C47" s="42" t="s">
        <v>214</v>
      </c>
      <c r="D47" s="42" t="str">
        <f t="shared" si="0"/>
        <v>D-Coffee</v>
      </c>
      <c r="E47" s="42" t="s">
        <v>127</v>
      </c>
      <c r="F47" s="42"/>
      <c r="G47" s="42">
        <v>-5.5</v>
      </c>
      <c r="H47" s="42">
        <f t="shared" si="1"/>
        <v>201409</v>
      </c>
      <c r="I47" s="42">
        <f>MATCH(D47,$O:$O,0)</f>
        <v>7</v>
      </c>
      <c r="J47" s="42"/>
      <c r="K47" s="42"/>
    </row>
    <row r="48" spans="1:15" x14ac:dyDescent="0.25">
      <c r="A48" s="42" t="s">
        <v>236</v>
      </c>
      <c r="B48" s="43">
        <v>41913</v>
      </c>
      <c r="C48" s="42" t="s">
        <v>237</v>
      </c>
      <c r="D48" s="42" t="str">
        <f t="shared" si="0"/>
        <v>D-Restaurant</v>
      </c>
      <c r="E48" s="42" t="s">
        <v>204</v>
      </c>
      <c r="F48" s="42" t="s">
        <v>238</v>
      </c>
      <c r="G48" s="42">
        <v>-200</v>
      </c>
      <c r="H48" s="42">
        <f t="shared" si="1"/>
        <v>201410</v>
      </c>
      <c r="I48" s="42">
        <f>MATCH(D48,$O:$O,0)</f>
        <v>9</v>
      </c>
      <c r="J48" s="42"/>
      <c r="K48" s="42"/>
    </row>
    <row r="49" spans="1:11" x14ac:dyDescent="0.25">
      <c r="A49" s="42" t="s">
        <v>236</v>
      </c>
      <c r="B49" s="43">
        <v>41913</v>
      </c>
      <c r="C49" s="42" t="s">
        <v>239</v>
      </c>
      <c r="D49" s="42" t="str">
        <f t="shared" si="0"/>
        <v>Transfers</v>
      </c>
      <c r="E49" s="42" t="s">
        <v>226</v>
      </c>
      <c r="F49" s="42" t="s">
        <v>238</v>
      </c>
      <c r="G49" s="44">
        <v>100000</v>
      </c>
      <c r="H49" s="42">
        <f t="shared" si="1"/>
        <v>201410</v>
      </c>
      <c r="I49" s="42">
        <f>MATCH(D49,$O:$O,0)</f>
        <v>37</v>
      </c>
      <c r="J49" s="42"/>
      <c r="K49" s="42"/>
    </row>
    <row r="50" spans="1:11" x14ac:dyDescent="0.25">
      <c r="A50" s="42" t="s">
        <v>236</v>
      </c>
      <c r="B50" s="43">
        <v>41913</v>
      </c>
      <c r="C50" s="42" t="s">
        <v>239</v>
      </c>
      <c r="D50" s="42" t="str">
        <f t="shared" si="0"/>
        <v>Transfers</v>
      </c>
      <c r="E50" s="42" t="s">
        <v>226</v>
      </c>
      <c r="F50" s="42" t="s">
        <v>238</v>
      </c>
      <c r="G50" s="44">
        <v>-100000</v>
      </c>
      <c r="H50" s="42">
        <f t="shared" si="1"/>
        <v>201410</v>
      </c>
      <c r="I50" s="42">
        <f>MATCH(D50,$O:$O,0)</f>
        <v>37</v>
      </c>
      <c r="J50" s="42"/>
      <c r="K50" s="42"/>
    </row>
    <row r="51" spans="1:11" x14ac:dyDescent="0.25">
      <c r="A51" s="42" t="s">
        <v>236</v>
      </c>
      <c r="B51" s="43">
        <v>41913</v>
      </c>
      <c r="C51" s="42" t="s">
        <v>240</v>
      </c>
      <c r="D51" s="42" t="str">
        <f t="shared" si="0"/>
        <v>D-Coffee</v>
      </c>
      <c r="E51" s="42" t="s">
        <v>215</v>
      </c>
      <c r="F51" s="42" t="s">
        <v>238</v>
      </c>
      <c r="G51" s="42">
        <v>-5.0999999999999996</v>
      </c>
      <c r="H51" s="42">
        <f t="shared" si="1"/>
        <v>201410</v>
      </c>
      <c r="I51" s="42">
        <f>MATCH(D51,$O:$O,0)</f>
        <v>7</v>
      </c>
      <c r="J51" s="42"/>
      <c r="K51" s="42"/>
    </row>
    <row r="52" spans="1:11" x14ac:dyDescent="0.25">
      <c r="A52" s="42" t="s">
        <v>236</v>
      </c>
      <c r="B52" s="43">
        <v>41913</v>
      </c>
      <c r="C52" s="42" t="s">
        <v>223</v>
      </c>
      <c r="D52" s="42" t="str">
        <f t="shared" si="0"/>
        <v>Cell Phone</v>
      </c>
      <c r="E52" s="42" t="s">
        <v>224</v>
      </c>
      <c r="F52" s="42" t="s">
        <v>238</v>
      </c>
      <c r="G52" s="42">
        <v>-159.69</v>
      </c>
      <c r="H52" s="42">
        <f t="shared" si="1"/>
        <v>201410</v>
      </c>
      <c r="I52" s="42">
        <f>MATCH(D52,$O:$O,0)</f>
        <v>4</v>
      </c>
      <c r="J52" s="42"/>
      <c r="K52" s="42"/>
    </row>
    <row r="53" spans="1:11" x14ac:dyDescent="0.25">
      <c r="A53" s="42" t="s">
        <v>236</v>
      </c>
      <c r="B53" s="43">
        <v>41914</v>
      </c>
      <c r="C53" s="42" t="s">
        <v>241</v>
      </c>
      <c r="D53" s="42" t="str">
        <f t="shared" si="0"/>
        <v>Credit Card Payments</v>
      </c>
      <c r="E53" s="42" t="s">
        <v>242</v>
      </c>
      <c r="F53" s="42" t="s">
        <v>238</v>
      </c>
      <c r="G53" s="44">
        <v>-2549.5100000000002</v>
      </c>
      <c r="H53" s="42">
        <f t="shared" si="1"/>
        <v>201410</v>
      </c>
      <c r="I53" s="42">
        <f>MATCH(D53,$O:$O,0)</f>
        <v>38</v>
      </c>
      <c r="J53" s="42"/>
      <c r="K53" s="42"/>
    </row>
    <row r="54" spans="1:11" x14ac:dyDescent="0.25">
      <c r="A54" s="42" t="s">
        <v>236</v>
      </c>
      <c r="B54" s="43">
        <v>41914</v>
      </c>
      <c r="C54" s="42" t="s">
        <v>243</v>
      </c>
      <c r="D54" s="42" t="str">
        <f t="shared" si="0"/>
        <v>Parent Support</v>
      </c>
      <c r="E54" s="42" t="s">
        <v>61</v>
      </c>
      <c r="F54" s="42" t="s">
        <v>238</v>
      </c>
      <c r="G54" s="42">
        <v>-268.64</v>
      </c>
      <c r="H54" s="42">
        <f t="shared" si="1"/>
        <v>201410</v>
      </c>
      <c r="I54" s="42">
        <f>MATCH(D54,$O:$O,0)</f>
        <v>24</v>
      </c>
      <c r="J54" s="42"/>
      <c r="K54" s="42"/>
    </row>
    <row r="55" spans="1:11" x14ac:dyDescent="0.25">
      <c r="A55" s="42" t="s">
        <v>236</v>
      </c>
      <c r="B55" s="43">
        <v>41914</v>
      </c>
      <c r="C55" s="42" t="s">
        <v>244</v>
      </c>
      <c r="D55" s="42" t="str">
        <f t="shared" si="0"/>
        <v>D-Restaurant</v>
      </c>
      <c r="E55" s="42" t="s">
        <v>204</v>
      </c>
      <c r="F55" s="42" t="s">
        <v>238</v>
      </c>
      <c r="G55" s="42">
        <v>-8.1999999999999993</v>
      </c>
      <c r="H55" s="42">
        <f t="shared" si="1"/>
        <v>201410</v>
      </c>
      <c r="I55" s="42">
        <f>MATCH(D55,$O:$O,0)</f>
        <v>9</v>
      </c>
      <c r="J55" s="42"/>
      <c r="K55" s="42"/>
    </row>
    <row r="56" spans="1:11" x14ac:dyDescent="0.25">
      <c r="A56" s="42" t="s">
        <v>236</v>
      </c>
      <c r="B56" s="43">
        <v>41914</v>
      </c>
      <c r="C56" s="42" t="s">
        <v>243</v>
      </c>
      <c r="D56" s="42" t="str">
        <f t="shared" si="0"/>
        <v>Parent Support</v>
      </c>
      <c r="E56" s="42" t="s">
        <v>61</v>
      </c>
      <c r="F56" s="42" t="s">
        <v>238</v>
      </c>
      <c r="G56" s="42">
        <v>-268.64</v>
      </c>
      <c r="H56" s="42">
        <f t="shared" si="1"/>
        <v>201410</v>
      </c>
      <c r="I56" s="42">
        <f>MATCH(D56,$O:$O,0)</f>
        <v>24</v>
      </c>
      <c r="J56" s="42"/>
      <c r="K56" s="42"/>
    </row>
    <row r="57" spans="1:11" x14ac:dyDescent="0.25">
      <c r="A57" s="42" t="s">
        <v>236</v>
      </c>
      <c r="B57" s="43">
        <v>41914</v>
      </c>
      <c r="C57" s="42" t="s">
        <v>245</v>
      </c>
      <c r="D57" s="42" t="str">
        <f t="shared" si="0"/>
        <v>D-Restaurant</v>
      </c>
      <c r="E57" s="42" t="s">
        <v>204</v>
      </c>
      <c r="F57" s="42" t="s">
        <v>238</v>
      </c>
      <c r="G57" s="42">
        <v>-1</v>
      </c>
      <c r="H57" s="42">
        <f t="shared" si="1"/>
        <v>201410</v>
      </c>
      <c r="I57" s="42">
        <f>MATCH(D57,$O:$O,0)</f>
        <v>9</v>
      </c>
      <c r="J57" s="42"/>
      <c r="K57" s="42"/>
    </row>
    <row r="58" spans="1:11" x14ac:dyDescent="0.25">
      <c r="A58" s="42" t="s">
        <v>236</v>
      </c>
      <c r="B58" s="43">
        <v>41914</v>
      </c>
      <c r="C58" s="42" t="s">
        <v>214</v>
      </c>
      <c r="D58" s="42" t="str">
        <f t="shared" si="0"/>
        <v>D-Coffee</v>
      </c>
      <c r="E58" s="42" t="s">
        <v>215</v>
      </c>
      <c r="F58" s="42" t="s">
        <v>238</v>
      </c>
      <c r="G58" s="42">
        <v>-4.25</v>
      </c>
      <c r="H58" s="42">
        <f t="shared" si="1"/>
        <v>201410</v>
      </c>
      <c r="I58" s="42">
        <f>MATCH(D58,$O:$O,0)</f>
        <v>7</v>
      </c>
      <c r="J58" s="42"/>
      <c r="K58" s="42"/>
    </row>
    <row r="59" spans="1:11" x14ac:dyDescent="0.25">
      <c r="A59" s="42" t="s">
        <v>236</v>
      </c>
      <c r="B59" s="43">
        <v>41914</v>
      </c>
      <c r="C59" s="42" t="s">
        <v>246</v>
      </c>
      <c r="D59" s="42" t="str">
        <f t="shared" si="0"/>
        <v>D-Restaurant</v>
      </c>
      <c r="E59" s="42" t="s">
        <v>204</v>
      </c>
      <c r="F59" s="42" t="s">
        <v>238</v>
      </c>
      <c r="G59" s="42">
        <v>-32.46</v>
      </c>
      <c r="H59" s="42">
        <f t="shared" si="1"/>
        <v>201410</v>
      </c>
      <c r="I59" s="42">
        <f>MATCH(D59,$O:$O,0)</f>
        <v>9</v>
      </c>
      <c r="J59" s="42"/>
      <c r="K59" s="42"/>
    </row>
    <row r="60" spans="1:11" x14ac:dyDescent="0.25">
      <c r="A60" s="42" t="s">
        <v>236</v>
      </c>
      <c r="B60" s="43">
        <v>41914</v>
      </c>
      <c r="C60" s="42" t="s">
        <v>247</v>
      </c>
      <c r="D60" s="42" t="str">
        <f t="shared" si="0"/>
        <v>Parking</v>
      </c>
      <c r="E60" s="42" t="s">
        <v>170</v>
      </c>
      <c r="F60" s="42" t="s">
        <v>238</v>
      </c>
      <c r="G60" s="42">
        <v>-20</v>
      </c>
      <c r="H60" s="42">
        <f t="shared" si="1"/>
        <v>201410</v>
      </c>
      <c r="I60" s="42">
        <f>MATCH(D60,$O:$O,0)</f>
        <v>32</v>
      </c>
      <c r="J60" s="42"/>
      <c r="K60" s="42"/>
    </row>
    <row r="61" spans="1:11" x14ac:dyDescent="0.25">
      <c r="A61" s="42" t="s">
        <v>236</v>
      </c>
      <c r="B61" s="43">
        <v>41914</v>
      </c>
      <c r="C61" s="42" t="s">
        <v>248</v>
      </c>
      <c r="D61" s="42" t="str">
        <f t="shared" si="0"/>
        <v>Credit Card Payments</v>
      </c>
      <c r="E61" s="42" t="s">
        <v>242</v>
      </c>
      <c r="F61" s="42" t="s">
        <v>238</v>
      </c>
      <c r="G61" s="44">
        <v>2549.5100000000002</v>
      </c>
      <c r="H61" s="42">
        <f t="shared" si="1"/>
        <v>201410</v>
      </c>
      <c r="I61" s="42">
        <f>MATCH(D61,$O:$O,0)</f>
        <v>38</v>
      </c>
      <c r="J61" s="42"/>
      <c r="K61" s="42"/>
    </row>
    <row r="62" spans="1:11" x14ac:dyDescent="0.25">
      <c r="A62" s="42" t="s">
        <v>236</v>
      </c>
      <c r="B62" s="43">
        <v>41914</v>
      </c>
      <c r="C62" s="42" t="s">
        <v>249</v>
      </c>
      <c r="D62" s="42" t="str">
        <f t="shared" si="0"/>
        <v>Retirement Contributions</v>
      </c>
      <c r="E62" s="42" t="s">
        <v>263</v>
      </c>
      <c r="F62" s="42" t="s">
        <v>238</v>
      </c>
      <c r="G62" s="42">
        <v>527.08000000000004</v>
      </c>
      <c r="H62" s="42">
        <f t="shared" si="1"/>
        <v>201410</v>
      </c>
      <c r="I62" s="42">
        <f>MATCH(D62,$O:$O,0)</f>
        <v>39</v>
      </c>
      <c r="J62" s="42"/>
      <c r="K62" s="42"/>
    </row>
    <row r="63" spans="1:11" x14ac:dyDescent="0.25">
      <c r="A63" s="42" t="s">
        <v>236</v>
      </c>
      <c r="B63" s="43">
        <v>41915</v>
      </c>
      <c r="C63" s="42" t="s">
        <v>251</v>
      </c>
      <c r="D63" s="42" t="str">
        <f t="shared" si="0"/>
        <v>Transfers</v>
      </c>
      <c r="E63" s="42" t="s">
        <v>226</v>
      </c>
      <c r="F63" s="42" t="s">
        <v>238</v>
      </c>
      <c r="G63" s="44">
        <v>-50000</v>
      </c>
      <c r="H63" s="42">
        <f t="shared" si="1"/>
        <v>201410</v>
      </c>
      <c r="I63" s="42">
        <f>MATCH(D63,$O:$O,0)</f>
        <v>37</v>
      </c>
      <c r="J63" s="42"/>
      <c r="K63" s="42"/>
    </row>
    <row r="64" spans="1:11" x14ac:dyDescent="0.25">
      <c r="A64" s="42" t="s">
        <v>236</v>
      </c>
      <c r="B64" s="43">
        <v>41915</v>
      </c>
      <c r="C64" s="42" t="s">
        <v>214</v>
      </c>
      <c r="D64" s="42" t="str">
        <f t="shared" si="0"/>
        <v>D-Coffee</v>
      </c>
      <c r="E64" s="42" t="s">
        <v>215</v>
      </c>
      <c r="F64" s="42" t="s">
        <v>238</v>
      </c>
      <c r="G64" s="42">
        <v>-2.15</v>
      </c>
      <c r="H64" s="42">
        <f t="shared" si="1"/>
        <v>201410</v>
      </c>
      <c r="I64" s="42">
        <f>MATCH(D64,$O:$O,0)</f>
        <v>7</v>
      </c>
      <c r="J64" s="42"/>
      <c r="K64" s="42"/>
    </row>
    <row r="65" spans="1:11" x14ac:dyDescent="0.25">
      <c r="A65" s="42" t="s">
        <v>236</v>
      </c>
      <c r="B65" s="43">
        <v>41916</v>
      </c>
      <c r="C65" s="42" t="s">
        <v>252</v>
      </c>
      <c r="D65" s="42" t="str">
        <f t="shared" si="0"/>
        <v>Grocery</v>
      </c>
      <c r="E65" s="42" t="s">
        <v>192</v>
      </c>
      <c r="F65" s="42" t="s">
        <v>238</v>
      </c>
      <c r="G65" s="42">
        <v>-46.56</v>
      </c>
      <c r="H65" s="42">
        <f t="shared" si="1"/>
        <v>201410</v>
      </c>
      <c r="I65" s="42">
        <f>MATCH(D65,$O:$O,0)</f>
        <v>12</v>
      </c>
      <c r="J65" s="42"/>
      <c r="K65" s="42"/>
    </row>
    <row r="66" spans="1:11" x14ac:dyDescent="0.25">
      <c r="A66" s="42" t="s">
        <v>236</v>
      </c>
      <c r="B66" s="43">
        <v>41916</v>
      </c>
      <c r="C66" s="42" t="s">
        <v>247</v>
      </c>
      <c r="D66" s="42" t="str">
        <f t="shared" ref="D66:D129" si="2">IF(ISNA(VLOOKUP(E66,$L$2:$M$26,2,FALSE)),E66,VLOOKUP(E66,$L$2:$M$26,2,FALSE))</f>
        <v>Parking</v>
      </c>
      <c r="E66" s="42" t="s">
        <v>170</v>
      </c>
      <c r="F66" s="42" t="s">
        <v>238</v>
      </c>
      <c r="G66" s="42">
        <v>-20</v>
      </c>
      <c r="H66" s="42">
        <f t="shared" ref="H66:H129" si="3">YEAR(B66)*100+MONTH(B66)</f>
        <v>201410</v>
      </c>
      <c r="I66" s="42">
        <f>MATCH(D66,$O:$O,0)</f>
        <v>32</v>
      </c>
      <c r="J66" s="42"/>
      <c r="K66" s="42"/>
    </row>
    <row r="67" spans="1:11" x14ac:dyDescent="0.25">
      <c r="A67" s="42" t="s">
        <v>236</v>
      </c>
      <c r="B67" s="43">
        <v>41917</v>
      </c>
      <c r="C67" s="42" t="s">
        <v>253</v>
      </c>
      <c r="D67" s="42" t="str">
        <f t="shared" si="2"/>
        <v>Gifts</v>
      </c>
      <c r="E67" s="42" t="s">
        <v>40</v>
      </c>
      <c r="F67" s="42" t="s">
        <v>238</v>
      </c>
      <c r="G67" s="42">
        <v>-246.34</v>
      </c>
      <c r="H67" s="42">
        <f t="shared" si="3"/>
        <v>201410</v>
      </c>
      <c r="I67" s="42">
        <f>MATCH(D67,$O:$O,0)</f>
        <v>11</v>
      </c>
      <c r="J67" s="42"/>
      <c r="K67" s="42"/>
    </row>
    <row r="68" spans="1:11" x14ac:dyDescent="0.25">
      <c r="A68" s="42" t="s">
        <v>236</v>
      </c>
      <c r="B68" s="43">
        <v>41917</v>
      </c>
      <c r="C68" s="42" t="s">
        <v>254</v>
      </c>
      <c r="D68" s="42" t="str">
        <f t="shared" si="2"/>
        <v>Gifts</v>
      </c>
      <c r="E68" s="42" t="s">
        <v>40</v>
      </c>
      <c r="F68" s="42" t="s">
        <v>238</v>
      </c>
      <c r="G68" s="42">
        <v>6.52</v>
      </c>
      <c r="H68" s="42">
        <f t="shared" si="3"/>
        <v>201410</v>
      </c>
      <c r="I68" s="42">
        <f>MATCH(D68,$O:$O,0)</f>
        <v>11</v>
      </c>
      <c r="J68" s="42"/>
      <c r="K68" s="42"/>
    </row>
    <row r="69" spans="1:11" x14ac:dyDescent="0.25">
      <c r="A69" s="42" t="s">
        <v>236</v>
      </c>
      <c r="B69" s="43">
        <v>41918</v>
      </c>
      <c r="C69" s="42" t="s">
        <v>255</v>
      </c>
      <c r="D69" s="42" t="str">
        <f t="shared" si="2"/>
        <v>Other Income</v>
      </c>
      <c r="E69" s="42" t="s">
        <v>250</v>
      </c>
      <c r="F69" s="42" t="s">
        <v>238</v>
      </c>
      <c r="G69" s="42">
        <v>0</v>
      </c>
      <c r="H69" s="42">
        <f t="shared" si="3"/>
        <v>201410</v>
      </c>
      <c r="I69" s="42" t="e">
        <f>MATCH(D69,$O:$O,0)</f>
        <v>#N/A</v>
      </c>
      <c r="J69" s="42"/>
      <c r="K69" s="42"/>
    </row>
    <row r="70" spans="1:11" x14ac:dyDescent="0.25">
      <c r="A70" s="42" t="s">
        <v>236</v>
      </c>
      <c r="B70" s="43">
        <v>41918</v>
      </c>
      <c r="C70" s="42" t="s">
        <v>256</v>
      </c>
      <c r="D70" s="42" t="str">
        <f t="shared" si="2"/>
        <v>Paychecks/Salary</v>
      </c>
      <c r="E70" s="42" t="s">
        <v>261</v>
      </c>
      <c r="F70" s="42" t="s">
        <v>238</v>
      </c>
      <c r="G70" s="44">
        <v>1040</v>
      </c>
      <c r="H70" s="42">
        <f t="shared" si="3"/>
        <v>201410</v>
      </c>
      <c r="I70" s="42">
        <f>MATCH(D70,$O:$O,0)</f>
        <v>40</v>
      </c>
      <c r="J70" s="42"/>
      <c r="K70" s="42"/>
    </row>
    <row r="71" spans="1:11" x14ac:dyDescent="0.25">
      <c r="A71" s="42" t="s">
        <v>236</v>
      </c>
      <c r="B71" s="43">
        <v>41921</v>
      </c>
      <c r="C71" s="42" t="s">
        <v>257</v>
      </c>
      <c r="D71" s="42" t="str">
        <f t="shared" si="2"/>
        <v>Newspapers</v>
      </c>
      <c r="E71" s="42" t="s">
        <v>35</v>
      </c>
      <c r="F71" s="42" t="s">
        <v>238</v>
      </c>
      <c r="G71" s="42">
        <v>-14.99</v>
      </c>
      <c r="H71" s="42">
        <f t="shared" si="3"/>
        <v>201410</v>
      </c>
      <c r="I71" s="42">
        <f>MATCH(D71,$O:$O,0)</f>
        <v>23</v>
      </c>
      <c r="J71" s="42"/>
      <c r="K71" s="42"/>
    </row>
    <row r="72" spans="1:11" x14ac:dyDescent="0.25">
      <c r="A72" s="42" t="s">
        <v>236</v>
      </c>
      <c r="B72" s="43">
        <v>41924</v>
      </c>
      <c r="C72" s="42" t="s">
        <v>258</v>
      </c>
      <c r="D72" s="42" t="str">
        <f t="shared" si="2"/>
        <v>Finance Charges</v>
      </c>
      <c r="E72" s="42" t="s">
        <v>220</v>
      </c>
      <c r="F72" s="42" t="s">
        <v>238</v>
      </c>
      <c r="G72" s="42">
        <v>-2.08</v>
      </c>
      <c r="H72" s="42">
        <f t="shared" si="3"/>
        <v>201410</v>
      </c>
      <c r="I72" s="42">
        <f>MATCH(D72,$O:$O,0)</f>
        <v>35</v>
      </c>
      <c r="J72" s="42"/>
      <c r="K72" s="42"/>
    </row>
    <row r="73" spans="1:11" x14ac:dyDescent="0.25">
      <c r="A73" s="42" t="s">
        <v>236</v>
      </c>
      <c r="B73" s="43">
        <v>41924</v>
      </c>
      <c r="C73" s="42" t="s">
        <v>259</v>
      </c>
      <c r="D73" s="42" t="str">
        <f t="shared" si="2"/>
        <v>D-Activities</v>
      </c>
      <c r="E73" s="42" t="s">
        <v>126</v>
      </c>
      <c r="F73" s="42" t="s">
        <v>238</v>
      </c>
      <c r="G73" s="42">
        <v>-77.38</v>
      </c>
      <c r="H73" s="42">
        <f t="shared" si="3"/>
        <v>201410</v>
      </c>
      <c r="I73" s="42">
        <f>MATCH(D73,$O:$O,0)</f>
        <v>6</v>
      </c>
      <c r="J73" s="42"/>
      <c r="K73" s="42"/>
    </row>
    <row r="74" spans="1:11" x14ac:dyDescent="0.25">
      <c r="A74" s="42" t="s">
        <v>236</v>
      </c>
      <c r="B74" s="43">
        <v>41927</v>
      </c>
      <c r="C74" s="42" t="s">
        <v>255</v>
      </c>
      <c r="D74" s="42" t="str">
        <f t="shared" si="2"/>
        <v>Other Income</v>
      </c>
      <c r="E74" s="42" t="s">
        <v>250</v>
      </c>
      <c r="F74" s="42" t="s">
        <v>238</v>
      </c>
      <c r="G74" s="42">
        <v>0</v>
      </c>
      <c r="H74" s="42">
        <f t="shared" si="3"/>
        <v>201410</v>
      </c>
      <c r="I74" s="42" t="e">
        <f>MATCH(D74,$O:$O,0)</f>
        <v>#N/A</v>
      </c>
      <c r="J74" s="42"/>
      <c r="K74" s="42"/>
    </row>
    <row r="75" spans="1:11" x14ac:dyDescent="0.25">
      <c r="A75" s="42" t="s">
        <v>236</v>
      </c>
      <c r="B75" s="43">
        <v>41927</v>
      </c>
      <c r="C75" s="42" t="s">
        <v>200</v>
      </c>
      <c r="D75" s="42" t="str">
        <f t="shared" si="2"/>
        <v>Interest</v>
      </c>
      <c r="E75" s="42" t="s">
        <v>200</v>
      </c>
      <c r="F75" s="42" t="s">
        <v>238</v>
      </c>
      <c r="G75" s="42">
        <v>0.54</v>
      </c>
      <c r="H75" s="42">
        <f t="shared" si="3"/>
        <v>201410</v>
      </c>
      <c r="I75" s="42" t="e">
        <f>MATCH(D75,$O:$O,0)</f>
        <v>#N/A</v>
      </c>
      <c r="J75" s="42"/>
      <c r="K75" s="42"/>
    </row>
    <row r="76" spans="1:11" x14ac:dyDescent="0.25">
      <c r="A76" t="s">
        <v>236</v>
      </c>
      <c r="B76" s="26">
        <v>41927</v>
      </c>
      <c r="C76" t="s">
        <v>255</v>
      </c>
      <c r="D76" t="str">
        <f t="shared" si="2"/>
        <v>Other Income</v>
      </c>
      <c r="E76" t="s">
        <v>250</v>
      </c>
      <c r="F76" t="s">
        <v>238</v>
      </c>
      <c r="G76">
        <v>0</v>
      </c>
      <c r="H76">
        <f t="shared" si="3"/>
        <v>201410</v>
      </c>
      <c r="I76" t="e">
        <f>MATCH(D76,$O:$O,0)</f>
        <v>#N/A</v>
      </c>
    </row>
    <row r="77" spans="1:11" x14ac:dyDescent="0.25">
      <c r="A77" t="s">
        <v>236</v>
      </c>
      <c r="B77" s="26">
        <v>41927</v>
      </c>
      <c r="C77" t="s">
        <v>221</v>
      </c>
      <c r="D77" t="str">
        <f t="shared" si="2"/>
        <v>Tax</v>
      </c>
      <c r="E77" t="s">
        <v>222</v>
      </c>
      <c r="F77" t="s">
        <v>238</v>
      </c>
      <c r="G77" s="42">
        <v>-0.15</v>
      </c>
      <c r="H77">
        <f t="shared" si="3"/>
        <v>201410</v>
      </c>
      <c r="I77">
        <f>MATCH(D77,$O:$O,0)</f>
        <v>29</v>
      </c>
      <c r="J77" s="42"/>
    </row>
    <row r="78" spans="1:11" x14ac:dyDescent="0.25">
      <c r="A78" t="s">
        <v>236</v>
      </c>
      <c r="B78" s="26">
        <v>41927</v>
      </c>
      <c r="C78" t="s">
        <v>200</v>
      </c>
      <c r="D78" t="str">
        <f t="shared" si="2"/>
        <v>Interest</v>
      </c>
      <c r="E78" t="s">
        <v>200</v>
      </c>
      <c r="F78" t="s">
        <v>238</v>
      </c>
      <c r="G78">
        <v>6.72</v>
      </c>
      <c r="H78">
        <f t="shared" si="3"/>
        <v>201410</v>
      </c>
      <c r="I78" t="e">
        <f>MATCH(D78,$O:$O,0)</f>
        <v>#N/A</v>
      </c>
    </row>
    <row r="79" spans="1:11" x14ac:dyDescent="0.25">
      <c r="A79" t="s">
        <v>236</v>
      </c>
      <c r="B79" s="26">
        <v>41927</v>
      </c>
      <c r="C79" t="s">
        <v>260</v>
      </c>
      <c r="D79" t="str">
        <f t="shared" si="2"/>
        <v>Paychecks/Salary</v>
      </c>
      <c r="E79" t="s">
        <v>261</v>
      </c>
      <c r="F79" t="s">
        <v>238</v>
      </c>
      <c r="G79" s="44">
        <v>3086.59</v>
      </c>
      <c r="H79">
        <f t="shared" si="3"/>
        <v>201410</v>
      </c>
      <c r="I79">
        <f>MATCH(D79,$O:$O,0)</f>
        <v>40</v>
      </c>
    </row>
    <row r="80" spans="1:11" x14ac:dyDescent="0.25">
      <c r="A80" t="s">
        <v>236</v>
      </c>
      <c r="B80" s="26">
        <v>41927</v>
      </c>
      <c r="C80" t="s">
        <v>221</v>
      </c>
      <c r="D80" t="str">
        <f t="shared" si="2"/>
        <v>Tax</v>
      </c>
      <c r="E80" t="s">
        <v>222</v>
      </c>
      <c r="F80" t="s">
        <v>238</v>
      </c>
      <c r="G80">
        <v>-1.88</v>
      </c>
      <c r="H80">
        <f t="shared" si="3"/>
        <v>201410</v>
      </c>
      <c r="I80">
        <f>MATCH(D80,$O:$O,0)</f>
        <v>29</v>
      </c>
    </row>
    <row r="81" spans="1:9" x14ac:dyDescent="0.25">
      <c r="A81" t="s">
        <v>236</v>
      </c>
      <c r="B81" s="26">
        <v>41928</v>
      </c>
      <c r="C81" t="s">
        <v>262</v>
      </c>
      <c r="D81" t="str">
        <f t="shared" si="2"/>
        <v>Finance Charges</v>
      </c>
      <c r="E81" t="s">
        <v>220</v>
      </c>
      <c r="F81" t="s">
        <v>238</v>
      </c>
      <c r="G81">
        <v>-35</v>
      </c>
      <c r="H81">
        <f t="shared" si="3"/>
        <v>201410</v>
      </c>
      <c r="I81">
        <f>MATCH(D81,$O:$O,0)</f>
        <v>35</v>
      </c>
    </row>
    <row r="82" spans="1:9" x14ac:dyDescent="0.25">
      <c r="A82" t="s">
        <v>236</v>
      </c>
      <c r="B82" s="26">
        <v>41928</v>
      </c>
      <c r="C82" t="s">
        <v>249</v>
      </c>
      <c r="D82" t="str">
        <f t="shared" si="2"/>
        <v>Retirement Contributions</v>
      </c>
      <c r="E82" t="s">
        <v>263</v>
      </c>
      <c r="F82" t="s">
        <v>238</v>
      </c>
      <c r="G82">
        <v>527.08000000000004</v>
      </c>
      <c r="H82">
        <f t="shared" si="3"/>
        <v>201410</v>
      </c>
      <c r="I82">
        <f>MATCH(D82,$O:$O,0)</f>
        <v>39</v>
      </c>
    </row>
    <row r="83" spans="1:9" x14ac:dyDescent="0.25">
      <c r="A83" t="s">
        <v>236</v>
      </c>
      <c r="B83" s="26">
        <v>41932</v>
      </c>
      <c r="C83" t="s">
        <v>200</v>
      </c>
      <c r="D83" t="str">
        <f t="shared" si="2"/>
        <v>Finance Charges</v>
      </c>
      <c r="E83" t="s">
        <v>169</v>
      </c>
      <c r="F83" t="s">
        <v>238</v>
      </c>
      <c r="G83">
        <v>-15.25</v>
      </c>
      <c r="H83">
        <f t="shared" si="3"/>
        <v>201410</v>
      </c>
      <c r="I83">
        <f>MATCH(D83,$O:$O,0)</f>
        <v>35</v>
      </c>
    </row>
    <row r="84" spans="1:9" x14ac:dyDescent="0.25">
      <c r="A84" t="s">
        <v>236</v>
      </c>
      <c r="B84" s="26">
        <v>41934</v>
      </c>
      <c r="C84" t="s">
        <v>264</v>
      </c>
      <c r="D84" t="str">
        <f t="shared" si="2"/>
        <v>Healthcare/Medical</v>
      </c>
      <c r="E84" t="s">
        <v>265</v>
      </c>
      <c r="F84" t="s">
        <v>238</v>
      </c>
      <c r="G84">
        <v>-4.95</v>
      </c>
      <c r="H84">
        <f t="shared" si="3"/>
        <v>201410</v>
      </c>
      <c r="I84" t="e">
        <f>MATCH(D84,$O:$O,0)</f>
        <v>#N/A</v>
      </c>
    </row>
    <row r="85" spans="1:9" x14ac:dyDescent="0.25">
      <c r="A85" t="s">
        <v>236</v>
      </c>
      <c r="B85" s="26">
        <v>41935</v>
      </c>
      <c r="C85" t="s">
        <v>255</v>
      </c>
      <c r="D85" t="str">
        <f t="shared" si="2"/>
        <v>Other Income</v>
      </c>
      <c r="E85" t="s">
        <v>250</v>
      </c>
      <c r="F85" t="s">
        <v>238</v>
      </c>
      <c r="G85">
        <v>0</v>
      </c>
      <c r="H85">
        <f t="shared" si="3"/>
        <v>201410</v>
      </c>
      <c r="I85" t="e">
        <f>MATCH(D85,$O:$O,0)</f>
        <v>#N/A</v>
      </c>
    </row>
    <row r="86" spans="1:9" x14ac:dyDescent="0.25">
      <c r="A86" t="s">
        <v>236</v>
      </c>
      <c r="B86" s="26">
        <v>41935</v>
      </c>
      <c r="C86" t="s">
        <v>256</v>
      </c>
      <c r="D86" t="str">
        <f t="shared" si="2"/>
        <v>Paychecks/Salary</v>
      </c>
      <c r="E86" t="s">
        <v>261</v>
      </c>
      <c r="F86" t="s">
        <v>238</v>
      </c>
      <c r="G86" s="44">
        <v>2560</v>
      </c>
      <c r="H86">
        <f t="shared" si="3"/>
        <v>201410</v>
      </c>
      <c r="I86">
        <f>MATCH(D86,$O:$O,0)</f>
        <v>40</v>
      </c>
    </row>
    <row r="87" spans="1:9" x14ac:dyDescent="0.25">
      <c r="A87" t="s">
        <v>236</v>
      </c>
      <c r="B87" s="26">
        <v>41936</v>
      </c>
      <c r="C87" t="s">
        <v>251</v>
      </c>
      <c r="D87" t="str">
        <f t="shared" si="2"/>
        <v>Transfers</v>
      </c>
      <c r="E87" t="s">
        <v>226</v>
      </c>
      <c r="F87" t="s">
        <v>238</v>
      </c>
      <c r="G87" s="44">
        <v>-50000</v>
      </c>
      <c r="H87">
        <f t="shared" si="3"/>
        <v>201410</v>
      </c>
      <c r="I87">
        <f>MATCH(D87,$O:$O,0)</f>
        <v>37</v>
      </c>
    </row>
    <row r="88" spans="1:9" x14ac:dyDescent="0.25">
      <c r="A88" t="s">
        <v>236</v>
      </c>
      <c r="B88" s="26">
        <v>41936</v>
      </c>
      <c r="C88" t="s">
        <v>223</v>
      </c>
      <c r="D88" t="str">
        <f t="shared" si="2"/>
        <v>Internet</v>
      </c>
      <c r="E88" t="s">
        <v>57</v>
      </c>
      <c r="F88" t="s">
        <v>238</v>
      </c>
      <c r="G88">
        <v>-63.54</v>
      </c>
      <c r="H88">
        <f t="shared" si="3"/>
        <v>201410</v>
      </c>
      <c r="I88">
        <f>MATCH(D88,$O:$O,0)</f>
        <v>18</v>
      </c>
    </row>
    <row r="89" spans="1:9" x14ac:dyDescent="0.25">
      <c r="A89" t="s">
        <v>236</v>
      </c>
      <c r="B89" s="26">
        <v>41939</v>
      </c>
      <c r="C89" t="s">
        <v>225</v>
      </c>
      <c r="D89" t="str">
        <f t="shared" si="2"/>
        <v>Transfers</v>
      </c>
      <c r="E89" t="s">
        <v>226</v>
      </c>
      <c r="F89" t="s">
        <v>238</v>
      </c>
      <c r="G89">
        <v>-1.39</v>
      </c>
      <c r="H89">
        <f t="shared" si="3"/>
        <v>201410</v>
      </c>
      <c r="I89">
        <f>MATCH(D89,$O:$O,0)</f>
        <v>37</v>
      </c>
    </row>
    <row r="90" spans="1:9" x14ac:dyDescent="0.25">
      <c r="A90" t="s">
        <v>236</v>
      </c>
      <c r="B90" s="26">
        <v>41939</v>
      </c>
      <c r="C90" t="s">
        <v>266</v>
      </c>
      <c r="D90" t="str">
        <f t="shared" si="2"/>
        <v>Public Transit</v>
      </c>
      <c r="E90" t="s">
        <v>90</v>
      </c>
      <c r="F90" t="s">
        <v>238</v>
      </c>
      <c r="G90">
        <v>-0.7</v>
      </c>
      <c r="H90">
        <f t="shared" si="3"/>
        <v>201410</v>
      </c>
      <c r="I90">
        <f>MATCH(D90,$O:$O,0)</f>
        <v>25</v>
      </c>
    </row>
    <row r="91" spans="1:9" x14ac:dyDescent="0.25">
      <c r="A91" t="s">
        <v>236</v>
      </c>
      <c r="B91" s="26">
        <v>41939</v>
      </c>
      <c r="C91" t="s">
        <v>267</v>
      </c>
      <c r="D91" t="str">
        <f t="shared" si="2"/>
        <v>Public Transit</v>
      </c>
      <c r="E91" t="s">
        <v>90</v>
      </c>
      <c r="F91" t="s">
        <v>238</v>
      </c>
      <c r="G91">
        <v>-24.55</v>
      </c>
      <c r="H91">
        <f t="shared" si="3"/>
        <v>201410</v>
      </c>
      <c r="I91">
        <f>MATCH(D91,$O:$O,0)</f>
        <v>25</v>
      </c>
    </row>
    <row r="92" spans="1:9" x14ac:dyDescent="0.25">
      <c r="A92" t="s">
        <v>236</v>
      </c>
      <c r="B92" s="26">
        <v>41939</v>
      </c>
      <c r="C92" t="s">
        <v>268</v>
      </c>
      <c r="D92" t="str">
        <f t="shared" si="2"/>
        <v>D-Travel</v>
      </c>
      <c r="E92" t="s">
        <v>161</v>
      </c>
      <c r="F92" t="s">
        <v>238</v>
      </c>
      <c r="G92">
        <v>-818.4</v>
      </c>
      <c r="H92">
        <f t="shared" si="3"/>
        <v>201410</v>
      </c>
      <c r="I92">
        <f>MATCH(D92,$O:$O,0)</f>
        <v>10</v>
      </c>
    </row>
    <row r="93" spans="1:9" x14ac:dyDescent="0.25">
      <c r="A93" t="s">
        <v>236</v>
      </c>
      <c r="B93" s="26">
        <v>41939</v>
      </c>
      <c r="C93" t="s">
        <v>269</v>
      </c>
      <c r="D93" t="str">
        <f t="shared" si="2"/>
        <v>Public Transit</v>
      </c>
      <c r="E93" t="s">
        <v>90</v>
      </c>
      <c r="F93" t="s">
        <v>238</v>
      </c>
      <c r="G93">
        <v>-23.21</v>
      </c>
      <c r="H93">
        <f t="shared" si="3"/>
        <v>201410</v>
      </c>
      <c r="I93">
        <f>MATCH(D93,$O:$O,0)</f>
        <v>25</v>
      </c>
    </row>
    <row r="94" spans="1:9" x14ac:dyDescent="0.25">
      <c r="A94" t="s">
        <v>236</v>
      </c>
      <c r="B94" s="26">
        <v>41940</v>
      </c>
      <c r="C94" t="s">
        <v>270</v>
      </c>
      <c r="D94" t="str">
        <f t="shared" si="2"/>
        <v>Deposits</v>
      </c>
      <c r="E94" t="s">
        <v>271</v>
      </c>
      <c r="F94" t="s">
        <v>238</v>
      </c>
      <c r="G94">
        <v>1.39</v>
      </c>
      <c r="H94">
        <f t="shared" si="3"/>
        <v>201410</v>
      </c>
      <c r="I94" t="e">
        <f>MATCH(D94,$O:$O,0)</f>
        <v>#N/A</v>
      </c>
    </row>
    <row r="95" spans="1:9" x14ac:dyDescent="0.25">
      <c r="A95" t="s">
        <v>236</v>
      </c>
      <c r="B95" s="26">
        <v>41941</v>
      </c>
      <c r="C95" t="s">
        <v>272</v>
      </c>
      <c r="D95" t="str">
        <f t="shared" si="2"/>
        <v>D-Travel</v>
      </c>
      <c r="E95" t="s">
        <v>161</v>
      </c>
      <c r="F95" t="s">
        <v>238</v>
      </c>
      <c r="G95">
        <v>-217.94</v>
      </c>
      <c r="H95">
        <f t="shared" si="3"/>
        <v>201410</v>
      </c>
      <c r="I95">
        <f>MATCH(D95,$O:$O,0)</f>
        <v>10</v>
      </c>
    </row>
    <row r="96" spans="1:9" x14ac:dyDescent="0.25">
      <c r="A96" t="s">
        <v>236</v>
      </c>
      <c r="B96" s="26">
        <v>41941</v>
      </c>
      <c r="C96" t="s">
        <v>272</v>
      </c>
      <c r="D96" t="str">
        <f t="shared" si="2"/>
        <v>D-Travel</v>
      </c>
      <c r="E96" t="s">
        <v>161</v>
      </c>
      <c r="F96" t="s">
        <v>238</v>
      </c>
      <c r="G96">
        <v>-346.9</v>
      </c>
      <c r="H96">
        <f t="shared" si="3"/>
        <v>201410</v>
      </c>
      <c r="I96">
        <f>MATCH(D96,$O:$O,0)</f>
        <v>10</v>
      </c>
    </row>
    <row r="97" spans="1:9" x14ac:dyDescent="0.25">
      <c r="A97" t="s">
        <v>236</v>
      </c>
      <c r="B97" s="26">
        <v>41942</v>
      </c>
      <c r="C97" t="s">
        <v>273</v>
      </c>
      <c r="D97" t="str">
        <f t="shared" si="2"/>
        <v>Mortgage/Rent</v>
      </c>
      <c r="E97" t="s">
        <v>202</v>
      </c>
      <c r="F97" t="s">
        <v>238</v>
      </c>
      <c r="G97" s="44">
        <v>-3329.45</v>
      </c>
      <c r="H97">
        <f t="shared" si="3"/>
        <v>201410</v>
      </c>
      <c r="I97">
        <f>MATCH(D97,$O:$O,0)</f>
        <v>21</v>
      </c>
    </row>
    <row r="98" spans="1:9" x14ac:dyDescent="0.25">
      <c r="A98" t="s">
        <v>236</v>
      </c>
      <c r="B98" s="26">
        <v>41943</v>
      </c>
      <c r="C98" t="s">
        <v>274</v>
      </c>
      <c r="D98" t="str">
        <f t="shared" si="2"/>
        <v>Paychecks/Salary</v>
      </c>
      <c r="E98" t="s">
        <v>261</v>
      </c>
      <c r="F98" t="s">
        <v>238</v>
      </c>
      <c r="G98" s="44">
        <v>3086.59</v>
      </c>
      <c r="H98">
        <f t="shared" si="3"/>
        <v>201410</v>
      </c>
      <c r="I98">
        <f>MATCH(D98,$O:$O,0)</f>
        <v>40</v>
      </c>
    </row>
    <row r="99" spans="1:9" x14ac:dyDescent="0.25">
      <c r="A99" t="s">
        <v>236</v>
      </c>
      <c r="B99" s="26">
        <v>41944</v>
      </c>
      <c r="C99" t="s">
        <v>275</v>
      </c>
      <c r="D99" t="str">
        <f t="shared" si="2"/>
        <v>Credit Card Payments</v>
      </c>
      <c r="E99" t="s">
        <v>242</v>
      </c>
      <c r="F99" t="s">
        <v>238</v>
      </c>
      <c r="G99" s="44">
        <v>1924.9</v>
      </c>
      <c r="H99">
        <f t="shared" si="3"/>
        <v>201411</v>
      </c>
      <c r="I99">
        <f>MATCH(D99,$O:$O,0)</f>
        <v>38</v>
      </c>
    </row>
    <row r="100" spans="1:9" x14ac:dyDescent="0.25">
      <c r="A100" t="s">
        <v>236</v>
      </c>
      <c r="B100" s="26">
        <v>41944</v>
      </c>
      <c r="C100" t="s">
        <v>248</v>
      </c>
      <c r="D100" t="str">
        <f t="shared" si="2"/>
        <v>Credit Card Payments</v>
      </c>
      <c r="E100" t="s">
        <v>242</v>
      </c>
      <c r="F100" t="s">
        <v>238</v>
      </c>
      <c r="G100" s="44">
        <v>1958.16</v>
      </c>
      <c r="H100">
        <f t="shared" si="3"/>
        <v>201411</v>
      </c>
      <c r="I100">
        <f>MATCH(D100,$O:$O,0)</f>
        <v>38</v>
      </c>
    </row>
    <row r="101" spans="1:9" x14ac:dyDescent="0.25">
      <c r="A101" t="s">
        <v>236</v>
      </c>
      <c r="B101" s="26">
        <v>41945</v>
      </c>
      <c r="C101" t="s">
        <v>187</v>
      </c>
      <c r="D101" t="str">
        <f t="shared" si="2"/>
        <v>Books</v>
      </c>
      <c r="E101" t="s">
        <v>42</v>
      </c>
      <c r="F101" t="s">
        <v>238</v>
      </c>
      <c r="G101">
        <v>-7.99</v>
      </c>
      <c r="H101">
        <f t="shared" si="3"/>
        <v>201411</v>
      </c>
      <c r="I101">
        <f>MATCH(D101,$O:$O,0)</f>
        <v>2</v>
      </c>
    </row>
    <row r="102" spans="1:9" x14ac:dyDescent="0.25">
      <c r="A102" t="s">
        <v>236</v>
      </c>
      <c r="B102" s="26">
        <v>41945</v>
      </c>
      <c r="C102" t="s">
        <v>223</v>
      </c>
      <c r="D102" t="str">
        <f t="shared" si="2"/>
        <v>Cell Phone</v>
      </c>
      <c r="E102" t="s">
        <v>224</v>
      </c>
      <c r="F102" t="s">
        <v>238</v>
      </c>
      <c r="G102">
        <v>-172.63</v>
      </c>
      <c r="H102">
        <f t="shared" si="3"/>
        <v>201411</v>
      </c>
      <c r="I102">
        <f>MATCH(D102,$O:$O,0)</f>
        <v>4</v>
      </c>
    </row>
    <row r="103" spans="1:9" x14ac:dyDescent="0.25">
      <c r="A103" t="s">
        <v>236</v>
      </c>
      <c r="B103" s="26">
        <v>41946</v>
      </c>
      <c r="C103" t="s">
        <v>241</v>
      </c>
      <c r="D103" t="str">
        <f t="shared" si="2"/>
        <v>Credit Card Payments</v>
      </c>
      <c r="E103" t="s">
        <v>242</v>
      </c>
      <c r="F103" t="s">
        <v>238</v>
      </c>
      <c r="G103" s="44">
        <v>-1958.16</v>
      </c>
      <c r="H103">
        <f t="shared" si="3"/>
        <v>201411</v>
      </c>
      <c r="I103">
        <f>MATCH(D103,$O:$O,0)</f>
        <v>38</v>
      </c>
    </row>
    <row r="104" spans="1:9" x14ac:dyDescent="0.25">
      <c r="A104" t="s">
        <v>236</v>
      </c>
      <c r="B104" s="26">
        <v>41946</v>
      </c>
      <c r="C104" t="s">
        <v>278</v>
      </c>
      <c r="D104" t="str">
        <f t="shared" si="2"/>
        <v>Credit Card Payments</v>
      </c>
      <c r="E104" t="s">
        <v>242</v>
      </c>
      <c r="F104" t="s">
        <v>238</v>
      </c>
      <c r="G104" s="44">
        <v>-1924.9</v>
      </c>
      <c r="H104">
        <f t="shared" si="3"/>
        <v>201411</v>
      </c>
      <c r="I104">
        <f>MATCH(D104,$O:$O,0)</f>
        <v>38</v>
      </c>
    </row>
    <row r="105" spans="1:9" x14ac:dyDescent="0.25">
      <c r="A105" t="s">
        <v>236</v>
      </c>
      <c r="B105" s="26">
        <v>41946</v>
      </c>
      <c r="C105" t="s">
        <v>225</v>
      </c>
      <c r="D105" t="str">
        <f t="shared" si="2"/>
        <v>Transfers</v>
      </c>
      <c r="E105" t="s">
        <v>226</v>
      </c>
      <c r="F105" t="s">
        <v>238</v>
      </c>
      <c r="G105">
        <v>-0.57999999999999996</v>
      </c>
      <c r="H105">
        <f t="shared" si="3"/>
        <v>201411</v>
      </c>
      <c r="I105">
        <f>MATCH(D105,$O:$O,0)</f>
        <v>37</v>
      </c>
    </row>
    <row r="106" spans="1:9" x14ac:dyDescent="0.25">
      <c r="A106" t="s">
        <v>236</v>
      </c>
      <c r="B106" s="26">
        <v>41946</v>
      </c>
      <c r="C106" t="s">
        <v>276</v>
      </c>
      <c r="D106" t="str">
        <f t="shared" si="2"/>
        <v>D-Travel</v>
      </c>
      <c r="E106" t="s">
        <v>161</v>
      </c>
      <c r="F106" t="s">
        <v>238</v>
      </c>
      <c r="G106">
        <v>-0.62</v>
      </c>
      <c r="H106">
        <f t="shared" si="3"/>
        <v>201411</v>
      </c>
      <c r="I106">
        <f>MATCH(D106,$O:$O,0)</f>
        <v>10</v>
      </c>
    </row>
    <row r="107" spans="1:9" x14ac:dyDescent="0.25">
      <c r="A107" t="s">
        <v>236</v>
      </c>
      <c r="B107" s="26">
        <v>41946</v>
      </c>
      <c r="C107" t="s">
        <v>277</v>
      </c>
      <c r="D107" t="str">
        <f t="shared" si="2"/>
        <v>D-Travel</v>
      </c>
      <c r="E107" t="s">
        <v>161</v>
      </c>
      <c r="F107" t="s">
        <v>238</v>
      </c>
      <c r="G107">
        <v>-0.62</v>
      </c>
      <c r="H107">
        <f t="shared" si="3"/>
        <v>201411</v>
      </c>
      <c r="I107">
        <f>MATCH(D107,$O:$O,0)</f>
        <v>10</v>
      </c>
    </row>
    <row r="108" spans="1:9" x14ac:dyDescent="0.25">
      <c r="A108" t="s">
        <v>236</v>
      </c>
      <c r="B108" s="26">
        <v>41946</v>
      </c>
      <c r="C108" t="s">
        <v>279</v>
      </c>
      <c r="D108" t="str">
        <f t="shared" si="2"/>
        <v>D-Travel</v>
      </c>
      <c r="E108" t="s">
        <v>161</v>
      </c>
      <c r="F108" t="s">
        <v>238</v>
      </c>
      <c r="G108">
        <v>-20.71</v>
      </c>
      <c r="H108">
        <f t="shared" si="3"/>
        <v>201411</v>
      </c>
      <c r="I108">
        <f>MATCH(D108,$O:$O,0)</f>
        <v>10</v>
      </c>
    </row>
    <row r="109" spans="1:9" x14ac:dyDescent="0.25">
      <c r="A109" t="s">
        <v>236</v>
      </c>
      <c r="B109" s="26">
        <v>41946</v>
      </c>
      <c r="C109" t="s">
        <v>280</v>
      </c>
      <c r="D109" t="str">
        <f t="shared" si="2"/>
        <v>D-Travel</v>
      </c>
      <c r="E109" t="s">
        <v>161</v>
      </c>
      <c r="F109" t="s">
        <v>238</v>
      </c>
      <c r="G109">
        <v>-20.71</v>
      </c>
      <c r="H109">
        <f t="shared" si="3"/>
        <v>201411</v>
      </c>
      <c r="I109">
        <f>MATCH(D109,$O:$O,0)</f>
        <v>10</v>
      </c>
    </row>
    <row r="110" spans="1:9" x14ac:dyDescent="0.25">
      <c r="A110" t="s">
        <v>236</v>
      </c>
      <c r="B110" s="26">
        <v>41946</v>
      </c>
      <c r="C110" t="s">
        <v>281</v>
      </c>
      <c r="D110" t="str">
        <f t="shared" si="2"/>
        <v>z-New Asset</v>
      </c>
      <c r="E110" t="s">
        <v>121</v>
      </c>
      <c r="F110" t="s">
        <v>238</v>
      </c>
      <c r="G110">
        <v>-8.74</v>
      </c>
      <c r="H110">
        <f t="shared" si="3"/>
        <v>201411</v>
      </c>
      <c r="I110">
        <f>MATCH(D110,$O:$O,0)</f>
        <v>36</v>
      </c>
    </row>
    <row r="111" spans="1:9" x14ac:dyDescent="0.25">
      <c r="A111" t="s">
        <v>236</v>
      </c>
      <c r="B111" s="26">
        <v>41946</v>
      </c>
      <c r="C111" t="s">
        <v>282</v>
      </c>
      <c r="D111" t="str">
        <f t="shared" si="2"/>
        <v>z-New Asset</v>
      </c>
      <c r="E111" t="s">
        <v>121</v>
      </c>
      <c r="F111" t="s">
        <v>238</v>
      </c>
      <c r="G111">
        <v>-0.23</v>
      </c>
      <c r="H111">
        <f t="shared" si="3"/>
        <v>201411</v>
      </c>
      <c r="I111">
        <f>MATCH(D111,$O:$O,0)</f>
        <v>36</v>
      </c>
    </row>
    <row r="112" spans="1:9" x14ac:dyDescent="0.25">
      <c r="A112" t="s">
        <v>236</v>
      </c>
      <c r="B112" s="26">
        <v>41947</v>
      </c>
      <c r="C112" t="s">
        <v>270</v>
      </c>
      <c r="D112" t="str">
        <f t="shared" si="2"/>
        <v>Deposits</v>
      </c>
      <c r="E112" t="s">
        <v>271</v>
      </c>
      <c r="F112" t="s">
        <v>238</v>
      </c>
      <c r="G112">
        <v>0.57999999999999996</v>
      </c>
      <c r="H112">
        <f t="shared" si="3"/>
        <v>201411</v>
      </c>
      <c r="I112" t="e">
        <f>MATCH(D112,$O:$O,0)</f>
        <v>#N/A</v>
      </c>
    </row>
    <row r="113" spans="1:10" x14ac:dyDescent="0.25">
      <c r="A113" t="s">
        <v>236</v>
      </c>
      <c r="B113" s="26">
        <v>41947</v>
      </c>
      <c r="C113" t="s">
        <v>249</v>
      </c>
      <c r="D113" t="str">
        <f t="shared" si="2"/>
        <v>Retirement Contributions</v>
      </c>
      <c r="E113" t="s">
        <v>263</v>
      </c>
      <c r="F113" t="s">
        <v>238</v>
      </c>
      <c r="G113">
        <v>527.08000000000004</v>
      </c>
      <c r="H113">
        <f t="shared" si="3"/>
        <v>201411</v>
      </c>
      <c r="I113">
        <f>MATCH(D113,$O:$O,0)</f>
        <v>39</v>
      </c>
    </row>
    <row r="114" spans="1:10" x14ac:dyDescent="0.25">
      <c r="A114" t="s">
        <v>236</v>
      </c>
      <c r="B114" s="26">
        <v>41948</v>
      </c>
      <c r="C114" t="s">
        <v>241</v>
      </c>
      <c r="D114" t="str">
        <f t="shared" si="2"/>
        <v>Parent Support</v>
      </c>
      <c r="E114" t="s">
        <v>61</v>
      </c>
      <c r="F114" t="s">
        <v>238</v>
      </c>
      <c r="G114" s="44">
        <v>-3154.35</v>
      </c>
      <c r="H114">
        <f t="shared" si="3"/>
        <v>201411</v>
      </c>
      <c r="I114">
        <f>MATCH(D114,$O:$O,0)</f>
        <v>24</v>
      </c>
    </row>
    <row r="115" spans="1:10" x14ac:dyDescent="0.25">
      <c r="A115" t="s">
        <v>236</v>
      </c>
      <c r="B115" s="26">
        <v>41950</v>
      </c>
      <c r="C115" t="s">
        <v>284</v>
      </c>
      <c r="D115" t="str">
        <f t="shared" si="2"/>
        <v>Finance Charges</v>
      </c>
      <c r="E115" t="s">
        <v>220</v>
      </c>
      <c r="F115" t="s">
        <v>238</v>
      </c>
      <c r="G115">
        <v>-82.19</v>
      </c>
      <c r="H115">
        <f t="shared" si="3"/>
        <v>201411</v>
      </c>
      <c r="I115">
        <f>MATCH(D115,$O:$O,0)</f>
        <v>35</v>
      </c>
    </row>
    <row r="116" spans="1:10" x14ac:dyDescent="0.25">
      <c r="A116" t="s">
        <v>236</v>
      </c>
      <c r="B116" s="26">
        <v>41950</v>
      </c>
      <c r="C116" t="s">
        <v>283</v>
      </c>
      <c r="D116" t="str">
        <f t="shared" si="2"/>
        <v>z-New Asset</v>
      </c>
      <c r="E116" t="s">
        <v>121</v>
      </c>
      <c r="F116" t="s">
        <v>238</v>
      </c>
      <c r="G116" s="44">
        <v>-3044.38</v>
      </c>
      <c r="H116">
        <f t="shared" si="3"/>
        <v>201411</v>
      </c>
      <c r="I116">
        <f>MATCH(D116,$O:$O,0)</f>
        <v>36</v>
      </c>
    </row>
    <row r="117" spans="1:10" x14ac:dyDescent="0.25">
      <c r="A117" t="s">
        <v>236</v>
      </c>
      <c r="B117" s="26">
        <v>41952</v>
      </c>
      <c r="C117" t="s">
        <v>285</v>
      </c>
      <c r="D117" t="str">
        <f t="shared" si="2"/>
        <v>Newspapers</v>
      </c>
      <c r="E117" t="s">
        <v>35</v>
      </c>
      <c r="F117" t="s">
        <v>238</v>
      </c>
      <c r="G117" s="42">
        <v>-14.99</v>
      </c>
      <c r="H117">
        <f t="shared" si="3"/>
        <v>201411</v>
      </c>
      <c r="I117">
        <f>MATCH(D117,$O:$O,0)</f>
        <v>23</v>
      </c>
      <c r="J117" s="42"/>
    </row>
    <row r="118" spans="1:10" x14ac:dyDescent="0.25">
      <c r="A118" t="s">
        <v>236</v>
      </c>
      <c r="B118" s="26">
        <v>41953</v>
      </c>
      <c r="C118" t="s">
        <v>200</v>
      </c>
      <c r="D118" t="str">
        <f t="shared" si="2"/>
        <v>Interest</v>
      </c>
      <c r="E118" t="s">
        <v>200</v>
      </c>
      <c r="F118" t="s">
        <v>238</v>
      </c>
      <c r="G118">
        <v>0.36</v>
      </c>
      <c r="H118">
        <f t="shared" si="3"/>
        <v>201411</v>
      </c>
      <c r="I118" t="e">
        <f>MATCH(D118,$O:$O,0)</f>
        <v>#N/A</v>
      </c>
    </row>
    <row r="119" spans="1:10" x14ac:dyDescent="0.25">
      <c r="A119" t="s">
        <v>236</v>
      </c>
      <c r="B119" s="26">
        <v>41953</v>
      </c>
      <c r="C119" t="s">
        <v>200</v>
      </c>
      <c r="D119" t="str">
        <f t="shared" si="2"/>
        <v>Interest</v>
      </c>
      <c r="E119" t="s">
        <v>200</v>
      </c>
      <c r="F119" t="s">
        <v>238</v>
      </c>
      <c r="G119">
        <v>4.5199999999999996</v>
      </c>
      <c r="H119">
        <f t="shared" si="3"/>
        <v>201411</v>
      </c>
      <c r="I119" t="e">
        <f>MATCH(D119,$O:$O,0)</f>
        <v>#N/A</v>
      </c>
    </row>
    <row r="120" spans="1:10" x14ac:dyDescent="0.25">
      <c r="A120" t="s">
        <v>236</v>
      </c>
      <c r="B120" s="26">
        <v>41953</v>
      </c>
      <c r="C120" t="s">
        <v>255</v>
      </c>
      <c r="D120" t="str">
        <f t="shared" si="2"/>
        <v>Other Income</v>
      </c>
      <c r="E120" t="s">
        <v>250</v>
      </c>
      <c r="F120" t="s">
        <v>238</v>
      </c>
      <c r="G120">
        <v>0</v>
      </c>
      <c r="H120">
        <f t="shared" si="3"/>
        <v>201411</v>
      </c>
      <c r="I120" t="e">
        <f>MATCH(D120,$O:$O,0)</f>
        <v>#N/A</v>
      </c>
    </row>
    <row r="121" spans="1:10" x14ac:dyDescent="0.25">
      <c r="A121" t="s">
        <v>236</v>
      </c>
      <c r="B121" s="26">
        <v>41953</v>
      </c>
      <c r="C121" t="s">
        <v>255</v>
      </c>
      <c r="D121" t="str">
        <f t="shared" si="2"/>
        <v>Other Income</v>
      </c>
      <c r="E121" t="s">
        <v>250</v>
      </c>
      <c r="F121" t="s">
        <v>238</v>
      </c>
      <c r="G121">
        <v>0</v>
      </c>
      <c r="H121">
        <f t="shared" si="3"/>
        <v>201411</v>
      </c>
      <c r="I121" t="e">
        <f>MATCH(D121,$O:$O,0)</f>
        <v>#N/A</v>
      </c>
    </row>
    <row r="122" spans="1:10" x14ac:dyDescent="0.25">
      <c r="A122" t="s">
        <v>236</v>
      </c>
      <c r="B122" s="26">
        <v>41953</v>
      </c>
      <c r="C122" t="s">
        <v>221</v>
      </c>
      <c r="D122" t="str">
        <f t="shared" si="2"/>
        <v>Tax</v>
      </c>
      <c r="E122" t="s">
        <v>222</v>
      </c>
      <c r="F122" t="s">
        <v>238</v>
      </c>
      <c r="G122">
        <v>-0.1</v>
      </c>
      <c r="H122">
        <f t="shared" si="3"/>
        <v>201411</v>
      </c>
      <c r="I122">
        <f>MATCH(D122,$O:$O,0)</f>
        <v>29</v>
      </c>
    </row>
    <row r="123" spans="1:10" x14ac:dyDescent="0.25">
      <c r="A123" t="s">
        <v>236</v>
      </c>
      <c r="B123" s="26">
        <v>41953</v>
      </c>
      <c r="C123" t="s">
        <v>221</v>
      </c>
      <c r="D123" t="str">
        <f t="shared" si="2"/>
        <v>Tax</v>
      </c>
      <c r="E123" t="s">
        <v>222</v>
      </c>
      <c r="F123" t="s">
        <v>238</v>
      </c>
      <c r="G123" s="42">
        <v>-1.27</v>
      </c>
      <c r="H123">
        <f t="shared" si="3"/>
        <v>201411</v>
      </c>
      <c r="I123">
        <f>MATCH(D123,$O:$O,0)</f>
        <v>29</v>
      </c>
    </row>
    <row r="124" spans="1:10" x14ac:dyDescent="0.25">
      <c r="A124" t="s">
        <v>236</v>
      </c>
      <c r="B124" s="26">
        <v>41955</v>
      </c>
      <c r="C124" t="s">
        <v>229</v>
      </c>
      <c r="D124" t="str">
        <f t="shared" si="2"/>
        <v>Utility</v>
      </c>
      <c r="E124" t="s">
        <v>19</v>
      </c>
      <c r="F124" t="s">
        <v>238</v>
      </c>
      <c r="G124" s="42">
        <v>-59.65</v>
      </c>
      <c r="H124">
        <f t="shared" si="3"/>
        <v>201411</v>
      </c>
      <c r="I124">
        <f>MATCH(D124,$O:$O,0)</f>
        <v>34</v>
      </c>
    </row>
    <row r="125" spans="1:10" x14ac:dyDescent="0.25">
      <c r="A125" t="s">
        <v>236</v>
      </c>
      <c r="B125" s="26">
        <v>41957</v>
      </c>
      <c r="C125" t="s">
        <v>286</v>
      </c>
      <c r="D125" t="str">
        <f t="shared" si="2"/>
        <v>Paychecks/Salary</v>
      </c>
      <c r="E125" t="s">
        <v>261</v>
      </c>
      <c r="F125" t="s">
        <v>238</v>
      </c>
      <c r="G125" s="44">
        <v>3086.59</v>
      </c>
      <c r="H125">
        <f t="shared" si="3"/>
        <v>201411</v>
      </c>
      <c r="I125">
        <f>MATCH(D125,$O:$O,0)</f>
        <v>40</v>
      </c>
    </row>
    <row r="126" spans="1:10" x14ac:dyDescent="0.25">
      <c r="A126" t="s">
        <v>236</v>
      </c>
      <c r="B126" s="26">
        <v>41957</v>
      </c>
      <c r="C126" t="s">
        <v>287</v>
      </c>
      <c r="D126" t="str">
        <f t="shared" si="2"/>
        <v>Public Transit</v>
      </c>
      <c r="E126" t="s">
        <v>90</v>
      </c>
      <c r="F126" t="s">
        <v>238</v>
      </c>
      <c r="G126">
        <v>-12.9</v>
      </c>
      <c r="H126">
        <f t="shared" si="3"/>
        <v>201411</v>
      </c>
      <c r="I126">
        <f>MATCH(D126,$O:$O,0)</f>
        <v>25</v>
      </c>
    </row>
    <row r="127" spans="1:10" x14ac:dyDescent="0.25">
      <c r="A127" t="s">
        <v>236</v>
      </c>
      <c r="B127" s="26">
        <v>41957</v>
      </c>
      <c r="C127" t="s">
        <v>288</v>
      </c>
      <c r="D127" t="str">
        <f t="shared" si="2"/>
        <v>Public Transit</v>
      </c>
      <c r="E127" t="s">
        <v>90</v>
      </c>
      <c r="F127" t="s">
        <v>238</v>
      </c>
      <c r="G127" s="42">
        <v>-0.34</v>
      </c>
      <c r="H127">
        <f t="shared" si="3"/>
        <v>201411</v>
      </c>
      <c r="I127">
        <f>MATCH(D127,$O:$O,0)</f>
        <v>25</v>
      </c>
    </row>
    <row r="128" spans="1:10" x14ac:dyDescent="0.25">
      <c r="A128" t="s">
        <v>236</v>
      </c>
      <c r="B128" s="26">
        <v>41960</v>
      </c>
      <c r="C128" t="s">
        <v>289</v>
      </c>
      <c r="D128" t="str">
        <f t="shared" si="2"/>
        <v>Movies/Software/Online Service</v>
      </c>
      <c r="E128" t="s">
        <v>167</v>
      </c>
      <c r="F128" t="s">
        <v>238</v>
      </c>
      <c r="G128">
        <v>-19.989999999999998</v>
      </c>
      <c r="H128">
        <f t="shared" si="3"/>
        <v>201411</v>
      </c>
      <c r="I128">
        <f>MATCH(D128,$O:$O,0)</f>
        <v>22</v>
      </c>
    </row>
    <row r="129" spans="1:9" x14ac:dyDescent="0.25">
      <c r="A129" t="s">
        <v>236</v>
      </c>
      <c r="B129" s="26">
        <v>41961</v>
      </c>
      <c r="C129" t="s">
        <v>200</v>
      </c>
      <c r="D129" t="str">
        <f t="shared" si="2"/>
        <v>Finance Charges</v>
      </c>
      <c r="E129" t="s">
        <v>169</v>
      </c>
      <c r="F129" t="s">
        <v>238</v>
      </c>
      <c r="G129">
        <v>-5.39</v>
      </c>
      <c r="H129">
        <f t="shared" si="3"/>
        <v>201411</v>
      </c>
      <c r="I129">
        <f>MATCH(D129,$O:$O,0)</f>
        <v>35</v>
      </c>
    </row>
    <row r="130" spans="1:9" x14ac:dyDescent="0.25">
      <c r="A130" t="s">
        <v>236</v>
      </c>
      <c r="B130" s="26">
        <v>41962</v>
      </c>
      <c r="C130" t="s">
        <v>249</v>
      </c>
      <c r="D130" t="str">
        <f t="shared" ref="D130:D193" si="4">IF(ISNA(VLOOKUP(E130,$L$2:$M$26,2,FALSE)),E130,VLOOKUP(E130,$L$2:$M$26,2,FALSE))</f>
        <v>Retirement Contributions</v>
      </c>
      <c r="E130" t="s">
        <v>263</v>
      </c>
      <c r="F130" t="s">
        <v>238</v>
      </c>
      <c r="G130">
        <v>527.08000000000004</v>
      </c>
      <c r="H130">
        <f t="shared" ref="H130:H193" si="5">YEAR(B130)*100+MONTH(B130)</f>
        <v>201411</v>
      </c>
      <c r="I130">
        <f>MATCH(D130,$O:$O,0)</f>
        <v>39</v>
      </c>
    </row>
    <row r="131" spans="1:9" x14ac:dyDescent="0.25">
      <c r="A131" t="s">
        <v>236</v>
      </c>
      <c r="B131" s="26">
        <v>41963</v>
      </c>
      <c r="C131" t="s">
        <v>198</v>
      </c>
      <c r="D131" t="str">
        <f t="shared" si="4"/>
        <v>Car Related</v>
      </c>
      <c r="E131" t="s">
        <v>185</v>
      </c>
      <c r="F131" t="s">
        <v>238</v>
      </c>
      <c r="G131">
        <v>-215.37</v>
      </c>
      <c r="H131">
        <f t="shared" si="5"/>
        <v>201411</v>
      </c>
      <c r="I131">
        <f>MATCH(D131,$O:$O,0)</f>
        <v>31</v>
      </c>
    </row>
    <row r="132" spans="1:9" x14ac:dyDescent="0.25">
      <c r="A132" t="s">
        <v>236</v>
      </c>
      <c r="B132" s="26">
        <v>41963</v>
      </c>
      <c r="C132" t="s">
        <v>294</v>
      </c>
      <c r="D132" t="str">
        <f t="shared" si="4"/>
        <v>D-Coffee</v>
      </c>
      <c r="E132" t="s">
        <v>215</v>
      </c>
      <c r="F132" t="s">
        <v>238</v>
      </c>
      <c r="G132">
        <v>-0.12</v>
      </c>
      <c r="H132">
        <f t="shared" si="5"/>
        <v>201411</v>
      </c>
      <c r="I132">
        <f>MATCH(D132,$O:$O,0)</f>
        <v>7</v>
      </c>
    </row>
    <row r="133" spans="1:9" x14ac:dyDescent="0.25">
      <c r="A133" t="s">
        <v>236</v>
      </c>
      <c r="B133" s="26">
        <v>41963</v>
      </c>
      <c r="C133" t="s">
        <v>296</v>
      </c>
      <c r="D133" t="str">
        <f t="shared" si="4"/>
        <v>D-Coffee</v>
      </c>
      <c r="E133" t="s">
        <v>215</v>
      </c>
      <c r="F133" t="s">
        <v>238</v>
      </c>
      <c r="G133">
        <v>-4.6900000000000004</v>
      </c>
      <c r="H133">
        <f t="shared" si="5"/>
        <v>201411</v>
      </c>
      <c r="I133">
        <f>MATCH(D133,$O:$O,0)</f>
        <v>7</v>
      </c>
    </row>
    <row r="134" spans="1:9" x14ac:dyDescent="0.25">
      <c r="A134" t="s">
        <v>236</v>
      </c>
      <c r="B134" s="26">
        <v>41963</v>
      </c>
      <c r="C134" t="s">
        <v>290</v>
      </c>
      <c r="D134" t="str">
        <f t="shared" si="4"/>
        <v>Finance Charges</v>
      </c>
      <c r="E134" t="s">
        <v>220</v>
      </c>
      <c r="F134" t="s">
        <v>238</v>
      </c>
      <c r="G134">
        <v>-0.61</v>
      </c>
      <c r="H134">
        <f t="shared" si="5"/>
        <v>201411</v>
      </c>
      <c r="I134">
        <f>MATCH(D134,$O:$O,0)</f>
        <v>35</v>
      </c>
    </row>
    <row r="135" spans="1:9" x14ac:dyDescent="0.25">
      <c r="A135" t="s">
        <v>236</v>
      </c>
      <c r="B135" s="26">
        <v>41963</v>
      </c>
      <c r="C135" t="s">
        <v>293</v>
      </c>
      <c r="D135" t="str">
        <f t="shared" si="4"/>
        <v>Taxi and rental</v>
      </c>
      <c r="E135" t="s">
        <v>92</v>
      </c>
      <c r="F135" t="s">
        <v>238</v>
      </c>
      <c r="G135" s="42">
        <v>-0.49</v>
      </c>
      <c r="H135">
        <f t="shared" si="5"/>
        <v>201411</v>
      </c>
      <c r="I135">
        <f>MATCH(D135,$O:$O,0)</f>
        <v>28</v>
      </c>
    </row>
    <row r="136" spans="1:9" x14ac:dyDescent="0.25">
      <c r="A136" t="s">
        <v>236</v>
      </c>
      <c r="B136" s="26">
        <v>41963</v>
      </c>
      <c r="C136" t="s">
        <v>295</v>
      </c>
      <c r="D136" t="str">
        <f t="shared" si="4"/>
        <v>Taxi and rental</v>
      </c>
      <c r="E136" t="s">
        <v>92</v>
      </c>
      <c r="F136" t="s">
        <v>238</v>
      </c>
      <c r="G136">
        <v>-18.38</v>
      </c>
      <c r="H136">
        <f t="shared" si="5"/>
        <v>201411</v>
      </c>
      <c r="I136">
        <f>MATCH(D136,$O:$O,0)</f>
        <v>28</v>
      </c>
    </row>
    <row r="137" spans="1:9" x14ac:dyDescent="0.25">
      <c r="A137" t="s">
        <v>236</v>
      </c>
      <c r="B137" s="26">
        <v>41963</v>
      </c>
      <c r="C137" t="s">
        <v>225</v>
      </c>
      <c r="D137" t="str">
        <f t="shared" si="4"/>
        <v>Transfers</v>
      </c>
      <c r="E137" t="s">
        <v>226</v>
      </c>
      <c r="F137" t="s">
        <v>238</v>
      </c>
      <c r="G137" s="42">
        <v>-0.73</v>
      </c>
      <c r="H137">
        <f t="shared" si="5"/>
        <v>201411</v>
      </c>
      <c r="I137">
        <f>MATCH(D137,$O:$O,0)</f>
        <v>37</v>
      </c>
    </row>
    <row r="138" spans="1:9" x14ac:dyDescent="0.25">
      <c r="A138" t="s">
        <v>236</v>
      </c>
      <c r="B138" s="26">
        <v>41963</v>
      </c>
      <c r="C138" t="s">
        <v>292</v>
      </c>
      <c r="D138" t="str">
        <f t="shared" si="4"/>
        <v>D-Travel</v>
      </c>
      <c r="E138" t="s">
        <v>161</v>
      </c>
      <c r="F138" t="s">
        <v>238</v>
      </c>
      <c r="G138">
        <v>-20.27</v>
      </c>
      <c r="H138">
        <f t="shared" si="5"/>
        <v>201411</v>
      </c>
      <c r="I138">
        <f>MATCH(D138,$O:$O,0)</f>
        <v>10</v>
      </c>
    </row>
    <row r="139" spans="1:9" x14ac:dyDescent="0.25">
      <c r="A139" t="s">
        <v>236</v>
      </c>
      <c r="B139" s="26">
        <v>41963</v>
      </c>
      <c r="C139" t="s">
        <v>291</v>
      </c>
      <c r="D139" t="str">
        <f t="shared" si="4"/>
        <v>Utility</v>
      </c>
      <c r="E139" t="s">
        <v>19</v>
      </c>
      <c r="F139" t="s">
        <v>238</v>
      </c>
      <c r="G139">
        <v>-294.62</v>
      </c>
      <c r="H139">
        <f t="shared" si="5"/>
        <v>201411</v>
      </c>
      <c r="I139">
        <f>MATCH(D139,$O:$O,0)</f>
        <v>34</v>
      </c>
    </row>
    <row r="140" spans="1:9" x14ac:dyDescent="0.25">
      <c r="A140" t="s">
        <v>236</v>
      </c>
      <c r="B140" s="26">
        <v>41964</v>
      </c>
      <c r="C140" t="s">
        <v>270</v>
      </c>
      <c r="D140" t="str">
        <f t="shared" si="4"/>
        <v>Deposits</v>
      </c>
      <c r="E140" t="s">
        <v>271</v>
      </c>
      <c r="F140" t="s">
        <v>238</v>
      </c>
      <c r="G140">
        <v>0.73</v>
      </c>
      <c r="H140">
        <f t="shared" si="5"/>
        <v>201411</v>
      </c>
      <c r="I140" t="e">
        <f>MATCH(D140,$O:$O,0)</f>
        <v>#N/A</v>
      </c>
    </row>
    <row r="141" spans="1:9" x14ac:dyDescent="0.25">
      <c r="A141" t="s">
        <v>236</v>
      </c>
      <c r="B141" s="26">
        <v>41964</v>
      </c>
      <c r="C141" t="s">
        <v>297</v>
      </c>
      <c r="D141" t="str">
        <f t="shared" si="4"/>
        <v>Entertainment</v>
      </c>
      <c r="E141" t="s">
        <v>190</v>
      </c>
      <c r="F141" t="s">
        <v>238</v>
      </c>
      <c r="G141">
        <v>-21.73</v>
      </c>
      <c r="H141">
        <f t="shared" si="5"/>
        <v>201411</v>
      </c>
      <c r="I141" t="e">
        <f>MATCH(D141,$O:$O,0)</f>
        <v>#N/A</v>
      </c>
    </row>
    <row r="142" spans="1:9" x14ac:dyDescent="0.25">
      <c r="A142" t="s">
        <v>236</v>
      </c>
      <c r="B142" s="26">
        <v>41965</v>
      </c>
      <c r="C142" t="s">
        <v>297</v>
      </c>
      <c r="D142" t="str">
        <f t="shared" si="4"/>
        <v>Entertainment</v>
      </c>
      <c r="E142" t="s">
        <v>190</v>
      </c>
      <c r="F142" t="s">
        <v>238</v>
      </c>
      <c r="G142">
        <v>21.73</v>
      </c>
      <c r="H142">
        <f t="shared" si="5"/>
        <v>201411</v>
      </c>
      <c r="I142" t="e">
        <f>MATCH(D142,$O:$O,0)</f>
        <v>#N/A</v>
      </c>
    </row>
    <row r="143" spans="1:9" x14ac:dyDescent="0.25">
      <c r="A143" t="s">
        <v>236</v>
      </c>
      <c r="B143" s="26">
        <v>41966</v>
      </c>
      <c r="C143" t="s">
        <v>298</v>
      </c>
      <c r="D143" t="str">
        <f t="shared" si="4"/>
        <v>D-Travel</v>
      </c>
      <c r="E143" t="s">
        <v>161</v>
      </c>
      <c r="F143" t="s">
        <v>238</v>
      </c>
      <c r="G143">
        <v>-32.24</v>
      </c>
      <c r="H143">
        <f t="shared" si="5"/>
        <v>201411</v>
      </c>
      <c r="I143">
        <f>MATCH(D143,$O:$O,0)</f>
        <v>10</v>
      </c>
    </row>
    <row r="144" spans="1:9" x14ac:dyDescent="0.25">
      <c r="A144" t="s">
        <v>236</v>
      </c>
      <c r="B144" s="26">
        <v>41966</v>
      </c>
      <c r="C144" t="s">
        <v>298</v>
      </c>
      <c r="D144" t="str">
        <f t="shared" si="4"/>
        <v>D-Travel</v>
      </c>
      <c r="E144" t="s">
        <v>161</v>
      </c>
      <c r="F144" t="s">
        <v>238</v>
      </c>
      <c r="G144" s="30">
        <v>-1194.29</v>
      </c>
      <c r="H144">
        <f t="shared" si="5"/>
        <v>201411</v>
      </c>
      <c r="I144">
        <f>MATCH(D144,$O:$O,0)</f>
        <v>10</v>
      </c>
    </row>
    <row r="145" spans="1:9" x14ac:dyDescent="0.25">
      <c r="A145" t="s">
        <v>236</v>
      </c>
      <c r="B145" s="26">
        <v>41970</v>
      </c>
      <c r="C145" t="s">
        <v>303</v>
      </c>
      <c r="D145" t="str">
        <f t="shared" si="4"/>
        <v>Grocery</v>
      </c>
      <c r="E145" t="s">
        <v>89</v>
      </c>
      <c r="F145" t="s">
        <v>238</v>
      </c>
      <c r="G145" s="44">
        <f>-59/7.75</f>
        <v>-7.612903225806452</v>
      </c>
      <c r="H145">
        <f t="shared" si="5"/>
        <v>201411</v>
      </c>
      <c r="I145">
        <f>MATCH(D145,$O:$O,0)</f>
        <v>12</v>
      </c>
    </row>
    <row r="146" spans="1:9" x14ac:dyDescent="0.25">
      <c r="A146" t="s">
        <v>236</v>
      </c>
      <c r="B146" s="26">
        <v>41970</v>
      </c>
      <c r="C146" t="s">
        <v>304</v>
      </c>
      <c r="D146" t="str">
        <f t="shared" si="4"/>
        <v>Grocery</v>
      </c>
      <c r="E146" t="s">
        <v>89</v>
      </c>
      <c r="F146" t="s">
        <v>238</v>
      </c>
      <c r="G146" s="44">
        <f>-15/7.75</f>
        <v>-1.935483870967742</v>
      </c>
      <c r="H146">
        <f t="shared" si="5"/>
        <v>201411</v>
      </c>
      <c r="I146">
        <f>MATCH(D146,$O:$O,0)</f>
        <v>12</v>
      </c>
    </row>
    <row r="147" spans="1:9" x14ac:dyDescent="0.25">
      <c r="A147" t="s">
        <v>236</v>
      </c>
      <c r="B147" s="26">
        <v>41970</v>
      </c>
      <c r="C147" t="s">
        <v>307</v>
      </c>
      <c r="D147" t="str">
        <f t="shared" si="4"/>
        <v>z-New Asset</v>
      </c>
      <c r="E147" t="s">
        <v>121</v>
      </c>
      <c r="F147" t="s">
        <v>238</v>
      </c>
      <c r="G147" s="44">
        <f>-48/7.75</f>
        <v>-6.193548387096774</v>
      </c>
      <c r="H147">
        <f t="shared" si="5"/>
        <v>201411</v>
      </c>
      <c r="I147">
        <f>MATCH(D147,$O:$O,0)</f>
        <v>36</v>
      </c>
    </row>
    <row r="148" spans="1:9" x14ac:dyDescent="0.25">
      <c r="A148" t="s">
        <v>236</v>
      </c>
      <c r="B148" s="26">
        <v>41971</v>
      </c>
      <c r="C148" t="s">
        <v>305</v>
      </c>
      <c r="D148" t="str">
        <f t="shared" si="4"/>
        <v>D-Restaurant</v>
      </c>
      <c r="E148" t="s">
        <v>129</v>
      </c>
      <c r="F148" t="s">
        <v>238</v>
      </c>
      <c r="G148" s="44">
        <v>-123.15</v>
      </c>
      <c r="H148">
        <f t="shared" si="5"/>
        <v>201411</v>
      </c>
      <c r="I148">
        <f>MATCH(D148,$O:$O,0)</f>
        <v>9</v>
      </c>
    </row>
    <row r="149" spans="1:9" x14ac:dyDescent="0.25">
      <c r="A149" t="s">
        <v>236</v>
      </c>
      <c r="B149" s="26">
        <v>41971</v>
      </c>
      <c r="C149" t="s">
        <v>272</v>
      </c>
      <c r="D149" t="str">
        <f t="shared" si="4"/>
        <v>Jeanne</v>
      </c>
      <c r="E149" t="s">
        <v>365</v>
      </c>
      <c r="F149" t="s">
        <v>238</v>
      </c>
      <c r="G149">
        <v>-36.97</v>
      </c>
      <c r="H149">
        <f t="shared" si="5"/>
        <v>201411</v>
      </c>
      <c r="I149" t="e">
        <f>MATCH(D149,$O:$O,0)</f>
        <v>#N/A</v>
      </c>
    </row>
    <row r="150" spans="1:9" x14ac:dyDescent="0.25">
      <c r="A150" t="s">
        <v>236</v>
      </c>
      <c r="B150" s="26">
        <v>41971</v>
      </c>
      <c r="C150" t="s">
        <v>272</v>
      </c>
      <c r="D150" t="str">
        <f t="shared" si="4"/>
        <v>Jeanne</v>
      </c>
      <c r="E150" t="s">
        <v>365</v>
      </c>
      <c r="F150" t="s">
        <v>238</v>
      </c>
      <c r="G150" s="44">
        <v>-1232.27</v>
      </c>
      <c r="H150">
        <f t="shared" si="5"/>
        <v>201411</v>
      </c>
      <c r="I150" t="e">
        <f>MATCH(D150,$O:$O,0)</f>
        <v>#N/A</v>
      </c>
    </row>
    <row r="151" spans="1:9" x14ac:dyDescent="0.25">
      <c r="A151" t="s">
        <v>236</v>
      </c>
      <c r="B151" s="26">
        <v>41971</v>
      </c>
      <c r="C151" t="s">
        <v>366</v>
      </c>
      <c r="D151" t="str">
        <f t="shared" si="4"/>
        <v>Mortgage/Rent</v>
      </c>
      <c r="E151" t="s">
        <v>202</v>
      </c>
      <c r="F151" t="s">
        <v>238</v>
      </c>
      <c r="G151" s="44">
        <v>-3329.45</v>
      </c>
      <c r="H151">
        <f t="shared" si="5"/>
        <v>201411</v>
      </c>
      <c r="I151">
        <f>MATCH(D151,$O:$O,0)</f>
        <v>21</v>
      </c>
    </row>
    <row r="152" spans="1:9" x14ac:dyDescent="0.25">
      <c r="A152" t="s">
        <v>236</v>
      </c>
      <c r="B152" s="26">
        <v>41971</v>
      </c>
      <c r="C152" t="s">
        <v>339</v>
      </c>
      <c r="D152" t="str">
        <f t="shared" si="4"/>
        <v>Salary</v>
      </c>
      <c r="E152" t="s">
        <v>107</v>
      </c>
      <c r="F152" t="s">
        <v>238</v>
      </c>
      <c r="G152" s="44">
        <v>3086.59</v>
      </c>
      <c r="H152">
        <f t="shared" si="5"/>
        <v>201411</v>
      </c>
      <c r="I152" t="e">
        <f>MATCH(D152,$O:$O,0)</f>
        <v>#N/A</v>
      </c>
    </row>
    <row r="153" spans="1:9" x14ac:dyDescent="0.25">
      <c r="A153" t="s">
        <v>236</v>
      </c>
      <c r="B153" s="26">
        <v>41971</v>
      </c>
      <c r="C153" t="s">
        <v>225</v>
      </c>
      <c r="D153" t="str">
        <f t="shared" si="4"/>
        <v>Transfers</v>
      </c>
      <c r="E153" t="s">
        <v>226</v>
      </c>
      <c r="F153" t="s">
        <v>238</v>
      </c>
      <c r="G153" s="42">
        <v>-0.73</v>
      </c>
      <c r="H153">
        <f t="shared" si="5"/>
        <v>201411</v>
      </c>
      <c r="I153">
        <f>MATCH(D153,$O:$O,0)</f>
        <v>37</v>
      </c>
    </row>
    <row r="154" spans="1:9" x14ac:dyDescent="0.25">
      <c r="A154" t="s">
        <v>236</v>
      </c>
      <c r="B154" s="26">
        <v>41972</v>
      </c>
      <c r="C154" t="s">
        <v>306</v>
      </c>
      <c r="D154" t="str">
        <f t="shared" si="4"/>
        <v>Gifts</v>
      </c>
      <c r="E154" t="s">
        <v>40</v>
      </c>
      <c r="F154" t="s">
        <v>238</v>
      </c>
      <c r="G154" s="44">
        <f>-424/7.75</f>
        <v>-54.70967741935484</v>
      </c>
      <c r="H154">
        <f t="shared" si="5"/>
        <v>201411</v>
      </c>
      <c r="I154">
        <f>MATCH(D154,$O:$O,0)</f>
        <v>11</v>
      </c>
    </row>
    <row r="155" spans="1:9" x14ac:dyDescent="0.25">
      <c r="A155" t="s">
        <v>236</v>
      </c>
      <c r="B155" s="26">
        <v>41972</v>
      </c>
      <c r="C155" t="s">
        <v>308</v>
      </c>
      <c r="D155" t="str">
        <f t="shared" si="4"/>
        <v>Paychecks/Salary</v>
      </c>
      <c r="E155" t="s">
        <v>261</v>
      </c>
      <c r="F155" t="s">
        <v>238</v>
      </c>
      <c r="G155">
        <v>3086.59</v>
      </c>
      <c r="H155">
        <f t="shared" si="5"/>
        <v>201411</v>
      </c>
      <c r="I155">
        <f>MATCH(D155,$O:$O,0)</f>
        <v>40</v>
      </c>
    </row>
    <row r="156" spans="1:9" x14ac:dyDescent="0.25">
      <c r="A156" t="s">
        <v>236</v>
      </c>
      <c r="B156" s="26">
        <v>41974</v>
      </c>
      <c r="C156" t="s">
        <v>225</v>
      </c>
      <c r="D156" t="str">
        <f t="shared" si="4"/>
        <v>Transfersz</v>
      </c>
      <c r="E156" t="s">
        <v>369</v>
      </c>
      <c r="F156" t="s">
        <v>238</v>
      </c>
      <c r="G156">
        <v>-3.02</v>
      </c>
      <c r="H156">
        <f t="shared" si="5"/>
        <v>201412</v>
      </c>
      <c r="I156" t="e">
        <f>MATCH(D156,$O:$O,0)</f>
        <v>#N/A</v>
      </c>
    </row>
    <row r="157" spans="1:9" x14ac:dyDescent="0.25">
      <c r="A157" t="s">
        <v>236</v>
      </c>
      <c r="B157" s="26">
        <v>41974</v>
      </c>
      <c r="C157" t="s">
        <v>360</v>
      </c>
      <c r="D157" t="str">
        <f t="shared" si="4"/>
        <v>D-Restaurant</v>
      </c>
      <c r="E157" t="s">
        <v>204</v>
      </c>
      <c r="F157" t="s">
        <v>238</v>
      </c>
      <c r="G157">
        <v>-0.71</v>
      </c>
      <c r="H157">
        <f t="shared" si="5"/>
        <v>201412</v>
      </c>
      <c r="I157">
        <f>MATCH(D157,$O:$O,0)</f>
        <v>9</v>
      </c>
    </row>
    <row r="158" spans="1:9" x14ac:dyDescent="0.25">
      <c r="A158" t="s">
        <v>236</v>
      </c>
      <c r="B158" s="26">
        <v>41974</v>
      </c>
      <c r="C158" t="s">
        <v>361</v>
      </c>
      <c r="D158" t="str">
        <f t="shared" si="4"/>
        <v>D-Restaurant</v>
      </c>
      <c r="E158" t="s">
        <v>204</v>
      </c>
      <c r="F158" t="s">
        <v>238</v>
      </c>
      <c r="G158">
        <v>-1.64</v>
      </c>
      <c r="H158">
        <f t="shared" si="5"/>
        <v>201412</v>
      </c>
      <c r="I158">
        <f>MATCH(D158,$O:$O,0)</f>
        <v>9</v>
      </c>
    </row>
    <row r="159" spans="1:9" x14ac:dyDescent="0.25">
      <c r="A159" t="s">
        <v>236</v>
      </c>
      <c r="B159" s="26">
        <v>41974</v>
      </c>
      <c r="C159" t="s">
        <v>362</v>
      </c>
      <c r="D159" t="str">
        <f t="shared" si="4"/>
        <v>D-Restaurant</v>
      </c>
      <c r="E159" t="s">
        <v>204</v>
      </c>
      <c r="F159" t="s">
        <v>238</v>
      </c>
      <c r="G159">
        <v>-3.69</v>
      </c>
      <c r="H159">
        <f t="shared" si="5"/>
        <v>201412</v>
      </c>
      <c r="I159">
        <f>MATCH(D159,$O:$O,0)</f>
        <v>9</v>
      </c>
    </row>
    <row r="160" spans="1:9" x14ac:dyDescent="0.25">
      <c r="A160" t="s">
        <v>236</v>
      </c>
      <c r="B160" s="26">
        <v>41974</v>
      </c>
      <c r="C160" t="s">
        <v>252</v>
      </c>
      <c r="D160" t="str">
        <f t="shared" si="4"/>
        <v>Grocery</v>
      </c>
      <c r="E160" t="s">
        <v>192</v>
      </c>
      <c r="F160" t="s">
        <v>238</v>
      </c>
      <c r="G160" s="42">
        <v>-7.48</v>
      </c>
      <c r="H160">
        <f t="shared" si="5"/>
        <v>201412</v>
      </c>
      <c r="I160">
        <f>MATCH(D160,$O:$O,0)</f>
        <v>12</v>
      </c>
    </row>
    <row r="161" spans="1:9" x14ac:dyDescent="0.25">
      <c r="A161" t="s">
        <v>236</v>
      </c>
      <c r="B161" s="26">
        <v>41974</v>
      </c>
      <c r="C161" t="s">
        <v>186</v>
      </c>
      <c r="D161" t="str">
        <f t="shared" si="4"/>
        <v>Jeanne</v>
      </c>
      <c r="E161" t="s">
        <v>365</v>
      </c>
      <c r="F161" t="s">
        <v>238</v>
      </c>
      <c r="G161" s="42">
        <v>-500</v>
      </c>
      <c r="H161">
        <f t="shared" si="5"/>
        <v>201412</v>
      </c>
      <c r="I161" t="e">
        <f>MATCH(D161,$O:$O,0)</f>
        <v>#N/A</v>
      </c>
    </row>
    <row r="162" spans="1:9" x14ac:dyDescent="0.25">
      <c r="A162" t="s">
        <v>236</v>
      </c>
      <c r="B162" s="26">
        <v>41974</v>
      </c>
      <c r="C162" t="s">
        <v>186</v>
      </c>
      <c r="D162" t="str">
        <f t="shared" si="4"/>
        <v>Jeanne</v>
      </c>
      <c r="E162" t="s">
        <v>365</v>
      </c>
      <c r="F162" t="s">
        <v>238</v>
      </c>
      <c r="G162">
        <v>-500</v>
      </c>
      <c r="H162">
        <f t="shared" si="5"/>
        <v>201412</v>
      </c>
      <c r="I162" t="e">
        <f>MATCH(D162,$O:$O,0)</f>
        <v>#N/A</v>
      </c>
    </row>
    <row r="163" spans="1:9" x14ac:dyDescent="0.25">
      <c r="A163" t="s">
        <v>236</v>
      </c>
      <c r="B163" s="26">
        <v>41974</v>
      </c>
      <c r="C163" t="s">
        <v>353</v>
      </c>
      <c r="D163" t="str">
        <f t="shared" si="4"/>
        <v>Grocery</v>
      </c>
      <c r="E163" t="s">
        <v>192</v>
      </c>
      <c r="F163" t="s">
        <v>238</v>
      </c>
      <c r="G163">
        <v>-24.81</v>
      </c>
      <c r="H163">
        <f t="shared" si="5"/>
        <v>201412</v>
      </c>
      <c r="I163">
        <f>MATCH(D163,$O:$O,0)</f>
        <v>12</v>
      </c>
    </row>
    <row r="164" spans="1:9" x14ac:dyDescent="0.25">
      <c r="A164" t="s">
        <v>236</v>
      </c>
      <c r="B164" s="26">
        <v>41974</v>
      </c>
      <c r="C164" t="s">
        <v>193</v>
      </c>
      <c r="D164" t="str">
        <f t="shared" si="4"/>
        <v>Grocery</v>
      </c>
      <c r="E164" t="s">
        <v>192</v>
      </c>
      <c r="F164" t="s">
        <v>238</v>
      </c>
      <c r="G164">
        <v>-35.33</v>
      </c>
      <c r="H164">
        <f t="shared" si="5"/>
        <v>201412</v>
      </c>
      <c r="I164">
        <f>MATCH(D164,$O:$O,0)</f>
        <v>12</v>
      </c>
    </row>
    <row r="165" spans="1:9" x14ac:dyDescent="0.25">
      <c r="A165" t="s">
        <v>236</v>
      </c>
      <c r="B165" s="26">
        <v>41974</v>
      </c>
      <c r="C165" t="s">
        <v>363</v>
      </c>
      <c r="D165" t="str">
        <f t="shared" si="4"/>
        <v>Jeanne</v>
      </c>
      <c r="E165" t="s">
        <v>365</v>
      </c>
      <c r="F165" t="s">
        <v>238</v>
      </c>
      <c r="G165">
        <v>-60.9</v>
      </c>
      <c r="H165">
        <f t="shared" si="5"/>
        <v>201412</v>
      </c>
      <c r="I165" t="e">
        <f>MATCH(D165,$O:$O,0)</f>
        <v>#N/A</v>
      </c>
    </row>
    <row r="166" spans="1:9" x14ac:dyDescent="0.25">
      <c r="A166" t="s">
        <v>236</v>
      </c>
      <c r="B166" s="26">
        <v>41974</v>
      </c>
      <c r="C166" t="s">
        <v>194</v>
      </c>
      <c r="D166" t="str">
        <f t="shared" si="4"/>
        <v>Gifts</v>
      </c>
      <c r="E166" t="s">
        <v>40</v>
      </c>
      <c r="F166" t="s">
        <v>238</v>
      </c>
      <c r="G166">
        <v>-200</v>
      </c>
      <c r="H166">
        <f t="shared" si="5"/>
        <v>201412</v>
      </c>
      <c r="I166">
        <f>MATCH(D166,$O:$O,0)</f>
        <v>11</v>
      </c>
    </row>
    <row r="167" spans="1:9" x14ac:dyDescent="0.25">
      <c r="A167" t="s">
        <v>236</v>
      </c>
      <c r="B167" s="26">
        <v>41974</v>
      </c>
      <c r="C167" t="s">
        <v>360</v>
      </c>
      <c r="D167" t="str">
        <f t="shared" si="4"/>
        <v>D-Restaurant</v>
      </c>
      <c r="E167" t="s">
        <v>204</v>
      </c>
      <c r="F167" t="s">
        <v>238</v>
      </c>
      <c r="G167">
        <v>-23.61</v>
      </c>
      <c r="H167">
        <f t="shared" si="5"/>
        <v>201412</v>
      </c>
      <c r="I167">
        <f>MATCH(D167,$O:$O,0)</f>
        <v>9</v>
      </c>
    </row>
    <row r="168" spans="1:9" x14ac:dyDescent="0.25">
      <c r="A168" t="s">
        <v>236</v>
      </c>
      <c r="B168" s="26">
        <v>41974</v>
      </c>
      <c r="C168" t="s">
        <v>361</v>
      </c>
      <c r="D168" t="str">
        <f t="shared" si="4"/>
        <v>Grocery</v>
      </c>
      <c r="E168" t="s">
        <v>192</v>
      </c>
      <c r="F168" t="s">
        <v>238</v>
      </c>
      <c r="G168">
        <v>-54.7</v>
      </c>
      <c r="H168">
        <f t="shared" si="5"/>
        <v>201412</v>
      </c>
      <c r="I168">
        <f>MATCH(D168,$O:$O,0)</f>
        <v>12</v>
      </c>
    </row>
    <row r="169" spans="1:9" x14ac:dyDescent="0.25">
      <c r="A169" t="s">
        <v>236</v>
      </c>
      <c r="B169" s="26">
        <v>41974</v>
      </c>
      <c r="C169" t="s">
        <v>364</v>
      </c>
      <c r="D169" t="str">
        <f t="shared" si="4"/>
        <v>Paychecks/Salary</v>
      </c>
      <c r="E169" t="s">
        <v>261</v>
      </c>
      <c r="F169" t="s">
        <v>238</v>
      </c>
      <c r="G169">
        <v>200</v>
      </c>
      <c r="H169">
        <f t="shared" si="5"/>
        <v>201412</v>
      </c>
      <c r="I169">
        <f>MATCH(D169,$O:$O,0)</f>
        <v>40</v>
      </c>
    </row>
    <row r="170" spans="1:9" x14ac:dyDescent="0.25">
      <c r="A170" t="s">
        <v>236</v>
      </c>
      <c r="B170" s="26">
        <v>41974</v>
      </c>
      <c r="C170" t="s">
        <v>270</v>
      </c>
      <c r="D170" t="str">
        <f t="shared" si="4"/>
        <v>Deposits</v>
      </c>
      <c r="E170" t="s">
        <v>271</v>
      </c>
      <c r="F170" t="s">
        <v>238</v>
      </c>
      <c r="G170">
        <v>0.73</v>
      </c>
      <c r="H170">
        <f t="shared" si="5"/>
        <v>201412</v>
      </c>
      <c r="I170" t="e">
        <f>MATCH(D170,$O:$O,0)</f>
        <v>#N/A</v>
      </c>
    </row>
    <row r="171" spans="1:9" x14ac:dyDescent="0.25">
      <c r="A171" t="s">
        <v>236</v>
      </c>
      <c r="B171" s="26">
        <v>41974</v>
      </c>
      <c r="C171" t="s">
        <v>223</v>
      </c>
      <c r="D171" t="str">
        <f t="shared" si="4"/>
        <v>Cell Phone</v>
      </c>
      <c r="E171" t="s">
        <v>224</v>
      </c>
      <c r="F171" t="s">
        <v>238</v>
      </c>
      <c r="G171" s="42">
        <v>-225.2</v>
      </c>
      <c r="H171">
        <f t="shared" si="5"/>
        <v>201412</v>
      </c>
      <c r="I171">
        <f>MATCH(D171,$O:$O,0)</f>
        <v>4</v>
      </c>
    </row>
    <row r="172" spans="1:9" x14ac:dyDescent="0.25">
      <c r="A172" t="s">
        <v>236</v>
      </c>
      <c r="B172" s="26">
        <v>41975</v>
      </c>
      <c r="C172" t="s">
        <v>225</v>
      </c>
      <c r="D172" t="str">
        <f t="shared" si="4"/>
        <v>Transfersz</v>
      </c>
      <c r="E172" t="s">
        <v>369</v>
      </c>
      <c r="F172" t="s">
        <v>238</v>
      </c>
      <c r="G172" s="42">
        <v>-1.66</v>
      </c>
      <c r="H172">
        <f t="shared" si="5"/>
        <v>201412</v>
      </c>
      <c r="I172" t="e">
        <f>MATCH(D172,$O:$O,0)</f>
        <v>#N/A</v>
      </c>
    </row>
    <row r="173" spans="1:9" x14ac:dyDescent="0.25">
      <c r="A173" t="s">
        <v>236</v>
      </c>
      <c r="B173" s="26">
        <v>41975</v>
      </c>
      <c r="C173" t="s">
        <v>241</v>
      </c>
      <c r="D173" t="str">
        <f t="shared" si="4"/>
        <v>Credit Card Payments</v>
      </c>
      <c r="E173" t="s">
        <v>242</v>
      </c>
      <c r="F173" t="s">
        <v>238</v>
      </c>
      <c r="G173" s="30">
        <v>-3971.03</v>
      </c>
      <c r="H173">
        <f t="shared" si="5"/>
        <v>201412</v>
      </c>
      <c r="I173">
        <f>MATCH(D173,$O:$O,0)</f>
        <v>38</v>
      </c>
    </row>
    <row r="174" spans="1:9" x14ac:dyDescent="0.25">
      <c r="A174" t="s">
        <v>236</v>
      </c>
      <c r="B174" s="26">
        <v>41975</v>
      </c>
      <c r="C174" t="s">
        <v>357</v>
      </c>
      <c r="D174" t="str">
        <f t="shared" si="4"/>
        <v>D-Restaurant</v>
      </c>
      <c r="E174" t="s">
        <v>204</v>
      </c>
      <c r="F174" t="s">
        <v>238</v>
      </c>
      <c r="G174" s="42">
        <v>-6.8</v>
      </c>
      <c r="H174">
        <f t="shared" si="5"/>
        <v>201412</v>
      </c>
      <c r="I174">
        <f>MATCH(D174,$O:$O,0)</f>
        <v>9</v>
      </c>
    </row>
    <row r="175" spans="1:9" x14ac:dyDescent="0.25">
      <c r="A175" t="s">
        <v>236</v>
      </c>
      <c r="B175" s="26">
        <v>41975</v>
      </c>
      <c r="C175" t="s">
        <v>358</v>
      </c>
      <c r="D175" t="str">
        <f t="shared" si="4"/>
        <v>D-Coffee</v>
      </c>
      <c r="E175" t="s">
        <v>215</v>
      </c>
      <c r="F175" t="s">
        <v>238</v>
      </c>
      <c r="G175">
        <v>-2.1</v>
      </c>
      <c r="H175">
        <f t="shared" si="5"/>
        <v>201412</v>
      </c>
      <c r="I175">
        <f>MATCH(D175,$O:$O,0)</f>
        <v>7</v>
      </c>
    </row>
    <row r="176" spans="1:9" x14ac:dyDescent="0.25">
      <c r="A176" t="s">
        <v>236</v>
      </c>
      <c r="B176" s="26">
        <v>41975</v>
      </c>
      <c r="C176" t="s">
        <v>359</v>
      </c>
      <c r="D176" t="str">
        <f t="shared" si="4"/>
        <v>D-Restaurant</v>
      </c>
      <c r="E176" t="s">
        <v>204</v>
      </c>
      <c r="F176" t="s">
        <v>238</v>
      </c>
      <c r="G176">
        <v>-10.44</v>
      </c>
      <c r="H176">
        <f t="shared" si="5"/>
        <v>201412</v>
      </c>
      <c r="I176">
        <f>MATCH(D176,$O:$O,0)</f>
        <v>9</v>
      </c>
    </row>
    <row r="177" spans="1:9" x14ac:dyDescent="0.25">
      <c r="A177" t="s">
        <v>236</v>
      </c>
      <c r="B177" s="26">
        <v>41975</v>
      </c>
      <c r="C177" t="s">
        <v>270</v>
      </c>
      <c r="D177" t="str">
        <f t="shared" si="4"/>
        <v>Deposits</v>
      </c>
      <c r="E177" t="s">
        <v>271</v>
      </c>
      <c r="F177" t="s">
        <v>238</v>
      </c>
      <c r="G177" s="42">
        <v>3.02</v>
      </c>
      <c r="H177">
        <f t="shared" si="5"/>
        <v>201412</v>
      </c>
      <c r="I177" t="e">
        <f>MATCH(D177,$O:$O,0)</f>
        <v>#N/A</v>
      </c>
    </row>
    <row r="178" spans="1:9" x14ac:dyDescent="0.25">
      <c r="A178" t="s">
        <v>236</v>
      </c>
      <c r="B178" s="26">
        <v>41975</v>
      </c>
      <c r="C178" t="s">
        <v>248</v>
      </c>
      <c r="D178" t="str">
        <f t="shared" si="4"/>
        <v>Credit Card Payments</v>
      </c>
      <c r="E178" t="s">
        <v>242</v>
      </c>
      <c r="F178" t="s">
        <v>238</v>
      </c>
      <c r="G178" s="30">
        <v>3971.03</v>
      </c>
      <c r="H178">
        <f t="shared" si="5"/>
        <v>201412</v>
      </c>
      <c r="I178">
        <f>MATCH(D178,$O:$O,0)</f>
        <v>38</v>
      </c>
    </row>
    <row r="179" spans="1:9" x14ac:dyDescent="0.25">
      <c r="A179" t="s">
        <v>236</v>
      </c>
      <c r="B179" s="26">
        <v>41975</v>
      </c>
      <c r="C179" t="s">
        <v>249</v>
      </c>
      <c r="D179" t="str">
        <f t="shared" si="4"/>
        <v>Retirement Contributions</v>
      </c>
      <c r="E179" t="s">
        <v>263</v>
      </c>
      <c r="F179" t="s">
        <v>238</v>
      </c>
      <c r="G179">
        <v>527.08000000000004</v>
      </c>
      <c r="H179">
        <f t="shared" si="5"/>
        <v>201412</v>
      </c>
      <c r="I179">
        <f>MATCH(D179,$O:$O,0)</f>
        <v>39</v>
      </c>
    </row>
    <row r="180" spans="1:9" x14ac:dyDescent="0.25">
      <c r="A180" t="s">
        <v>236</v>
      </c>
      <c r="B180" s="26">
        <v>41976</v>
      </c>
      <c r="C180" t="s">
        <v>270</v>
      </c>
      <c r="D180" t="str">
        <f t="shared" si="4"/>
        <v>Deposits</v>
      </c>
      <c r="E180" t="s">
        <v>271</v>
      </c>
      <c r="F180" t="s">
        <v>238</v>
      </c>
      <c r="G180">
        <v>1.66</v>
      </c>
      <c r="H180">
        <f t="shared" si="5"/>
        <v>201412</v>
      </c>
      <c r="I180" t="e">
        <f>MATCH(D180,$O:$O,0)</f>
        <v>#N/A</v>
      </c>
    </row>
    <row r="181" spans="1:9" x14ac:dyDescent="0.25">
      <c r="A181" t="s">
        <v>236</v>
      </c>
      <c r="B181" s="26">
        <v>41976</v>
      </c>
      <c r="C181" t="s">
        <v>356</v>
      </c>
      <c r="D181" t="str">
        <f t="shared" si="4"/>
        <v>D-Restaurant</v>
      </c>
      <c r="E181" t="s">
        <v>204</v>
      </c>
      <c r="F181" t="s">
        <v>238</v>
      </c>
      <c r="G181">
        <v>-7.05</v>
      </c>
      <c r="H181">
        <f t="shared" si="5"/>
        <v>201412</v>
      </c>
      <c r="I181">
        <f>MATCH(D181,$O:$O,0)</f>
        <v>9</v>
      </c>
    </row>
    <row r="182" spans="1:9" x14ac:dyDescent="0.25">
      <c r="A182" t="s">
        <v>236</v>
      </c>
      <c r="B182" s="26">
        <v>41976</v>
      </c>
      <c r="C182" t="s">
        <v>351</v>
      </c>
      <c r="D182" t="str">
        <f t="shared" si="4"/>
        <v>Home Maintainence/Improvement</v>
      </c>
      <c r="E182" t="s">
        <v>183</v>
      </c>
      <c r="F182" t="s">
        <v>238</v>
      </c>
      <c r="G182">
        <v>-6.52</v>
      </c>
      <c r="H182">
        <f t="shared" si="5"/>
        <v>201412</v>
      </c>
      <c r="I182">
        <f>MATCH(D182,$O:$O,0)</f>
        <v>16</v>
      </c>
    </row>
    <row r="183" spans="1:9" x14ac:dyDescent="0.25">
      <c r="A183" t="s">
        <v>236</v>
      </c>
      <c r="B183" s="26">
        <v>41977</v>
      </c>
      <c r="C183" t="s">
        <v>195</v>
      </c>
      <c r="D183" t="str">
        <f t="shared" si="4"/>
        <v>Property Tax</v>
      </c>
      <c r="E183" t="s">
        <v>177</v>
      </c>
      <c r="F183" t="s">
        <v>238</v>
      </c>
      <c r="G183" s="44">
        <v>-4680.84</v>
      </c>
      <c r="H183">
        <f t="shared" si="5"/>
        <v>201412</v>
      </c>
      <c r="I183">
        <f>MATCH(D183,$O:$O,0)</f>
        <v>15</v>
      </c>
    </row>
    <row r="184" spans="1:9" x14ac:dyDescent="0.25">
      <c r="A184" t="s">
        <v>236</v>
      </c>
      <c r="B184" s="26">
        <v>41977</v>
      </c>
      <c r="C184" t="s">
        <v>239</v>
      </c>
      <c r="D184" t="str">
        <f t="shared" si="4"/>
        <v>Transfers</v>
      </c>
      <c r="E184" t="s">
        <v>226</v>
      </c>
      <c r="F184" t="s">
        <v>238</v>
      </c>
      <c r="G184" s="44">
        <v>100000</v>
      </c>
      <c r="H184">
        <f t="shared" si="5"/>
        <v>201412</v>
      </c>
      <c r="I184">
        <f>MATCH(D184,$O:$O,0)</f>
        <v>37</v>
      </c>
    </row>
    <row r="185" spans="1:9" x14ac:dyDescent="0.25">
      <c r="A185" t="s">
        <v>236</v>
      </c>
      <c r="B185" s="26">
        <v>41977</v>
      </c>
      <c r="C185" t="s">
        <v>239</v>
      </c>
      <c r="D185" t="str">
        <f t="shared" si="4"/>
        <v>Transfers</v>
      </c>
      <c r="E185" t="s">
        <v>226</v>
      </c>
      <c r="F185" t="s">
        <v>238</v>
      </c>
      <c r="G185" s="44">
        <v>-100000</v>
      </c>
      <c r="H185">
        <f t="shared" si="5"/>
        <v>201412</v>
      </c>
      <c r="I185">
        <f>MATCH(D185,$O:$O,0)</f>
        <v>37</v>
      </c>
    </row>
    <row r="186" spans="1:9" x14ac:dyDescent="0.25">
      <c r="A186" t="s">
        <v>236</v>
      </c>
      <c r="B186" s="26">
        <v>41977</v>
      </c>
      <c r="C186" t="s">
        <v>355</v>
      </c>
      <c r="D186" t="str">
        <f t="shared" si="4"/>
        <v>D-Coffee</v>
      </c>
      <c r="E186" t="s">
        <v>215</v>
      </c>
      <c r="F186" t="s">
        <v>238</v>
      </c>
      <c r="G186">
        <v>-2</v>
      </c>
      <c r="H186">
        <f t="shared" si="5"/>
        <v>201412</v>
      </c>
      <c r="I186">
        <f>MATCH(D186,$O:$O,0)</f>
        <v>7</v>
      </c>
    </row>
    <row r="187" spans="1:9" x14ac:dyDescent="0.25">
      <c r="A187" t="s">
        <v>236</v>
      </c>
      <c r="B187" s="26">
        <v>41978</v>
      </c>
      <c r="C187" t="s">
        <v>251</v>
      </c>
      <c r="D187" t="str">
        <f t="shared" si="4"/>
        <v>Transfers</v>
      </c>
      <c r="E187" t="s">
        <v>226</v>
      </c>
      <c r="F187" t="s">
        <v>238</v>
      </c>
      <c r="G187" s="44">
        <v>-100000</v>
      </c>
      <c r="H187">
        <f t="shared" si="5"/>
        <v>201412</v>
      </c>
      <c r="I187">
        <f>MATCH(D187,$O:$O,0)</f>
        <v>37</v>
      </c>
    </row>
    <row r="188" spans="1:9" x14ac:dyDescent="0.25">
      <c r="A188" t="s">
        <v>236</v>
      </c>
      <c r="B188" s="26">
        <v>41978</v>
      </c>
      <c r="C188" t="s">
        <v>354</v>
      </c>
      <c r="D188" t="str">
        <f t="shared" si="4"/>
        <v>D-Restaurant</v>
      </c>
      <c r="E188" t="s">
        <v>204</v>
      </c>
      <c r="F188" t="s">
        <v>238</v>
      </c>
      <c r="G188" s="42">
        <v>-9.0399999999999991</v>
      </c>
      <c r="H188">
        <f t="shared" si="5"/>
        <v>201412</v>
      </c>
      <c r="I188">
        <f>MATCH(D188,$O:$O,0)</f>
        <v>9</v>
      </c>
    </row>
    <row r="189" spans="1:9" x14ac:dyDescent="0.25">
      <c r="A189" t="s">
        <v>236</v>
      </c>
      <c r="B189" s="26">
        <v>41979</v>
      </c>
      <c r="C189" t="s">
        <v>248</v>
      </c>
      <c r="D189" t="str">
        <f t="shared" si="4"/>
        <v>Credit Card Payments</v>
      </c>
      <c r="E189" t="s">
        <v>242</v>
      </c>
      <c r="F189" t="s">
        <v>238</v>
      </c>
      <c r="G189">
        <v>23.68</v>
      </c>
      <c r="H189">
        <f t="shared" si="5"/>
        <v>201412</v>
      </c>
      <c r="I189">
        <f>MATCH(D189,$O:$O,0)</f>
        <v>38</v>
      </c>
    </row>
    <row r="190" spans="1:9" x14ac:dyDescent="0.25">
      <c r="A190" t="s">
        <v>236</v>
      </c>
      <c r="B190" s="26">
        <v>41980</v>
      </c>
      <c r="C190" t="s">
        <v>351</v>
      </c>
      <c r="D190" t="str">
        <f t="shared" si="4"/>
        <v>Home Maintainence/Improvement</v>
      </c>
      <c r="E190" t="s">
        <v>183</v>
      </c>
      <c r="F190" t="s">
        <v>238</v>
      </c>
      <c r="G190" s="42">
        <v>-19.600000000000001</v>
      </c>
      <c r="H190">
        <f t="shared" si="5"/>
        <v>201412</v>
      </c>
      <c r="I190">
        <f>MATCH(D190,$O:$O,0)</f>
        <v>16</v>
      </c>
    </row>
    <row r="191" spans="1:9" x14ac:dyDescent="0.25">
      <c r="A191" t="s">
        <v>236</v>
      </c>
      <c r="B191" s="26">
        <v>41980</v>
      </c>
      <c r="C191" t="s">
        <v>289</v>
      </c>
      <c r="D191" t="str">
        <f t="shared" si="4"/>
        <v>Gifts</v>
      </c>
      <c r="E191" t="s">
        <v>40</v>
      </c>
      <c r="F191" t="s">
        <v>238</v>
      </c>
      <c r="G191">
        <v>-272.39999999999998</v>
      </c>
      <c r="H191">
        <f t="shared" si="5"/>
        <v>201412</v>
      </c>
      <c r="I191">
        <f>MATCH(D191,$O:$O,0)</f>
        <v>11</v>
      </c>
    </row>
    <row r="192" spans="1:9" x14ac:dyDescent="0.25">
      <c r="A192" t="s">
        <v>236</v>
      </c>
      <c r="B192" s="26">
        <v>41980</v>
      </c>
      <c r="C192" t="s">
        <v>352</v>
      </c>
      <c r="D192" t="str">
        <f t="shared" si="4"/>
        <v>D-Restaurant</v>
      </c>
      <c r="E192" t="s">
        <v>204</v>
      </c>
      <c r="F192" t="s">
        <v>238</v>
      </c>
      <c r="G192">
        <v>-7.41</v>
      </c>
      <c r="H192">
        <f t="shared" si="5"/>
        <v>201412</v>
      </c>
      <c r="I192">
        <f>MATCH(D192,$O:$O,0)</f>
        <v>9</v>
      </c>
    </row>
    <row r="193" spans="1:9" x14ac:dyDescent="0.25">
      <c r="A193" t="s">
        <v>236</v>
      </c>
      <c r="B193" s="26">
        <v>41980</v>
      </c>
      <c r="C193" t="s">
        <v>310</v>
      </c>
      <c r="D193" t="str">
        <f t="shared" si="4"/>
        <v>Gas</v>
      </c>
      <c r="E193" t="s">
        <v>311</v>
      </c>
      <c r="F193" t="s">
        <v>238</v>
      </c>
      <c r="G193">
        <v>-30.91</v>
      </c>
      <c r="H193">
        <f t="shared" si="5"/>
        <v>201412</v>
      </c>
      <c r="I193">
        <f>MATCH(D193,$O:$O,0)</f>
        <v>30</v>
      </c>
    </row>
    <row r="194" spans="1:9" x14ac:dyDescent="0.25">
      <c r="A194" t="s">
        <v>236</v>
      </c>
      <c r="B194" s="26">
        <v>41980</v>
      </c>
      <c r="C194" t="s">
        <v>289</v>
      </c>
      <c r="D194" t="str">
        <f t="shared" ref="D194:D257" si="6">IF(ISNA(VLOOKUP(E194,$L$2:$M$26,2,FALSE)),E194,VLOOKUP(E194,$L$2:$M$26,2,FALSE))</f>
        <v>Grocery</v>
      </c>
      <c r="E194" t="s">
        <v>192</v>
      </c>
      <c r="F194" t="s">
        <v>238</v>
      </c>
      <c r="G194">
        <v>-17.77</v>
      </c>
      <c r="H194">
        <f t="shared" ref="H194:H257" si="7">YEAR(B194)*100+MONTH(B194)</f>
        <v>201412</v>
      </c>
      <c r="I194">
        <f>MATCH(D194,$O:$O,0)</f>
        <v>12</v>
      </c>
    </row>
    <row r="195" spans="1:9" x14ac:dyDescent="0.25">
      <c r="A195" t="s">
        <v>236</v>
      </c>
      <c r="B195" s="26">
        <v>41980</v>
      </c>
      <c r="C195" t="s">
        <v>353</v>
      </c>
      <c r="D195" t="str">
        <f t="shared" si="6"/>
        <v>Grocery</v>
      </c>
      <c r="E195" t="s">
        <v>192</v>
      </c>
      <c r="F195" t="s">
        <v>238</v>
      </c>
      <c r="G195">
        <v>-8.17</v>
      </c>
      <c r="H195">
        <f t="shared" si="7"/>
        <v>201412</v>
      </c>
      <c r="I195">
        <f>MATCH(D195,$O:$O,0)</f>
        <v>12</v>
      </c>
    </row>
    <row r="196" spans="1:9" x14ac:dyDescent="0.25">
      <c r="A196" t="s">
        <v>236</v>
      </c>
      <c r="B196" s="26">
        <v>41980</v>
      </c>
      <c r="C196" t="s">
        <v>193</v>
      </c>
      <c r="D196" t="str">
        <f t="shared" si="6"/>
        <v>Grocery</v>
      </c>
      <c r="E196" t="s">
        <v>192</v>
      </c>
      <c r="F196" t="s">
        <v>238</v>
      </c>
      <c r="G196">
        <v>-102.38</v>
      </c>
      <c r="H196">
        <f t="shared" si="7"/>
        <v>201412</v>
      </c>
      <c r="I196">
        <f>MATCH(D196,$O:$O,0)</f>
        <v>12</v>
      </c>
    </row>
    <row r="197" spans="1:9" x14ac:dyDescent="0.25">
      <c r="A197" t="s">
        <v>236</v>
      </c>
      <c r="B197" s="26">
        <v>41980</v>
      </c>
      <c r="C197" t="s">
        <v>252</v>
      </c>
      <c r="D197" t="str">
        <f t="shared" si="6"/>
        <v>Grocery</v>
      </c>
      <c r="E197" t="s">
        <v>192</v>
      </c>
      <c r="F197" t="s">
        <v>238</v>
      </c>
      <c r="G197">
        <v>-10.08</v>
      </c>
      <c r="H197">
        <f t="shared" si="7"/>
        <v>201412</v>
      </c>
      <c r="I197">
        <f>MATCH(D197,$O:$O,0)</f>
        <v>12</v>
      </c>
    </row>
    <row r="198" spans="1:9" x14ac:dyDescent="0.25">
      <c r="A198" t="s">
        <v>236</v>
      </c>
      <c r="B198" s="26">
        <v>41981</v>
      </c>
      <c r="C198" t="s">
        <v>241</v>
      </c>
      <c r="D198" t="str">
        <f t="shared" si="6"/>
        <v>Credit Card Payments</v>
      </c>
      <c r="E198" t="s">
        <v>242</v>
      </c>
      <c r="F198" t="s">
        <v>238</v>
      </c>
      <c r="G198">
        <v>-23.68</v>
      </c>
      <c r="H198">
        <f t="shared" si="7"/>
        <v>201412</v>
      </c>
      <c r="I198">
        <f>MATCH(D198,$O:$O,0)</f>
        <v>38</v>
      </c>
    </row>
    <row r="199" spans="1:9" x14ac:dyDescent="0.25">
      <c r="A199" t="s">
        <v>236</v>
      </c>
      <c r="B199" s="26">
        <v>41981</v>
      </c>
      <c r="C199" t="s">
        <v>252</v>
      </c>
      <c r="D199" t="str">
        <f t="shared" si="6"/>
        <v>Grocery</v>
      </c>
      <c r="E199" t="s">
        <v>192</v>
      </c>
      <c r="F199" t="s">
        <v>238</v>
      </c>
      <c r="G199" s="42">
        <v>-13.07</v>
      </c>
      <c r="H199">
        <f t="shared" si="7"/>
        <v>201412</v>
      </c>
      <c r="I199">
        <f>MATCH(D199,$O:$O,0)</f>
        <v>12</v>
      </c>
    </row>
    <row r="200" spans="1:9" x14ac:dyDescent="0.25">
      <c r="A200" t="s">
        <v>236</v>
      </c>
      <c r="B200" s="26">
        <v>41981</v>
      </c>
      <c r="C200" t="s">
        <v>350</v>
      </c>
      <c r="D200" t="str">
        <f t="shared" si="6"/>
        <v>D-Restaurant</v>
      </c>
      <c r="E200" t="s">
        <v>204</v>
      </c>
      <c r="F200" t="s">
        <v>238</v>
      </c>
      <c r="G200">
        <v>-10.17</v>
      </c>
      <c r="H200">
        <f t="shared" si="7"/>
        <v>201412</v>
      </c>
      <c r="I200">
        <f>MATCH(D200,$O:$O,0)</f>
        <v>9</v>
      </c>
    </row>
    <row r="201" spans="1:9" x14ac:dyDescent="0.25">
      <c r="A201" t="s">
        <v>236</v>
      </c>
      <c r="B201" s="26">
        <v>41982</v>
      </c>
      <c r="C201" t="s">
        <v>186</v>
      </c>
      <c r="D201" t="str">
        <f t="shared" si="6"/>
        <v>Grocery</v>
      </c>
      <c r="E201" t="s">
        <v>192</v>
      </c>
      <c r="F201" t="s">
        <v>238</v>
      </c>
      <c r="G201">
        <v>-40</v>
      </c>
      <c r="H201">
        <f t="shared" si="7"/>
        <v>201412</v>
      </c>
      <c r="I201">
        <f>MATCH(D201,$O:$O,0)</f>
        <v>12</v>
      </c>
    </row>
    <row r="202" spans="1:9" x14ac:dyDescent="0.25">
      <c r="A202" t="s">
        <v>236</v>
      </c>
      <c r="B202" s="26">
        <v>41982</v>
      </c>
      <c r="C202" t="s">
        <v>246</v>
      </c>
      <c r="D202" t="str">
        <f t="shared" si="6"/>
        <v>D-Restaurant</v>
      </c>
      <c r="E202" t="s">
        <v>204</v>
      </c>
      <c r="F202" t="s">
        <v>238</v>
      </c>
      <c r="G202">
        <v>-10.82</v>
      </c>
      <c r="H202">
        <f t="shared" si="7"/>
        <v>201412</v>
      </c>
      <c r="I202">
        <f>MATCH(D202,$O:$O,0)</f>
        <v>9</v>
      </c>
    </row>
    <row r="203" spans="1:9" x14ac:dyDescent="0.25">
      <c r="A203" t="s">
        <v>236</v>
      </c>
      <c r="B203" s="26">
        <v>41982</v>
      </c>
      <c r="C203" t="s">
        <v>289</v>
      </c>
      <c r="D203" t="str">
        <f t="shared" si="6"/>
        <v>Grocery</v>
      </c>
      <c r="E203" t="s">
        <v>192</v>
      </c>
      <c r="F203" t="s">
        <v>238</v>
      </c>
      <c r="G203">
        <v>-10.89</v>
      </c>
      <c r="H203">
        <f t="shared" si="7"/>
        <v>201412</v>
      </c>
      <c r="I203">
        <f>MATCH(D203,$O:$O,0)</f>
        <v>12</v>
      </c>
    </row>
    <row r="204" spans="1:9" x14ac:dyDescent="0.25">
      <c r="A204" t="s">
        <v>236</v>
      </c>
      <c r="B204" s="26">
        <v>41982</v>
      </c>
      <c r="C204" t="s">
        <v>349</v>
      </c>
      <c r="D204" t="str">
        <f t="shared" si="6"/>
        <v>Newspapers</v>
      </c>
      <c r="E204" t="s">
        <v>35</v>
      </c>
      <c r="F204" t="s">
        <v>238</v>
      </c>
      <c r="G204">
        <v>-14.99</v>
      </c>
      <c r="H204">
        <f t="shared" si="7"/>
        <v>201412</v>
      </c>
      <c r="I204">
        <f>MATCH(D204,$O:$O,0)</f>
        <v>23</v>
      </c>
    </row>
    <row r="205" spans="1:9" x14ac:dyDescent="0.25">
      <c r="A205" t="s">
        <v>236</v>
      </c>
      <c r="B205" s="26">
        <v>41983</v>
      </c>
      <c r="C205" t="s">
        <v>340</v>
      </c>
      <c r="D205" t="str">
        <f t="shared" si="6"/>
        <v>Parking</v>
      </c>
      <c r="E205" t="s">
        <v>170</v>
      </c>
      <c r="F205" t="s">
        <v>238</v>
      </c>
      <c r="G205">
        <v>-8</v>
      </c>
      <c r="H205">
        <f t="shared" si="7"/>
        <v>201412</v>
      </c>
      <c r="I205">
        <f>MATCH(D205,$O:$O,0)</f>
        <v>32</v>
      </c>
    </row>
    <row r="206" spans="1:9" x14ac:dyDescent="0.25">
      <c r="A206" t="s">
        <v>236</v>
      </c>
      <c r="B206" s="26">
        <v>41983</v>
      </c>
      <c r="C206" t="s">
        <v>193</v>
      </c>
      <c r="D206" t="str">
        <f t="shared" si="6"/>
        <v>Grocery</v>
      </c>
      <c r="E206" t="s">
        <v>192</v>
      </c>
      <c r="F206" t="s">
        <v>238</v>
      </c>
      <c r="G206">
        <v>-78.010000000000005</v>
      </c>
      <c r="H206">
        <f t="shared" si="7"/>
        <v>201412</v>
      </c>
      <c r="I206">
        <f>MATCH(D206,$O:$O,0)</f>
        <v>12</v>
      </c>
    </row>
    <row r="207" spans="1:9" x14ac:dyDescent="0.25">
      <c r="A207" t="s">
        <v>236</v>
      </c>
      <c r="B207" s="26">
        <v>41983</v>
      </c>
      <c r="C207" t="s">
        <v>347</v>
      </c>
      <c r="D207" t="str">
        <f t="shared" si="6"/>
        <v>D-Coffee</v>
      </c>
      <c r="E207" t="s">
        <v>215</v>
      </c>
      <c r="F207" t="s">
        <v>238</v>
      </c>
      <c r="G207">
        <v>-3</v>
      </c>
      <c r="H207">
        <f t="shared" si="7"/>
        <v>201412</v>
      </c>
      <c r="I207">
        <f>MATCH(D207,$O:$O,0)</f>
        <v>7</v>
      </c>
    </row>
    <row r="208" spans="1:9" x14ac:dyDescent="0.25">
      <c r="A208" t="s">
        <v>236</v>
      </c>
      <c r="B208" s="26">
        <v>41983</v>
      </c>
      <c r="C208" t="s">
        <v>348</v>
      </c>
      <c r="D208" t="str">
        <f t="shared" si="6"/>
        <v>D-Restaurant</v>
      </c>
      <c r="E208" t="s">
        <v>204</v>
      </c>
      <c r="F208" t="s">
        <v>238</v>
      </c>
      <c r="G208">
        <v>-50</v>
      </c>
      <c r="H208">
        <f t="shared" si="7"/>
        <v>201412</v>
      </c>
      <c r="I208">
        <f>MATCH(D208,$O:$O,0)</f>
        <v>9</v>
      </c>
    </row>
    <row r="209" spans="1:9" x14ac:dyDescent="0.25">
      <c r="A209" t="s">
        <v>236</v>
      </c>
      <c r="B209" s="26">
        <v>41983</v>
      </c>
      <c r="C209" t="s">
        <v>334</v>
      </c>
      <c r="D209" t="str">
        <f t="shared" si="6"/>
        <v>Public Transit</v>
      </c>
      <c r="E209" t="s">
        <v>90</v>
      </c>
      <c r="F209" t="s">
        <v>238</v>
      </c>
      <c r="G209">
        <v>-20</v>
      </c>
      <c r="H209">
        <f t="shared" si="7"/>
        <v>201412</v>
      </c>
      <c r="I209">
        <f>MATCH(D209,$O:$O,0)</f>
        <v>25</v>
      </c>
    </row>
    <row r="210" spans="1:9" x14ac:dyDescent="0.25">
      <c r="A210" t="s">
        <v>236</v>
      </c>
      <c r="B210" s="26">
        <v>41984</v>
      </c>
      <c r="C210" t="s">
        <v>239</v>
      </c>
      <c r="D210" t="str">
        <f t="shared" si="6"/>
        <v>Transfers</v>
      </c>
      <c r="E210" t="s">
        <v>226</v>
      </c>
      <c r="F210" t="s">
        <v>238</v>
      </c>
      <c r="G210" s="44">
        <v>20000</v>
      </c>
      <c r="H210">
        <f t="shared" si="7"/>
        <v>201412</v>
      </c>
      <c r="I210">
        <f>MATCH(D210,$O:$O,0)</f>
        <v>37</v>
      </c>
    </row>
    <row r="211" spans="1:9" x14ac:dyDescent="0.25">
      <c r="A211" t="s">
        <v>236</v>
      </c>
      <c r="B211" s="26">
        <v>41984</v>
      </c>
      <c r="C211" t="s">
        <v>239</v>
      </c>
      <c r="D211" t="str">
        <f t="shared" si="6"/>
        <v>Transfers</v>
      </c>
      <c r="E211" t="s">
        <v>226</v>
      </c>
      <c r="F211" t="s">
        <v>238</v>
      </c>
      <c r="G211" s="44">
        <v>-20000</v>
      </c>
      <c r="H211">
        <f t="shared" si="7"/>
        <v>201412</v>
      </c>
      <c r="I211">
        <f>MATCH(D211,$O:$O,0)</f>
        <v>37</v>
      </c>
    </row>
    <row r="212" spans="1:9" x14ac:dyDescent="0.25">
      <c r="A212" t="s">
        <v>236</v>
      </c>
      <c r="B212" s="26">
        <v>41984</v>
      </c>
      <c r="C212" t="s">
        <v>194</v>
      </c>
      <c r="D212" t="str">
        <f t="shared" si="6"/>
        <v>Home Maintainence/Improvement</v>
      </c>
      <c r="E212" t="s">
        <v>183</v>
      </c>
      <c r="F212" t="s">
        <v>238</v>
      </c>
      <c r="G212">
        <v>-100.04</v>
      </c>
      <c r="H212">
        <f t="shared" si="7"/>
        <v>201412</v>
      </c>
      <c r="I212">
        <f>MATCH(D212,$O:$O,0)</f>
        <v>16</v>
      </c>
    </row>
    <row r="213" spans="1:9" x14ac:dyDescent="0.25">
      <c r="A213" t="s">
        <v>236</v>
      </c>
      <c r="B213" s="26">
        <v>41984</v>
      </c>
      <c r="C213" t="s">
        <v>346</v>
      </c>
      <c r="D213" t="str">
        <f t="shared" si="6"/>
        <v>D-Restaurant</v>
      </c>
      <c r="E213" t="s">
        <v>129</v>
      </c>
      <c r="F213" t="s">
        <v>238</v>
      </c>
      <c r="G213">
        <v>-88.41</v>
      </c>
      <c r="H213">
        <f t="shared" si="7"/>
        <v>201412</v>
      </c>
      <c r="I213">
        <f>MATCH(D213,$O:$O,0)</f>
        <v>9</v>
      </c>
    </row>
    <row r="214" spans="1:9" x14ac:dyDescent="0.25">
      <c r="A214" t="s">
        <v>236</v>
      </c>
      <c r="B214" s="26">
        <v>41984</v>
      </c>
      <c r="C214" t="s">
        <v>289</v>
      </c>
      <c r="D214" t="str">
        <f t="shared" si="6"/>
        <v>Grocery</v>
      </c>
      <c r="E214" t="s">
        <v>192</v>
      </c>
      <c r="F214" t="s">
        <v>238</v>
      </c>
      <c r="G214">
        <v>10.89</v>
      </c>
      <c r="H214">
        <f t="shared" si="7"/>
        <v>201412</v>
      </c>
      <c r="I214">
        <f>MATCH(D214,$O:$O,0)</f>
        <v>12</v>
      </c>
    </row>
    <row r="215" spans="1:9" x14ac:dyDescent="0.25">
      <c r="A215" t="s">
        <v>236</v>
      </c>
      <c r="B215" s="26">
        <v>41984</v>
      </c>
      <c r="C215" t="s">
        <v>193</v>
      </c>
      <c r="D215" t="str">
        <f t="shared" si="6"/>
        <v>Home Maintainence/Improvement</v>
      </c>
      <c r="E215" t="s">
        <v>183</v>
      </c>
      <c r="F215" t="s">
        <v>238</v>
      </c>
      <c r="G215">
        <v>-277.77</v>
      </c>
      <c r="H215">
        <f t="shared" si="7"/>
        <v>201412</v>
      </c>
      <c r="I215">
        <f>MATCH(D215,$O:$O,0)</f>
        <v>16</v>
      </c>
    </row>
    <row r="216" spans="1:9" x14ac:dyDescent="0.25">
      <c r="A216" t="s">
        <v>236</v>
      </c>
      <c r="B216" s="26">
        <v>41985</v>
      </c>
      <c r="C216" t="s">
        <v>200</v>
      </c>
      <c r="D216" t="str">
        <f t="shared" si="6"/>
        <v>Interest</v>
      </c>
      <c r="E216" t="s">
        <v>200</v>
      </c>
      <c r="F216" t="s">
        <v>238</v>
      </c>
      <c r="G216">
        <v>0.28999999999999998</v>
      </c>
      <c r="H216">
        <f t="shared" si="7"/>
        <v>201412</v>
      </c>
      <c r="I216" t="e">
        <f>MATCH(D216,$O:$O,0)</f>
        <v>#N/A</v>
      </c>
    </row>
    <row r="217" spans="1:9" x14ac:dyDescent="0.25">
      <c r="A217" t="s">
        <v>236</v>
      </c>
      <c r="B217" s="26">
        <v>41985</v>
      </c>
      <c r="C217" t="s">
        <v>200</v>
      </c>
      <c r="D217" t="str">
        <f t="shared" si="6"/>
        <v>Interest</v>
      </c>
      <c r="E217" t="s">
        <v>200</v>
      </c>
      <c r="F217" t="s">
        <v>238</v>
      </c>
      <c r="G217">
        <v>5.04</v>
      </c>
      <c r="H217">
        <f t="shared" si="7"/>
        <v>201412</v>
      </c>
      <c r="I217" t="e">
        <f>MATCH(D217,$O:$O,0)</f>
        <v>#N/A</v>
      </c>
    </row>
    <row r="218" spans="1:9" x14ac:dyDescent="0.25">
      <c r="A218" t="s">
        <v>236</v>
      </c>
      <c r="B218" s="26">
        <v>41985</v>
      </c>
      <c r="C218" t="s">
        <v>221</v>
      </c>
      <c r="D218" t="str">
        <f t="shared" si="6"/>
        <v>Tax</v>
      </c>
      <c r="E218" t="s">
        <v>222</v>
      </c>
      <c r="F218" t="s">
        <v>238</v>
      </c>
      <c r="G218" s="42">
        <v>-0.08</v>
      </c>
      <c r="H218">
        <f t="shared" si="7"/>
        <v>201412</v>
      </c>
      <c r="I218">
        <f>MATCH(D218,$O:$O,0)</f>
        <v>29</v>
      </c>
    </row>
    <row r="219" spans="1:9" x14ac:dyDescent="0.25">
      <c r="A219" t="s">
        <v>236</v>
      </c>
      <c r="B219" s="26">
        <v>41985</v>
      </c>
      <c r="C219" t="s">
        <v>221</v>
      </c>
      <c r="D219" t="str">
        <f t="shared" si="6"/>
        <v>Tax</v>
      </c>
      <c r="E219" t="s">
        <v>222</v>
      </c>
      <c r="F219" t="s">
        <v>238</v>
      </c>
      <c r="G219" s="42">
        <v>-1.41</v>
      </c>
      <c r="H219">
        <f t="shared" si="7"/>
        <v>201412</v>
      </c>
      <c r="I219">
        <f>MATCH(D219,$O:$O,0)</f>
        <v>29</v>
      </c>
    </row>
    <row r="220" spans="1:9" x14ac:dyDescent="0.25">
      <c r="A220" t="s">
        <v>236</v>
      </c>
      <c r="B220" s="26">
        <v>41986</v>
      </c>
      <c r="C220" t="s">
        <v>344</v>
      </c>
      <c r="D220" t="str">
        <f t="shared" si="6"/>
        <v>D-Coffee</v>
      </c>
      <c r="E220" t="s">
        <v>215</v>
      </c>
      <c r="F220" t="s">
        <v>238</v>
      </c>
      <c r="G220" s="42">
        <v>-3</v>
      </c>
      <c r="H220">
        <f t="shared" si="7"/>
        <v>201412</v>
      </c>
      <c r="I220">
        <f>MATCH(D220,$O:$O,0)</f>
        <v>7</v>
      </c>
    </row>
    <row r="221" spans="1:9" x14ac:dyDescent="0.25">
      <c r="A221" t="s">
        <v>236</v>
      </c>
      <c r="B221" s="26">
        <v>41986</v>
      </c>
      <c r="C221" t="s">
        <v>345</v>
      </c>
      <c r="D221" t="str">
        <f t="shared" si="6"/>
        <v>D-Restaurant</v>
      </c>
      <c r="E221" t="s">
        <v>204</v>
      </c>
      <c r="F221" t="s">
        <v>238</v>
      </c>
      <c r="G221" s="42">
        <v>-77.650000000000006</v>
      </c>
      <c r="H221">
        <f t="shared" si="7"/>
        <v>201412</v>
      </c>
      <c r="I221">
        <f>MATCH(D221,$O:$O,0)</f>
        <v>9</v>
      </c>
    </row>
    <row r="222" spans="1:9" x14ac:dyDescent="0.25">
      <c r="A222" t="s">
        <v>236</v>
      </c>
      <c r="B222" s="26">
        <v>41986</v>
      </c>
      <c r="C222" t="s">
        <v>289</v>
      </c>
      <c r="D222" t="str">
        <f t="shared" si="6"/>
        <v>Movies/Software/Online Service</v>
      </c>
      <c r="E222" t="s">
        <v>167</v>
      </c>
      <c r="F222" t="s">
        <v>238</v>
      </c>
      <c r="G222" s="42">
        <v>-3.99</v>
      </c>
      <c r="H222">
        <f t="shared" si="7"/>
        <v>201412</v>
      </c>
      <c r="I222">
        <f>MATCH(D222,$O:$O,0)</f>
        <v>22</v>
      </c>
    </row>
    <row r="223" spans="1:9" x14ac:dyDescent="0.25">
      <c r="A223" t="s">
        <v>236</v>
      </c>
      <c r="B223" s="26">
        <v>41987</v>
      </c>
      <c r="C223" t="s">
        <v>341</v>
      </c>
      <c r="D223" t="str">
        <f t="shared" si="6"/>
        <v>Home Maintainence/Improvement</v>
      </c>
      <c r="E223" t="s">
        <v>342</v>
      </c>
      <c r="F223" t="s">
        <v>238</v>
      </c>
      <c r="G223">
        <v>-12.28</v>
      </c>
      <c r="H223">
        <f t="shared" si="7"/>
        <v>201412</v>
      </c>
      <c r="I223">
        <f>MATCH(D223,$O:$O,0)</f>
        <v>16</v>
      </c>
    </row>
    <row r="224" spans="1:9" x14ac:dyDescent="0.25">
      <c r="A224" t="s">
        <v>236</v>
      </c>
      <c r="B224" s="26">
        <v>41987</v>
      </c>
      <c r="C224" t="s">
        <v>341</v>
      </c>
      <c r="D224" t="str">
        <f t="shared" si="6"/>
        <v>Home Maintainence/Improvement</v>
      </c>
      <c r="E224" t="s">
        <v>342</v>
      </c>
      <c r="F224" t="s">
        <v>238</v>
      </c>
      <c r="G224" s="42">
        <v>-107.35</v>
      </c>
      <c r="H224">
        <f t="shared" si="7"/>
        <v>201412</v>
      </c>
      <c r="I224">
        <f>MATCH(D224,$O:$O,0)</f>
        <v>16</v>
      </c>
    </row>
    <row r="225" spans="1:9" x14ac:dyDescent="0.25">
      <c r="A225" t="s">
        <v>236</v>
      </c>
      <c r="B225" s="26">
        <v>41987</v>
      </c>
      <c r="C225" t="s">
        <v>343</v>
      </c>
      <c r="D225" t="str">
        <f t="shared" si="6"/>
        <v>D-Restaurant</v>
      </c>
      <c r="E225" t="s">
        <v>204</v>
      </c>
      <c r="F225" t="s">
        <v>238</v>
      </c>
      <c r="G225" s="42">
        <v>-90.66</v>
      </c>
      <c r="H225">
        <f t="shared" si="7"/>
        <v>201412</v>
      </c>
      <c r="I225">
        <f>MATCH(D225,$O:$O,0)</f>
        <v>9</v>
      </c>
    </row>
    <row r="226" spans="1:9" x14ac:dyDescent="0.25">
      <c r="A226" t="s">
        <v>236</v>
      </c>
      <c r="B226" s="26">
        <v>41988</v>
      </c>
      <c r="C226" t="s">
        <v>229</v>
      </c>
      <c r="D226" t="str">
        <f t="shared" si="6"/>
        <v>Utility</v>
      </c>
      <c r="E226" t="s">
        <v>19</v>
      </c>
      <c r="F226" t="s">
        <v>238</v>
      </c>
      <c r="G226" s="42">
        <v>-70.45</v>
      </c>
      <c r="H226">
        <f t="shared" si="7"/>
        <v>201412</v>
      </c>
      <c r="I226">
        <f>MATCH(D226,$O:$O,0)</f>
        <v>34</v>
      </c>
    </row>
    <row r="227" spans="1:9" x14ac:dyDescent="0.25">
      <c r="A227" t="s">
        <v>236</v>
      </c>
      <c r="B227" s="26">
        <v>41988</v>
      </c>
      <c r="C227" t="s">
        <v>339</v>
      </c>
      <c r="D227" t="str">
        <f t="shared" si="6"/>
        <v>Paychecks/Salary</v>
      </c>
      <c r="E227" t="s">
        <v>261</v>
      </c>
      <c r="F227" t="s">
        <v>238</v>
      </c>
      <c r="G227" s="44">
        <v>3086.58</v>
      </c>
      <c r="H227">
        <f t="shared" si="7"/>
        <v>201412</v>
      </c>
      <c r="I227">
        <f>MATCH(D227,$O:$O,0)</f>
        <v>40</v>
      </c>
    </row>
    <row r="228" spans="1:9" x14ac:dyDescent="0.25">
      <c r="A228" t="s">
        <v>236</v>
      </c>
      <c r="B228" s="26">
        <v>41988</v>
      </c>
      <c r="C228" t="s">
        <v>340</v>
      </c>
      <c r="D228" t="str">
        <f t="shared" si="6"/>
        <v>Parking</v>
      </c>
      <c r="E228" t="s">
        <v>170</v>
      </c>
      <c r="F228" t="s">
        <v>238</v>
      </c>
      <c r="G228" s="42">
        <v>-6</v>
      </c>
      <c r="H228">
        <f t="shared" si="7"/>
        <v>201412</v>
      </c>
      <c r="I228">
        <f>MATCH(D228,$O:$O,0)</f>
        <v>32</v>
      </c>
    </row>
    <row r="229" spans="1:9" x14ac:dyDescent="0.25">
      <c r="A229" t="s">
        <v>236</v>
      </c>
      <c r="B229" s="26">
        <v>41988</v>
      </c>
      <c r="C229" t="s">
        <v>193</v>
      </c>
      <c r="D229" t="str">
        <f t="shared" si="6"/>
        <v>Grocery</v>
      </c>
      <c r="E229" t="s">
        <v>192</v>
      </c>
      <c r="F229" t="s">
        <v>238</v>
      </c>
      <c r="G229">
        <v>21.79</v>
      </c>
      <c r="H229">
        <f t="shared" si="7"/>
        <v>201412</v>
      </c>
      <c r="I229">
        <f>MATCH(D229,$O:$O,0)</f>
        <v>12</v>
      </c>
    </row>
    <row r="230" spans="1:9" x14ac:dyDescent="0.25">
      <c r="A230" t="s">
        <v>236</v>
      </c>
      <c r="B230" s="26">
        <v>41988</v>
      </c>
      <c r="C230" t="s">
        <v>249</v>
      </c>
      <c r="D230" t="str">
        <f t="shared" si="6"/>
        <v>Retirement Contributions</v>
      </c>
      <c r="E230" t="s">
        <v>263</v>
      </c>
      <c r="F230" t="s">
        <v>238</v>
      </c>
      <c r="G230">
        <v>527.08000000000004</v>
      </c>
      <c r="H230">
        <f t="shared" si="7"/>
        <v>201412</v>
      </c>
      <c r="I230">
        <f>MATCH(D230,$O:$O,0)</f>
        <v>39</v>
      </c>
    </row>
    <row r="231" spans="1:9" x14ac:dyDescent="0.25">
      <c r="A231" t="s">
        <v>236</v>
      </c>
      <c r="B231" s="26">
        <v>41989</v>
      </c>
      <c r="C231" t="s">
        <v>337</v>
      </c>
      <c r="D231" t="str">
        <f t="shared" si="6"/>
        <v>Paychecks/Salary</v>
      </c>
      <c r="E231" t="s">
        <v>261</v>
      </c>
      <c r="F231" t="s">
        <v>238</v>
      </c>
      <c r="G231">
        <v>108.7</v>
      </c>
      <c r="H231">
        <f t="shared" si="7"/>
        <v>201412</v>
      </c>
      <c r="I231">
        <f>MATCH(D231,$O:$O,0)</f>
        <v>40</v>
      </c>
    </row>
    <row r="232" spans="1:9" x14ac:dyDescent="0.25">
      <c r="A232" t="s">
        <v>236</v>
      </c>
      <c r="B232" s="26">
        <v>41989</v>
      </c>
      <c r="C232" t="s">
        <v>334</v>
      </c>
      <c r="D232" t="str">
        <f t="shared" si="6"/>
        <v>Public Transit</v>
      </c>
      <c r="E232" t="s">
        <v>90</v>
      </c>
      <c r="F232" t="s">
        <v>238</v>
      </c>
      <c r="G232">
        <v>-20</v>
      </c>
      <c r="H232">
        <f t="shared" si="7"/>
        <v>201412</v>
      </c>
      <c r="I232">
        <f>MATCH(D232,$O:$O,0)</f>
        <v>25</v>
      </c>
    </row>
    <row r="233" spans="1:9" x14ac:dyDescent="0.25">
      <c r="A233" t="s">
        <v>236</v>
      </c>
      <c r="B233" s="26">
        <v>41989</v>
      </c>
      <c r="C233" t="s">
        <v>338</v>
      </c>
      <c r="D233" t="str">
        <f t="shared" si="6"/>
        <v>D-Restaurant</v>
      </c>
      <c r="E233" t="s">
        <v>204</v>
      </c>
      <c r="F233" t="s">
        <v>238</v>
      </c>
      <c r="G233">
        <v>-7.05</v>
      </c>
      <c r="H233">
        <f t="shared" si="7"/>
        <v>201412</v>
      </c>
      <c r="I233">
        <f>MATCH(D233,$O:$O,0)</f>
        <v>9</v>
      </c>
    </row>
    <row r="234" spans="1:9" x14ac:dyDescent="0.25">
      <c r="A234" t="s">
        <v>236</v>
      </c>
      <c r="B234" s="26">
        <v>41990</v>
      </c>
      <c r="C234" t="s">
        <v>239</v>
      </c>
      <c r="D234" t="str">
        <f t="shared" si="6"/>
        <v>Transfers</v>
      </c>
      <c r="E234" t="s">
        <v>226</v>
      </c>
      <c r="F234" t="s">
        <v>238</v>
      </c>
      <c r="G234" s="44">
        <v>50000</v>
      </c>
      <c r="H234">
        <f t="shared" si="7"/>
        <v>201412</v>
      </c>
      <c r="I234">
        <f>MATCH(D234,$O:$O,0)</f>
        <v>37</v>
      </c>
    </row>
    <row r="235" spans="1:9" x14ac:dyDescent="0.25">
      <c r="A235" t="s">
        <v>236</v>
      </c>
      <c r="B235" s="26">
        <v>41990</v>
      </c>
      <c r="C235" t="s">
        <v>239</v>
      </c>
      <c r="D235" t="str">
        <f t="shared" si="6"/>
        <v>Transfers</v>
      </c>
      <c r="E235" t="s">
        <v>226</v>
      </c>
      <c r="F235" t="s">
        <v>238</v>
      </c>
      <c r="G235" s="44">
        <v>-50000</v>
      </c>
      <c r="H235">
        <f t="shared" si="7"/>
        <v>201412</v>
      </c>
      <c r="I235">
        <f>MATCH(D235,$O:$O,0)</f>
        <v>37</v>
      </c>
    </row>
    <row r="236" spans="1:9" x14ac:dyDescent="0.25">
      <c r="A236" t="s">
        <v>236</v>
      </c>
      <c r="B236" s="26">
        <v>41990</v>
      </c>
      <c r="C236" t="s">
        <v>246</v>
      </c>
      <c r="D236" t="str">
        <f t="shared" si="6"/>
        <v>D-Restaurant</v>
      </c>
      <c r="E236" t="s">
        <v>204</v>
      </c>
      <c r="F236" t="s">
        <v>238</v>
      </c>
      <c r="G236">
        <v>-10.82</v>
      </c>
      <c r="H236">
        <f t="shared" si="7"/>
        <v>201412</v>
      </c>
      <c r="I236">
        <f>MATCH(D236,$O:$O,0)</f>
        <v>9</v>
      </c>
    </row>
    <row r="237" spans="1:9" x14ac:dyDescent="0.25">
      <c r="A237" t="s">
        <v>236</v>
      </c>
      <c r="B237" s="26">
        <v>41990</v>
      </c>
      <c r="C237" t="s">
        <v>289</v>
      </c>
      <c r="D237" t="str">
        <f t="shared" si="6"/>
        <v>Grocery</v>
      </c>
      <c r="E237" t="s">
        <v>192</v>
      </c>
      <c r="F237" t="s">
        <v>238</v>
      </c>
      <c r="G237">
        <v>6.98</v>
      </c>
      <c r="H237">
        <f t="shared" si="7"/>
        <v>201412</v>
      </c>
      <c r="I237">
        <f>MATCH(D237,$O:$O,0)</f>
        <v>12</v>
      </c>
    </row>
    <row r="238" spans="1:9" x14ac:dyDescent="0.25">
      <c r="A238" t="s">
        <v>236</v>
      </c>
      <c r="B238" s="26">
        <v>41991</v>
      </c>
      <c r="C238" t="s">
        <v>251</v>
      </c>
      <c r="D238" t="str">
        <f t="shared" si="6"/>
        <v>Transfers</v>
      </c>
      <c r="E238" t="s">
        <v>226</v>
      </c>
      <c r="F238" t="s">
        <v>238</v>
      </c>
      <c r="G238" s="44">
        <v>-50000</v>
      </c>
      <c r="H238">
        <f t="shared" si="7"/>
        <v>201412</v>
      </c>
      <c r="I238">
        <f>MATCH(D238,$O:$O,0)</f>
        <v>37</v>
      </c>
    </row>
    <row r="239" spans="1:9" x14ac:dyDescent="0.25">
      <c r="A239" t="s">
        <v>236</v>
      </c>
      <c r="B239" s="26">
        <v>41991</v>
      </c>
      <c r="C239" t="s">
        <v>186</v>
      </c>
      <c r="D239" t="str">
        <f t="shared" si="6"/>
        <v>Grocery</v>
      </c>
      <c r="E239" t="s">
        <v>192</v>
      </c>
      <c r="F239" t="s">
        <v>238</v>
      </c>
      <c r="G239">
        <v>-200</v>
      </c>
      <c r="H239">
        <f t="shared" si="7"/>
        <v>201412</v>
      </c>
      <c r="I239">
        <f>MATCH(D239,$O:$O,0)</f>
        <v>12</v>
      </c>
    </row>
    <row r="240" spans="1:9" x14ac:dyDescent="0.25">
      <c r="A240" t="s">
        <v>236</v>
      </c>
      <c r="B240" s="26">
        <v>41991</v>
      </c>
      <c r="C240" t="s">
        <v>334</v>
      </c>
      <c r="D240" t="str">
        <f t="shared" si="6"/>
        <v>Public Transit</v>
      </c>
      <c r="E240" t="s">
        <v>90</v>
      </c>
      <c r="F240" t="s">
        <v>238</v>
      </c>
      <c r="G240">
        <v>-20</v>
      </c>
      <c r="H240">
        <f t="shared" si="7"/>
        <v>201412</v>
      </c>
      <c r="I240">
        <f>MATCH(D240,$O:$O,0)</f>
        <v>25</v>
      </c>
    </row>
    <row r="241" spans="1:9" x14ac:dyDescent="0.25">
      <c r="A241" t="s">
        <v>236</v>
      </c>
      <c r="B241" s="26">
        <v>41991</v>
      </c>
      <c r="C241" t="s">
        <v>335</v>
      </c>
      <c r="D241" t="str">
        <f t="shared" si="6"/>
        <v>D-Restaurant</v>
      </c>
      <c r="E241" t="s">
        <v>204</v>
      </c>
      <c r="F241" t="s">
        <v>238</v>
      </c>
      <c r="G241">
        <v>-4.5</v>
      </c>
      <c r="H241">
        <f t="shared" si="7"/>
        <v>201412</v>
      </c>
      <c r="I241">
        <f>MATCH(D241,$O:$O,0)</f>
        <v>9</v>
      </c>
    </row>
    <row r="242" spans="1:9" x14ac:dyDescent="0.25">
      <c r="A242" t="s">
        <v>236</v>
      </c>
      <c r="B242" s="26">
        <v>41991</v>
      </c>
      <c r="C242" t="s">
        <v>310</v>
      </c>
      <c r="D242" t="str">
        <f t="shared" si="6"/>
        <v>Gas</v>
      </c>
      <c r="E242" t="s">
        <v>311</v>
      </c>
      <c r="F242" t="s">
        <v>238</v>
      </c>
      <c r="G242">
        <v>-36.58</v>
      </c>
      <c r="H242">
        <f t="shared" si="7"/>
        <v>201412</v>
      </c>
      <c r="I242">
        <f>MATCH(D242,$O:$O,0)</f>
        <v>30</v>
      </c>
    </row>
    <row r="243" spans="1:9" x14ac:dyDescent="0.25">
      <c r="A243" t="s">
        <v>236</v>
      </c>
      <c r="B243" s="26">
        <v>41991</v>
      </c>
      <c r="C243" t="s">
        <v>336</v>
      </c>
      <c r="D243" t="str">
        <f t="shared" si="6"/>
        <v>D-Coffee</v>
      </c>
      <c r="E243" t="s">
        <v>215</v>
      </c>
      <c r="F243" t="s">
        <v>238</v>
      </c>
      <c r="G243">
        <v>-2.1</v>
      </c>
      <c r="H243">
        <f t="shared" si="7"/>
        <v>201412</v>
      </c>
      <c r="I243">
        <f>MATCH(D243,$O:$O,0)</f>
        <v>7</v>
      </c>
    </row>
    <row r="244" spans="1:9" x14ac:dyDescent="0.25">
      <c r="A244" t="s">
        <v>236</v>
      </c>
      <c r="B244" s="26">
        <v>41992</v>
      </c>
      <c r="C244" t="s">
        <v>333</v>
      </c>
      <c r="D244" t="str">
        <f t="shared" si="6"/>
        <v>Grocery</v>
      </c>
      <c r="E244" t="s">
        <v>192</v>
      </c>
      <c r="F244" t="s">
        <v>238</v>
      </c>
      <c r="G244">
        <v>-9.8000000000000007</v>
      </c>
      <c r="H244">
        <f t="shared" si="7"/>
        <v>201412</v>
      </c>
      <c r="I244">
        <f>MATCH(D244,$O:$O,0)</f>
        <v>12</v>
      </c>
    </row>
    <row r="245" spans="1:9" x14ac:dyDescent="0.25">
      <c r="A245" t="s">
        <v>236</v>
      </c>
      <c r="B245" s="26">
        <v>41993</v>
      </c>
      <c r="C245" t="s">
        <v>328</v>
      </c>
      <c r="D245" t="str">
        <f t="shared" si="6"/>
        <v>Gifts</v>
      </c>
      <c r="E245" t="s">
        <v>40</v>
      </c>
      <c r="F245" t="s">
        <v>238</v>
      </c>
      <c r="G245">
        <v>-25.26</v>
      </c>
      <c r="H245">
        <f t="shared" si="7"/>
        <v>201412</v>
      </c>
      <c r="I245">
        <f>MATCH(D245,$O:$O,0)</f>
        <v>11</v>
      </c>
    </row>
    <row r="246" spans="1:9" x14ac:dyDescent="0.25">
      <c r="A246" t="s">
        <v>236</v>
      </c>
      <c r="B246" s="26">
        <v>41993</v>
      </c>
      <c r="C246" t="s">
        <v>329</v>
      </c>
      <c r="D246" t="str">
        <f t="shared" si="6"/>
        <v>Gifts</v>
      </c>
      <c r="E246" t="s">
        <v>40</v>
      </c>
      <c r="F246" t="s">
        <v>238</v>
      </c>
      <c r="G246">
        <v>-424.74</v>
      </c>
      <c r="H246">
        <f t="shared" si="7"/>
        <v>201412</v>
      </c>
      <c r="I246">
        <f>MATCH(D246,$O:$O,0)</f>
        <v>11</v>
      </c>
    </row>
    <row r="247" spans="1:9" x14ac:dyDescent="0.25">
      <c r="A247" t="s">
        <v>236</v>
      </c>
      <c r="B247" s="26">
        <v>41993</v>
      </c>
      <c r="C247" t="s">
        <v>330</v>
      </c>
      <c r="D247" t="str">
        <f t="shared" si="6"/>
        <v>Gifts</v>
      </c>
      <c r="E247" t="s">
        <v>40</v>
      </c>
      <c r="F247" t="s">
        <v>238</v>
      </c>
      <c r="G247" s="42">
        <v>-732.5</v>
      </c>
      <c r="H247">
        <f t="shared" si="7"/>
        <v>201412</v>
      </c>
      <c r="I247">
        <f>MATCH(D247,$O:$O,0)</f>
        <v>11</v>
      </c>
    </row>
    <row r="248" spans="1:9" x14ac:dyDescent="0.25">
      <c r="A248" t="s">
        <v>236</v>
      </c>
      <c r="B248" s="26">
        <v>41993</v>
      </c>
      <c r="C248" t="s">
        <v>331</v>
      </c>
      <c r="D248" t="str">
        <f t="shared" si="6"/>
        <v>D-Restaurant</v>
      </c>
      <c r="E248" t="s">
        <v>204</v>
      </c>
      <c r="F248" t="s">
        <v>238</v>
      </c>
      <c r="G248">
        <v>-30</v>
      </c>
      <c r="H248">
        <f t="shared" si="7"/>
        <v>201412</v>
      </c>
      <c r="I248">
        <f>MATCH(D248,$O:$O,0)</f>
        <v>9</v>
      </c>
    </row>
    <row r="249" spans="1:9" x14ac:dyDescent="0.25">
      <c r="A249" t="s">
        <v>236</v>
      </c>
      <c r="B249" s="26">
        <v>41993</v>
      </c>
      <c r="C249" t="s">
        <v>332</v>
      </c>
      <c r="D249" t="str">
        <f t="shared" si="6"/>
        <v>Gifts</v>
      </c>
      <c r="E249" t="s">
        <v>40</v>
      </c>
      <c r="F249" t="s">
        <v>238</v>
      </c>
      <c r="G249" s="44">
        <v>-1620.47</v>
      </c>
      <c r="H249">
        <f t="shared" si="7"/>
        <v>201412</v>
      </c>
      <c r="I249">
        <f>MATCH(D249,$O:$O,0)</f>
        <v>11</v>
      </c>
    </row>
    <row r="250" spans="1:9" x14ac:dyDescent="0.25">
      <c r="A250" t="s">
        <v>236</v>
      </c>
      <c r="B250" s="26">
        <v>41994</v>
      </c>
      <c r="C250" t="s">
        <v>310</v>
      </c>
      <c r="D250" t="str">
        <f t="shared" si="6"/>
        <v>Gas</v>
      </c>
      <c r="E250" t="s">
        <v>311</v>
      </c>
      <c r="F250" t="s">
        <v>238</v>
      </c>
      <c r="G250">
        <v>-31.53</v>
      </c>
      <c r="H250">
        <f t="shared" si="7"/>
        <v>201412</v>
      </c>
      <c r="I250">
        <f>MATCH(D250,$O:$O,0)</f>
        <v>30</v>
      </c>
    </row>
    <row r="251" spans="1:9" x14ac:dyDescent="0.25">
      <c r="A251" t="s">
        <v>236</v>
      </c>
      <c r="B251" s="26">
        <v>41994</v>
      </c>
      <c r="C251" t="s">
        <v>327</v>
      </c>
      <c r="D251" t="str">
        <f t="shared" si="6"/>
        <v>Gifts</v>
      </c>
      <c r="E251" t="s">
        <v>40</v>
      </c>
      <c r="F251" t="s">
        <v>238</v>
      </c>
      <c r="G251">
        <v>-76.319999999999993</v>
      </c>
      <c r="H251">
        <f t="shared" si="7"/>
        <v>201412</v>
      </c>
      <c r="I251">
        <f>MATCH(D251,$O:$O,0)</f>
        <v>11</v>
      </c>
    </row>
    <row r="252" spans="1:9" x14ac:dyDescent="0.25">
      <c r="A252" t="s">
        <v>236</v>
      </c>
      <c r="B252" s="26">
        <v>41994</v>
      </c>
      <c r="C252" t="s">
        <v>289</v>
      </c>
      <c r="D252" t="str">
        <f t="shared" si="6"/>
        <v>Gifts</v>
      </c>
      <c r="E252" t="s">
        <v>40</v>
      </c>
      <c r="F252" t="s">
        <v>238</v>
      </c>
      <c r="G252" s="42">
        <v>-50.52</v>
      </c>
      <c r="H252">
        <f t="shared" si="7"/>
        <v>201412</v>
      </c>
      <c r="I252">
        <f>MATCH(D252,$O:$O,0)</f>
        <v>11</v>
      </c>
    </row>
    <row r="253" spans="1:9" x14ac:dyDescent="0.25">
      <c r="A253" t="s">
        <v>236</v>
      </c>
      <c r="B253" s="26">
        <v>41995</v>
      </c>
      <c r="C253" t="s">
        <v>323</v>
      </c>
      <c r="D253" t="str">
        <f t="shared" si="6"/>
        <v>Credit Card Payments</v>
      </c>
      <c r="E253" t="s">
        <v>242</v>
      </c>
      <c r="F253" t="s">
        <v>238</v>
      </c>
      <c r="G253">
        <v>-20</v>
      </c>
      <c r="H253">
        <f t="shared" si="7"/>
        <v>201412</v>
      </c>
      <c r="I253">
        <f>MATCH(D253,$O:$O,0)</f>
        <v>38</v>
      </c>
    </row>
    <row r="254" spans="1:9" x14ac:dyDescent="0.25">
      <c r="A254" t="s">
        <v>236</v>
      </c>
      <c r="B254" s="26">
        <v>41995</v>
      </c>
      <c r="C254" t="s">
        <v>324</v>
      </c>
      <c r="D254" t="str">
        <f t="shared" si="6"/>
        <v>Parking</v>
      </c>
      <c r="E254" t="s">
        <v>170</v>
      </c>
      <c r="F254" t="s">
        <v>238</v>
      </c>
      <c r="G254">
        <v>-2</v>
      </c>
      <c r="H254">
        <f t="shared" si="7"/>
        <v>201412</v>
      </c>
      <c r="I254">
        <f>MATCH(D254,$O:$O,0)</f>
        <v>32</v>
      </c>
    </row>
    <row r="255" spans="1:9" x14ac:dyDescent="0.25">
      <c r="A255" t="s">
        <v>236</v>
      </c>
      <c r="B255" s="26">
        <v>41995</v>
      </c>
      <c r="C255" t="s">
        <v>325</v>
      </c>
      <c r="D255" t="str">
        <f t="shared" si="6"/>
        <v>Credit Card Payments</v>
      </c>
      <c r="E255" t="s">
        <v>242</v>
      </c>
      <c r="F255" t="s">
        <v>238</v>
      </c>
      <c r="G255">
        <v>20</v>
      </c>
      <c r="H255">
        <f t="shared" si="7"/>
        <v>201412</v>
      </c>
      <c r="I255">
        <f>MATCH(D255,$O:$O,0)</f>
        <v>38</v>
      </c>
    </row>
    <row r="256" spans="1:9" x14ac:dyDescent="0.25">
      <c r="A256" t="s">
        <v>236</v>
      </c>
      <c r="B256" s="26">
        <v>41995</v>
      </c>
      <c r="C256" t="s">
        <v>289</v>
      </c>
      <c r="D256" t="str">
        <f t="shared" si="6"/>
        <v>z-New Asset</v>
      </c>
      <c r="E256" t="s">
        <v>121</v>
      </c>
      <c r="F256" t="s">
        <v>238</v>
      </c>
      <c r="G256">
        <v>-172.91</v>
      </c>
      <c r="H256">
        <f t="shared" si="7"/>
        <v>201412</v>
      </c>
      <c r="I256">
        <f>MATCH(D256,$O:$O,0)</f>
        <v>36</v>
      </c>
    </row>
    <row r="257" spans="1:9" x14ac:dyDescent="0.25">
      <c r="A257" t="s">
        <v>236</v>
      </c>
      <c r="B257" s="26">
        <v>41995</v>
      </c>
      <c r="C257" t="s">
        <v>326</v>
      </c>
      <c r="D257" t="str">
        <f t="shared" si="6"/>
        <v>Grocery</v>
      </c>
      <c r="E257" t="s">
        <v>192</v>
      </c>
      <c r="F257" t="s">
        <v>238</v>
      </c>
      <c r="G257" s="42">
        <v>-4.3499999999999996</v>
      </c>
      <c r="H257">
        <f t="shared" si="7"/>
        <v>201412</v>
      </c>
      <c r="I257">
        <f>MATCH(D257,$O:$O,0)</f>
        <v>12</v>
      </c>
    </row>
    <row r="258" spans="1:9" x14ac:dyDescent="0.25">
      <c r="A258" t="s">
        <v>236</v>
      </c>
      <c r="B258" s="26">
        <v>41995</v>
      </c>
      <c r="C258" t="s">
        <v>252</v>
      </c>
      <c r="D258" t="str">
        <f t="shared" ref="D258:D318" si="8">IF(ISNA(VLOOKUP(E258,$L$2:$M$26,2,FALSE)),E258,VLOOKUP(E258,$L$2:$M$26,2,FALSE))</f>
        <v>Grocery</v>
      </c>
      <c r="E258" t="s">
        <v>192</v>
      </c>
      <c r="F258" t="s">
        <v>238</v>
      </c>
      <c r="G258" s="42">
        <v>-13.68</v>
      </c>
      <c r="H258">
        <f t="shared" ref="H258:H321" si="9">YEAR(B258)*100+MONTH(B258)</f>
        <v>201412</v>
      </c>
      <c r="I258">
        <f>MATCH(D258,$O:$O,0)</f>
        <v>12</v>
      </c>
    </row>
    <row r="259" spans="1:9" x14ac:dyDescent="0.25">
      <c r="A259" t="s">
        <v>236</v>
      </c>
      <c r="B259" s="26">
        <v>41997</v>
      </c>
      <c r="C259" t="s">
        <v>195</v>
      </c>
      <c r="D259" t="str">
        <f t="shared" si="8"/>
        <v>Parking</v>
      </c>
      <c r="E259" t="s">
        <v>170</v>
      </c>
      <c r="F259" t="s">
        <v>238</v>
      </c>
      <c r="G259" s="42">
        <v>-40</v>
      </c>
      <c r="H259">
        <f t="shared" si="9"/>
        <v>201412</v>
      </c>
      <c r="I259">
        <f>MATCH(D259,$O:$O,0)</f>
        <v>32</v>
      </c>
    </row>
    <row r="260" spans="1:9" x14ac:dyDescent="0.25">
      <c r="A260" t="s">
        <v>236</v>
      </c>
      <c r="B260" s="26">
        <v>41997</v>
      </c>
      <c r="C260" t="s">
        <v>322</v>
      </c>
      <c r="D260" t="str">
        <f t="shared" si="8"/>
        <v>Parking</v>
      </c>
      <c r="E260" t="s">
        <v>170</v>
      </c>
      <c r="F260" t="s">
        <v>238</v>
      </c>
      <c r="G260">
        <v>-21.25</v>
      </c>
      <c r="H260">
        <f t="shared" si="9"/>
        <v>201412</v>
      </c>
      <c r="I260">
        <f>MATCH(D260,$O:$O,0)</f>
        <v>32</v>
      </c>
    </row>
    <row r="261" spans="1:9" x14ac:dyDescent="0.25">
      <c r="A261" t="s">
        <v>236</v>
      </c>
      <c r="B261" s="26">
        <v>41997</v>
      </c>
      <c r="C261" t="s">
        <v>319</v>
      </c>
      <c r="D261" t="str">
        <f t="shared" si="8"/>
        <v>Grocery</v>
      </c>
      <c r="E261" t="s">
        <v>192</v>
      </c>
      <c r="F261" t="s">
        <v>238</v>
      </c>
      <c r="G261" s="42">
        <v>-12.48</v>
      </c>
      <c r="H261">
        <f t="shared" si="9"/>
        <v>201412</v>
      </c>
      <c r="I261">
        <f>MATCH(D261,$O:$O,0)</f>
        <v>12</v>
      </c>
    </row>
    <row r="262" spans="1:9" x14ac:dyDescent="0.25">
      <c r="A262" t="s">
        <v>236</v>
      </c>
      <c r="B262" s="26">
        <v>41998</v>
      </c>
      <c r="C262" t="s">
        <v>318</v>
      </c>
      <c r="D262" t="str">
        <f t="shared" si="8"/>
        <v>Parking</v>
      </c>
      <c r="E262" t="s">
        <v>170</v>
      </c>
      <c r="F262" t="s">
        <v>238</v>
      </c>
      <c r="G262">
        <v>-8.25</v>
      </c>
      <c r="H262">
        <f t="shared" si="9"/>
        <v>201412</v>
      </c>
      <c r="I262">
        <f>MATCH(D262,$O:$O,0)</f>
        <v>32</v>
      </c>
    </row>
    <row r="263" spans="1:9" x14ac:dyDescent="0.25">
      <c r="A263" t="s">
        <v>236</v>
      </c>
      <c r="B263" s="26">
        <v>41998</v>
      </c>
      <c r="C263" t="s">
        <v>319</v>
      </c>
      <c r="D263" t="str">
        <f t="shared" si="8"/>
        <v>Grocery</v>
      </c>
      <c r="E263" t="s">
        <v>192</v>
      </c>
      <c r="F263" t="s">
        <v>238</v>
      </c>
      <c r="G263">
        <v>-2.5</v>
      </c>
      <c r="H263">
        <f t="shared" si="9"/>
        <v>201412</v>
      </c>
      <c r="I263">
        <f>MATCH(D263,$O:$O,0)</f>
        <v>12</v>
      </c>
    </row>
    <row r="264" spans="1:9" x14ac:dyDescent="0.25">
      <c r="A264" t="s">
        <v>236</v>
      </c>
      <c r="B264" s="26">
        <v>41998</v>
      </c>
      <c r="C264" t="s">
        <v>320</v>
      </c>
      <c r="D264" t="str">
        <f t="shared" si="8"/>
        <v>Parking</v>
      </c>
      <c r="E264" t="s">
        <v>170</v>
      </c>
      <c r="F264" t="s">
        <v>238</v>
      </c>
      <c r="G264">
        <v>-3</v>
      </c>
      <c r="H264">
        <f t="shared" si="9"/>
        <v>201412</v>
      </c>
      <c r="I264">
        <f>MATCH(D264,$O:$O,0)</f>
        <v>32</v>
      </c>
    </row>
    <row r="265" spans="1:9" x14ac:dyDescent="0.25">
      <c r="A265" t="s">
        <v>236</v>
      </c>
      <c r="B265" s="26">
        <v>41998</v>
      </c>
      <c r="C265" t="s">
        <v>321</v>
      </c>
      <c r="D265" t="str">
        <f t="shared" si="8"/>
        <v>Gifts</v>
      </c>
      <c r="E265" t="s">
        <v>40</v>
      </c>
      <c r="F265" t="s">
        <v>238</v>
      </c>
      <c r="G265">
        <v>-192</v>
      </c>
      <c r="H265">
        <f t="shared" si="9"/>
        <v>201412</v>
      </c>
      <c r="I265">
        <f>MATCH(D265,$O:$O,0)</f>
        <v>11</v>
      </c>
    </row>
    <row r="266" spans="1:9" x14ac:dyDescent="0.25">
      <c r="A266" t="s">
        <v>236</v>
      </c>
      <c r="B266" s="26">
        <v>41999</v>
      </c>
      <c r="C266" t="s">
        <v>316</v>
      </c>
      <c r="D266" t="str">
        <f t="shared" si="8"/>
        <v>D-Restaurant</v>
      </c>
      <c r="E266" t="s">
        <v>129</v>
      </c>
      <c r="F266" t="s">
        <v>238</v>
      </c>
      <c r="G266">
        <v>-160.94999999999999</v>
      </c>
      <c r="H266">
        <f t="shared" si="9"/>
        <v>201412</v>
      </c>
      <c r="I266">
        <f>MATCH(D266,$O:$O,0)</f>
        <v>9</v>
      </c>
    </row>
    <row r="267" spans="1:9" x14ac:dyDescent="0.25">
      <c r="A267" t="s">
        <v>236</v>
      </c>
      <c r="B267" s="26">
        <v>41999</v>
      </c>
      <c r="C267" t="s">
        <v>317</v>
      </c>
      <c r="D267" t="str">
        <f t="shared" si="8"/>
        <v>Gas</v>
      </c>
      <c r="E267" t="s">
        <v>311</v>
      </c>
      <c r="F267" t="s">
        <v>238</v>
      </c>
      <c r="G267">
        <v>-9.1</v>
      </c>
      <c r="H267">
        <f t="shared" si="9"/>
        <v>201412</v>
      </c>
      <c r="I267">
        <f>MATCH(D267,$O:$O,0)</f>
        <v>30</v>
      </c>
    </row>
    <row r="268" spans="1:9" x14ac:dyDescent="0.25">
      <c r="A268" t="s">
        <v>236</v>
      </c>
      <c r="B268" s="26">
        <v>41999</v>
      </c>
      <c r="C268" t="s">
        <v>223</v>
      </c>
      <c r="D268" t="str">
        <f t="shared" si="8"/>
        <v>Cell Phone</v>
      </c>
      <c r="E268" t="s">
        <v>224</v>
      </c>
      <c r="F268" t="s">
        <v>238</v>
      </c>
      <c r="G268">
        <v>-63.54</v>
      </c>
      <c r="H268">
        <f t="shared" si="9"/>
        <v>201412</v>
      </c>
      <c r="I268">
        <f>MATCH(D268,$O:$O,0)</f>
        <v>4</v>
      </c>
    </row>
    <row r="269" spans="1:9" x14ac:dyDescent="0.25">
      <c r="A269" t="s">
        <v>236</v>
      </c>
      <c r="B269" s="26">
        <v>42000</v>
      </c>
      <c r="C269" t="s">
        <v>309</v>
      </c>
      <c r="D269" t="str">
        <f t="shared" si="8"/>
        <v>Uncategorized</v>
      </c>
      <c r="E269" t="s">
        <v>102</v>
      </c>
      <c r="F269" t="s">
        <v>238</v>
      </c>
      <c r="G269">
        <v>-3</v>
      </c>
      <c r="H269">
        <f t="shared" si="9"/>
        <v>201412</v>
      </c>
      <c r="I269">
        <f>MATCH(D269,$O:$O,0)</f>
        <v>33</v>
      </c>
    </row>
    <row r="270" spans="1:9" x14ac:dyDescent="0.25">
      <c r="A270" t="s">
        <v>236</v>
      </c>
      <c r="B270" s="26">
        <v>42000</v>
      </c>
      <c r="C270" t="s">
        <v>310</v>
      </c>
      <c r="D270" t="str">
        <f t="shared" si="8"/>
        <v>Gas</v>
      </c>
      <c r="E270" t="s">
        <v>311</v>
      </c>
      <c r="F270" t="s">
        <v>238</v>
      </c>
      <c r="G270">
        <v>-38.619999999999997</v>
      </c>
      <c r="H270">
        <f t="shared" si="9"/>
        <v>201412</v>
      </c>
      <c r="I270">
        <f>MATCH(D270,$O:$O,0)</f>
        <v>30</v>
      </c>
    </row>
    <row r="271" spans="1:9" x14ac:dyDescent="0.25">
      <c r="A271" t="s">
        <v>236</v>
      </c>
      <c r="B271" s="26">
        <v>42000</v>
      </c>
      <c r="C271" t="s">
        <v>312</v>
      </c>
      <c r="D271" t="str">
        <f t="shared" si="8"/>
        <v>z-New Asset</v>
      </c>
      <c r="E271" t="s">
        <v>121</v>
      </c>
      <c r="F271" t="s">
        <v>238</v>
      </c>
      <c r="G271">
        <v>-163.49</v>
      </c>
      <c r="H271">
        <f t="shared" si="9"/>
        <v>201412</v>
      </c>
      <c r="I271">
        <f>MATCH(D271,$O:$O,0)</f>
        <v>36</v>
      </c>
    </row>
    <row r="272" spans="1:9" x14ac:dyDescent="0.25">
      <c r="A272" t="s">
        <v>236</v>
      </c>
      <c r="B272" s="26">
        <v>42000</v>
      </c>
      <c r="C272" t="s">
        <v>313</v>
      </c>
      <c r="D272" t="str">
        <f t="shared" si="8"/>
        <v>z-New Asset</v>
      </c>
      <c r="E272" t="s">
        <v>121</v>
      </c>
      <c r="F272" t="s">
        <v>238</v>
      </c>
      <c r="G272">
        <v>-41.01</v>
      </c>
      <c r="H272">
        <f t="shared" si="9"/>
        <v>201412</v>
      </c>
      <c r="I272">
        <f>MATCH(D272,$O:$O,0)</f>
        <v>36</v>
      </c>
    </row>
    <row r="273" spans="1:9" x14ac:dyDescent="0.25">
      <c r="A273" t="s">
        <v>236</v>
      </c>
      <c r="B273" s="26">
        <v>42000</v>
      </c>
      <c r="C273" t="s">
        <v>314</v>
      </c>
      <c r="D273" t="str">
        <f t="shared" si="8"/>
        <v>z-New Asset</v>
      </c>
      <c r="E273" t="s">
        <v>121</v>
      </c>
      <c r="F273" t="s">
        <v>238</v>
      </c>
      <c r="G273">
        <v>-174.62</v>
      </c>
      <c r="H273">
        <f t="shared" si="9"/>
        <v>201412</v>
      </c>
      <c r="I273">
        <f>MATCH(D273,$O:$O,0)</f>
        <v>36</v>
      </c>
    </row>
    <row r="274" spans="1:9" x14ac:dyDescent="0.25">
      <c r="A274" t="s">
        <v>236</v>
      </c>
      <c r="B274" s="26">
        <v>42000</v>
      </c>
      <c r="C274" t="s">
        <v>315</v>
      </c>
      <c r="D274" t="str">
        <f t="shared" si="8"/>
        <v>D-Restaurant</v>
      </c>
      <c r="E274" t="s">
        <v>204</v>
      </c>
      <c r="F274" t="s">
        <v>238</v>
      </c>
      <c r="G274">
        <v>-8.2799999999999994</v>
      </c>
      <c r="H274">
        <f t="shared" si="9"/>
        <v>201412</v>
      </c>
      <c r="I274">
        <f>MATCH(D274,$O:$O,0)</f>
        <v>9</v>
      </c>
    </row>
    <row r="275" spans="1:9" x14ac:dyDescent="0.25">
      <c r="A275" t="s">
        <v>236</v>
      </c>
      <c r="B275" s="26">
        <v>42001</v>
      </c>
      <c r="C275" t="s">
        <v>273</v>
      </c>
      <c r="D275" t="str">
        <f t="shared" si="8"/>
        <v>Mortgage/Rent</v>
      </c>
      <c r="E275" t="s">
        <v>202</v>
      </c>
      <c r="F275" t="s">
        <v>238</v>
      </c>
      <c r="G275" s="44">
        <v>-3329.45</v>
      </c>
      <c r="H275">
        <f t="shared" si="9"/>
        <v>201412</v>
      </c>
      <c r="I275">
        <f>MATCH(D275,$O:$O,0)</f>
        <v>21</v>
      </c>
    </row>
    <row r="276" spans="1:9" x14ac:dyDescent="0.25">
      <c r="A276" t="s">
        <v>236</v>
      </c>
      <c r="B276" s="26">
        <v>42003</v>
      </c>
      <c r="C276" t="s">
        <v>339</v>
      </c>
      <c r="D276" t="str">
        <f t="shared" si="8"/>
        <v>Paychecks/Salary</v>
      </c>
      <c r="E276" t="s">
        <v>261</v>
      </c>
      <c r="F276" t="s">
        <v>238</v>
      </c>
      <c r="G276" s="44">
        <v>3086.58</v>
      </c>
      <c r="H276">
        <f t="shared" si="9"/>
        <v>201412</v>
      </c>
      <c r="I276">
        <f>MATCH(D276,$O:$O,0)</f>
        <v>40</v>
      </c>
    </row>
    <row r="277" spans="1:9" x14ac:dyDescent="0.25">
      <c r="A277" t="s">
        <v>236</v>
      </c>
      <c r="B277" s="26">
        <v>42005</v>
      </c>
      <c r="C277" t="s">
        <v>438</v>
      </c>
      <c r="D277" t="str">
        <f t="shared" si="8"/>
        <v>Cell Phone</v>
      </c>
      <c r="E277" t="s">
        <v>224</v>
      </c>
      <c r="F277" t="s">
        <v>238</v>
      </c>
      <c r="G277">
        <v>-160.75</v>
      </c>
      <c r="H277">
        <f t="shared" si="9"/>
        <v>201501</v>
      </c>
      <c r="I277">
        <f>MATCH(D277,$O:$O,0)</f>
        <v>4</v>
      </c>
    </row>
    <row r="278" spans="1:9" x14ac:dyDescent="0.25">
      <c r="A278" t="s">
        <v>236</v>
      </c>
      <c r="B278" s="26">
        <v>42005</v>
      </c>
      <c r="C278" t="s">
        <v>436</v>
      </c>
      <c r="D278" t="str">
        <f t="shared" si="8"/>
        <v>Credit Card Payments</v>
      </c>
      <c r="E278" t="s">
        <v>242</v>
      </c>
      <c r="F278" t="s">
        <v>238</v>
      </c>
      <c r="G278" s="44">
        <v>1438.09</v>
      </c>
      <c r="H278">
        <f t="shared" si="9"/>
        <v>201501</v>
      </c>
      <c r="I278">
        <f>MATCH(D278,$O:$O,0)</f>
        <v>38</v>
      </c>
    </row>
    <row r="279" spans="1:9" x14ac:dyDescent="0.25">
      <c r="A279" t="s">
        <v>236</v>
      </c>
      <c r="B279" s="26">
        <v>42005</v>
      </c>
      <c r="C279" t="s">
        <v>437</v>
      </c>
      <c r="D279" t="str">
        <f t="shared" si="8"/>
        <v>Grocery</v>
      </c>
      <c r="E279" t="s">
        <v>385</v>
      </c>
      <c r="F279" t="s">
        <v>238</v>
      </c>
      <c r="G279">
        <v>-6</v>
      </c>
      <c r="H279">
        <f t="shared" si="9"/>
        <v>201501</v>
      </c>
      <c r="I279">
        <f>MATCH(D279,$O:$O,0)</f>
        <v>12</v>
      </c>
    </row>
    <row r="280" spans="1:9" x14ac:dyDescent="0.25">
      <c r="A280" t="s">
        <v>236</v>
      </c>
      <c r="B280" s="26">
        <v>42006</v>
      </c>
      <c r="C280" t="s">
        <v>427</v>
      </c>
      <c r="D280" t="str">
        <f t="shared" si="8"/>
        <v>Credit Card Payments</v>
      </c>
      <c r="E280" t="s">
        <v>242</v>
      </c>
      <c r="F280" t="s">
        <v>238</v>
      </c>
      <c r="G280" s="44">
        <v>-1438.09</v>
      </c>
      <c r="H280">
        <f t="shared" si="9"/>
        <v>201501</v>
      </c>
      <c r="I280">
        <f>MATCH(D280,$O:$O,0)</f>
        <v>38</v>
      </c>
    </row>
    <row r="281" spans="1:9" x14ac:dyDescent="0.25">
      <c r="A281" t="s">
        <v>236</v>
      </c>
      <c r="B281" s="26">
        <v>42006</v>
      </c>
      <c r="C281" t="s">
        <v>428</v>
      </c>
      <c r="D281" t="str">
        <f t="shared" si="8"/>
        <v>Credit Card Payments</v>
      </c>
      <c r="E281" t="s">
        <v>242</v>
      </c>
      <c r="F281" t="s">
        <v>238</v>
      </c>
      <c r="G281" s="44">
        <v>-1626.37</v>
      </c>
      <c r="H281">
        <f t="shared" si="9"/>
        <v>201501</v>
      </c>
      <c r="I281">
        <f>MATCH(D281,$O:$O,0)</f>
        <v>38</v>
      </c>
    </row>
    <row r="282" spans="1:9" x14ac:dyDescent="0.25">
      <c r="A282" t="s">
        <v>236</v>
      </c>
      <c r="B282" s="26">
        <v>42006</v>
      </c>
      <c r="C282" t="s">
        <v>430</v>
      </c>
      <c r="D282" t="str">
        <f t="shared" si="8"/>
        <v>Credit Card Payments</v>
      </c>
      <c r="E282" t="s">
        <v>242</v>
      </c>
      <c r="F282" t="s">
        <v>238</v>
      </c>
      <c r="G282">
        <v>-20</v>
      </c>
      <c r="H282">
        <f t="shared" si="9"/>
        <v>201501</v>
      </c>
      <c r="I282">
        <f>MATCH(D282,$O:$O,0)</f>
        <v>38</v>
      </c>
    </row>
    <row r="283" spans="1:9" x14ac:dyDescent="0.25">
      <c r="A283" t="s">
        <v>236</v>
      </c>
      <c r="B283" s="26">
        <v>42006</v>
      </c>
      <c r="C283" t="s">
        <v>275</v>
      </c>
      <c r="D283" t="str">
        <f t="shared" si="8"/>
        <v>Credit Card Payments</v>
      </c>
      <c r="E283" t="s">
        <v>242</v>
      </c>
      <c r="F283" t="s">
        <v>238</v>
      </c>
      <c r="G283">
        <v>20</v>
      </c>
      <c r="H283">
        <f t="shared" si="9"/>
        <v>201501</v>
      </c>
      <c r="I283">
        <f>MATCH(D283,$O:$O,0)</f>
        <v>38</v>
      </c>
    </row>
    <row r="284" spans="1:9" x14ac:dyDescent="0.25">
      <c r="A284" t="s">
        <v>236</v>
      </c>
      <c r="B284" s="26">
        <v>42006</v>
      </c>
      <c r="C284" t="s">
        <v>435</v>
      </c>
      <c r="D284" t="str">
        <f t="shared" si="8"/>
        <v>Credit Card Payments</v>
      </c>
      <c r="E284" t="s">
        <v>242</v>
      </c>
      <c r="F284" t="s">
        <v>238</v>
      </c>
      <c r="G284" s="30">
        <v>1626.37</v>
      </c>
      <c r="H284">
        <f t="shared" si="9"/>
        <v>201501</v>
      </c>
      <c r="I284">
        <f>MATCH(D284,$O:$O,0)</f>
        <v>38</v>
      </c>
    </row>
    <row r="285" spans="1:9" x14ac:dyDescent="0.25">
      <c r="A285" t="s">
        <v>236</v>
      </c>
      <c r="B285" s="26">
        <v>42006</v>
      </c>
      <c r="C285" t="s">
        <v>434</v>
      </c>
      <c r="D285" t="str">
        <f t="shared" si="8"/>
        <v>D-Restaurant</v>
      </c>
      <c r="E285" t="s">
        <v>204</v>
      </c>
      <c r="F285" t="s">
        <v>238</v>
      </c>
      <c r="G285" s="42">
        <v>-11.28</v>
      </c>
      <c r="H285">
        <f t="shared" si="9"/>
        <v>201501</v>
      </c>
      <c r="I285">
        <f>MATCH(D285,$O:$O,0)</f>
        <v>9</v>
      </c>
    </row>
    <row r="286" spans="1:9" x14ac:dyDescent="0.25">
      <c r="A286" t="s">
        <v>236</v>
      </c>
      <c r="B286" s="26">
        <v>42006</v>
      </c>
      <c r="C286" t="s">
        <v>431</v>
      </c>
      <c r="D286" t="str">
        <f t="shared" si="8"/>
        <v>Grocery</v>
      </c>
      <c r="E286" t="s">
        <v>192</v>
      </c>
      <c r="F286" t="s">
        <v>238</v>
      </c>
      <c r="G286">
        <v>-6.86</v>
      </c>
      <c r="H286">
        <f t="shared" si="9"/>
        <v>201501</v>
      </c>
      <c r="I286">
        <f>MATCH(D286,$O:$O,0)</f>
        <v>12</v>
      </c>
    </row>
    <row r="287" spans="1:9" x14ac:dyDescent="0.25">
      <c r="A287" t="s">
        <v>236</v>
      </c>
      <c r="B287" s="26">
        <v>42006</v>
      </c>
      <c r="C287" t="s">
        <v>433</v>
      </c>
      <c r="D287" t="str">
        <f t="shared" si="8"/>
        <v>Grocery</v>
      </c>
      <c r="E287" t="s">
        <v>192</v>
      </c>
      <c r="F287" t="s">
        <v>238</v>
      </c>
      <c r="G287">
        <v>-55.96</v>
      </c>
      <c r="H287">
        <f t="shared" si="9"/>
        <v>201501</v>
      </c>
      <c r="I287">
        <f>MATCH(D287,$O:$O,0)</f>
        <v>12</v>
      </c>
    </row>
    <row r="288" spans="1:9" x14ac:dyDescent="0.25">
      <c r="A288" t="s">
        <v>236</v>
      </c>
      <c r="B288" s="26">
        <v>42006</v>
      </c>
      <c r="C288" t="s">
        <v>425</v>
      </c>
      <c r="D288" t="str">
        <f t="shared" si="8"/>
        <v>Grocery</v>
      </c>
      <c r="E288" t="s">
        <v>192</v>
      </c>
      <c r="F288" t="s">
        <v>238</v>
      </c>
      <c r="G288">
        <v>-21.56</v>
      </c>
      <c r="H288">
        <f t="shared" si="9"/>
        <v>201501</v>
      </c>
      <c r="I288">
        <f>MATCH(D288,$O:$O,0)</f>
        <v>12</v>
      </c>
    </row>
    <row r="289" spans="1:9" x14ac:dyDescent="0.25">
      <c r="A289" t="s">
        <v>236</v>
      </c>
      <c r="B289" s="26">
        <v>42006</v>
      </c>
      <c r="C289" t="s">
        <v>429</v>
      </c>
      <c r="D289" t="str">
        <f t="shared" si="8"/>
        <v>Transfers</v>
      </c>
      <c r="E289" t="s">
        <v>226</v>
      </c>
      <c r="F289" t="s">
        <v>238</v>
      </c>
      <c r="G289" s="44">
        <v>-7256.56</v>
      </c>
      <c r="H289">
        <f t="shared" si="9"/>
        <v>201501</v>
      </c>
      <c r="I289">
        <f>MATCH(D289,$O:$O,0)</f>
        <v>37</v>
      </c>
    </row>
    <row r="290" spans="1:9" x14ac:dyDescent="0.25">
      <c r="A290" t="s">
        <v>236</v>
      </c>
      <c r="B290" s="26">
        <v>42006</v>
      </c>
      <c r="C290" t="s">
        <v>432</v>
      </c>
      <c r="D290" t="str">
        <f t="shared" si="8"/>
        <v>Uncategorized</v>
      </c>
      <c r="E290" t="s">
        <v>102</v>
      </c>
      <c r="F290" t="s">
        <v>238</v>
      </c>
      <c r="G290">
        <v>-80</v>
      </c>
      <c r="H290">
        <f t="shared" si="9"/>
        <v>201501</v>
      </c>
      <c r="I290">
        <f>MATCH(D290,$O:$O,0)</f>
        <v>33</v>
      </c>
    </row>
    <row r="291" spans="1:9" x14ac:dyDescent="0.25">
      <c r="A291" t="s">
        <v>236</v>
      </c>
      <c r="B291" s="26">
        <v>42007</v>
      </c>
      <c r="C291" t="s">
        <v>426</v>
      </c>
      <c r="D291" t="str">
        <f t="shared" si="8"/>
        <v>Gifts</v>
      </c>
      <c r="E291" t="s">
        <v>40</v>
      </c>
      <c r="F291" t="s">
        <v>238</v>
      </c>
      <c r="G291">
        <v>100</v>
      </c>
      <c r="H291">
        <f t="shared" si="9"/>
        <v>201501</v>
      </c>
      <c r="I291">
        <f>MATCH(D291,$O:$O,0)</f>
        <v>11</v>
      </c>
    </row>
    <row r="292" spans="1:9" x14ac:dyDescent="0.25">
      <c r="A292" t="s">
        <v>236</v>
      </c>
      <c r="B292" s="26">
        <v>42007</v>
      </c>
      <c r="C292" t="s">
        <v>424</v>
      </c>
      <c r="D292" t="str">
        <f t="shared" si="8"/>
        <v>Gas</v>
      </c>
      <c r="E292" t="s">
        <v>311</v>
      </c>
      <c r="F292" t="s">
        <v>238</v>
      </c>
      <c r="G292">
        <v>-23.9</v>
      </c>
      <c r="H292">
        <f t="shared" si="9"/>
        <v>201501</v>
      </c>
      <c r="I292">
        <f>MATCH(D292,$O:$O,0)</f>
        <v>30</v>
      </c>
    </row>
    <row r="293" spans="1:9" x14ac:dyDescent="0.25">
      <c r="A293" t="s">
        <v>236</v>
      </c>
      <c r="B293" s="26">
        <v>42007</v>
      </c>
      <c r="C293" t="s">
        <v>384</v>
      </c>
      <c r="D293" t="str">
        <f t="shared" si="8"/>
        <v>Grocery</v>
      </c>
      <c r="E293" t="s">
        <v>385</v>
      </c>
      <c r="F293" t="s">
        <v>238</v>
      </c>
      <c r="G293">
        <v>-179.84</v>
      </c>
      <c r="H293">
        <f t="shared" si="9"/>
        <v>201501</v>
      </c>
      <c r="I293">
        <f>MATCH(D293,$O:$O,0)</f>
        <v>12</v>
      </c>
    </row>
    <row r="294" spans="1:9" x14ac:dyDescent="0.25">
      <c r="A294" t="s">
        <v>236</v>
      </c>
      <c r="B294" s="26">
        <v>42008</v>
      </c>
      <c r="C294" t="s">
        <v>425</v>
      </c>
      <c r="D294" t="str">
        <f t="shared" si="8"/>
        <v>Grocery</v>
      </c>
      <c r="E294" t="s">
        <v>192</v>
      </c>
      <c r="F294" t="s">
        <v>238</v>
      </c>
      <c r="G294">
        <v>-41.88</v>
      </c>
      <c r="H294">
        <f t="shared" si="9"/>
        <v>201501</v>
      </c>
      <c r="I294">
        <f>MATCH(D294,$O:$O,0)</f>
        <v>12</v>
      </c>
    </row>
    <row r="295" spans="1:9" x14ac:dyDescent="0.25">
      <c r="A295" t="s">
        <v>236</v>
      </c>
      <c r="B295" s="26">
        <v>42008</v>
      </c>
      <c r="C295" t="s">
        <v>384</v>
      </c>
      <c r="D295" t="str">
        <f t="shared" si="8"/>
        <v>Grocery</v>
      </c>
      <c r="E295" t="s">
        <v>385</v>
      </c>
      <c r="F295" t="s">
        <v>238</v>
      </c>
      <c r="G295">
        <v>-20.16</v>
      </c>
      <c r="H295">
        <f t="shared" si="9"/>
        <v>201501</v>
      </c>
      <c r="I295">
        <f>MATCH(D295,$O:$O,0)</f>
        <v>12</v>
      </c>
    </row>
    <row r="296" spans="1:9" x14ac:dyDescent="0.25">
      <c r="A296" t="s">
        <v>236</v>
      </c>
      <c r="B296" s="26">
        <v>42009</v>
      </c>
      <c r="C296" t="s">
        <v>422</v>
      </c>
      <c r="D296" t="str">
        <f t="shared" si="8"/>
        <v>Gifts</v>
      </c>
      <c r="E296" t="s">
        <v>40</v>
      </c>
      <c r="F296" t="s">
        <v>238</v>
      </c>
      <c r="G296" s="44">
        <v>-1494.24</v>
      </c>
      <c r="H296">
        <f t="shared" si="9"/>
        <v>201501</v>
      </c>
      <c r="I296">
        <f>MATCH(D296,$O:$O,0)</f>
        <v>11</v>
      </c>
    </row>
    <row r="297" spans="1:9" x14ac:dyDescent="0.25">
      <c r="A297" t="s">
        <v>236</v>
      </c>
      <c r="B297" s="26">
        <v>42009</v>
      </c>
      <c r="C297" t="s">
        <v>424</v>
      </c>
      <c r="D297" t="str">
        <f t="shared" si="8"/>
        <v>Gas</v>
      </c>
      <c r="E297" t="s">
        <v>311</v>
      </c>
      <c r="F297" t="s">
        <v>238</v>
      </c>
      <c r="G297">
        <v>-37.090000000000003</v>
      </c>
      <c r="H297">
        <f t="shared" si="9"/>
        <v>201501</v>
      </c>
      <c r="I297">
        <f>MATCH(D297,$O:$O,0)</f>
        <v>30</v>
      </c>
    </row>
    <row r="298" spans="1:9" x14ac:dyDescent="0.25">
      <c r="A298" t="s">
        <v>236</v>
      </c>
      <c r="B298" s="26">
        <v>42009</v>
      </c>
      <c r="C298" t="s">
        <v>423</v>
      </c>
      <c r="D298" t="str">
        <f t="shared" si="8"/>
        <v>Grocery</v>
      </c>
      <c r="E298" t="s">
        <v>192</v>
      </c>
      <c r="F298" t="s">
        <v>238</v>
      </c>
      <c r="G298">
        <v>-6.52</v>
      </c>
      <c r="H298">
        <f t="shared" si="9"/>
        <v>201501</v>
      </c>
      <c r="I298">
        <f>MATCH(D298,$O:$O,0)</f>
        <v>12</v>
      </c>
    </row>
    <row r="299" spans="1:9" x14ac:dyDescent="0.25">
      <c r="A299" t="s">
        <v>236</v>
      </c>
      <c r="B299" s="26">
        <v>42010</v>
      </c>
      <c r="C299" t="s">
        <v>421</v>
      </c>
      <c r="D299" t="str">
        <f t="shared" si="8"/>
        <v>Gifts</v>
      </c>
      <c r="E299" t="s">
        <v>40</v>
      </c>
      <c r="F299" t="s">
        <v>238</v>
      </c>
      <c r="G299">
        <v>250</v>
      </c>
      <c r="H299">
        <f t="shared" si="9"/>
        <v>201501</v>
      </c>
      <c r="I299">
        <f>MATCH(D299,$O:$O,0)</f>
        <v>11</v>
      </c>
    </row>
    <row r="300" spans="1:9" x14ac:dyDescent="0.25">
      <c r="A300" t="s">
        <v>236</v>
      </c>
      <c r="B300" s="26">
        <v>42011</v>
      </c>
      <c r="C300" t="s">
        <v>420</v>
      </c>
      <c r="D300" t="str">
        <f t="shared" si="8"/>
        <v>D-Coffee</v>
      </c>
      <c r="E300" t="s">
        <v>215</v>
      </c>
      <c r="F300" t="s">
        <v>238</v>
      </c>
      <c r="G300">
        <v>-25</v>
      </c>
      <c r="H300">
        <f t="shared" si="9"/>
        <v>201501</v>
      </c>
      <c r="I300">
        <f>MATCH(D300,$O:$O,0)</f>
        <v>7</v>
      </c>
    </row>
    <row r="301" spans="1:9" x14ac:dyDescent="0.25">
      <c r="A301" t="s">
        <v>236</v>
      </c>
      <c r="B301" s="26">
        <v>42011</v>
      </c>
      <c r="C301" t="s">
        <v>825</v>
      </c>
      <c r="D301" t="str">
        <f t="shared" si="8"/>
        <v>Parent Support</v>
      </c>
      <c r="E301" t="s">
        <v>61</v>
      </c>
      <c r="G301" s="30">
        <v>-100</v>
      </c>
      <c r="H301">
        <f t="shared" si="9"/>
        <v>201501</v>
      </c>
      <c r="I301">
        <f>MATCH(D301,$O:$O,0)</f>
        <v>24</v>
      </c>
    </row>
    <row r="302" spans="1:9" x14ac:dyDescent="0.25">
      <c r="A302" t="s">
        <v>236</v>
      </c>
      <c r="B302" s="26">
        <v>42013</v>
      </c>
      <c r="C302" t="s">
        <v>419</v>
      </c>
      <c r="D302" t="str">
        <f t="shared" si="8"/>
        <v>Newspapers</v>
      </c>
      <c r="E302" t="s">
        <v>35</v>
      </c>
      <c r="F302" t="s">
        <v>238</v>
      </c>
      <c r="G302">
        <v>-14.99</v>
      </c>
      <c r="H302">
        <f t="shared" si="9"/>
        <v>201501</v>
      </c>
      <c r="I302">
        <f>MATCH(D302,$O:$O,0)</f>
        <v>23</v>
      </c>
    </row>
    <row r="303" spans="1:9" x14ac:dyDescent="0.25">
      <c r="A303" t="s">
        <v>236</v>
      </c>
      <c r="B303" s="26">
        <v>42014</v>
      </c>
      <c r="C303" t="s">
        <v>418</v>
      </c>
      <c r="D303" t="str">
        <f t="shared" si="8"/>
        <v>D-Coffee</v>
      </c>
      <c r="E303" t="s">
        <v>215</v>
      </c>
      <c r="F303" t="s">
        <v>238</v>
      </c>
      <c r="G303">
        <v>-2.15</v>
      </c>
      <c r="H303">
        <f t="shared" si="9"/>
        <v>201501</v>
      </c>
      <c r="I303">
        <f>MATCH(D303,$O:$O,0)</f>
        <v>7</v>
      </c>
    </row>
    <row r="304" spans="1:9" x14ac:dyDescent="0.25">
      <c r="A304" t="s">
        <v>236</v>
      </c>
      <c r="B304" s="26">
        <v>42015</v>
      </c>
      <c r="C304" t="s">
        <v>417</v>
      </c>
      <c r="D304" t="str">
        <f t="shared" si="8"/>
        <v>Grocery</v>
      </c>
      <c r="E304" t="s">
        <v>192</v>
      </c>
      <c r="F304" t="s">
        <v>238</v>
      </c>
      <c r="G304">
        <v>-5.45</v>
      </c>
      <c r="H304">
        <f t="shared" si="9"/>
        <v>201501</v>
      </c>
      <c r="I304">
        <f>MATCH(D304,$O:$O,0)</f>
        <v>12</v>
      </c>
    </row>
    <row r="305" spans="1:9" x14ac:dyDescent="0.25">
      <c r="A305" t="s">
        <v>236</v>
      </c>
      <c r="B305" s="26">
        <v>42016</v>
      </c>
      <c r="C305" t="s">
        <v>416</v>
      </c>
      <c r="D305" t="str">
        <f t="shared" si="8"/>
        <v>Paychecks/Salary</v>
      </c>
      <c r="E305" t="s">
        <v>261</v>
      </c>
      <c r="F305" t="s">
        <v>238</v>
      </c>
      <c r="G305">
        <v>464.9</v>
      </c>
      <c r="H305">
        <f t="shared" si="9"/>
        <v>201501</v>
      </c>
      <c r="I305">
        <f>MATCH(D305,$O:$O,0)</f>
        <v>40</v>
      </c>
    </row>
    <row r="306" spans="1:9" x14ac:dyDescent="0.25">
      <c r="A306" t="s">
        <v>236</v>
      </c>
      <c r="B306" s="26">
        <v>42016</v>
      </c>
      <c r="C306" t="s">
        <v>364</v>
      </c>
      <c r="D306" t="str">
        <f t="shared" si="8"/>
        <v>Transfers</v>
      </c>
      <c r="E306" t="s">
        <v>226</v>
      </c>
      <c r="F306" t="s">
        <v>238</v>
      </c>
      <c r="G306" s="44">
        <v>15600</v>
      </c>
      <c r="H306">
        <f t="shared" si="9"/>
        <v>201501</v>
      </c>
      <c r="I306">
        <f>MATCH(D306,$O:$O,0)</f>
        <v>37</v>
      </c>
    </row>
    <row r="307" spans="1:9" x14ac:dyDescent="0.25">
      <c r="A307" t="s">
        <v>236</v>
      </c>
      <c r="B307" s="26">
        <v>42017</v>
      </c>
      <c r="C307" t="s">
        <v>415</v>
      </c>
      <c r="D307" t="str">
        <f t="shared" si="8"/>
        <v>Cell Phone</v>
      </c>
      <c r="E307" t="s">
        <v>224</v>
      </c>
      <c r="F307" t="s">
        <v>238</v>
      </c>
      <c r="G307">
        <v>-19.489999999999998</v>
      </c>
      <c r="H307">
        <f t="shared" si="9"/>
        <v>201501</v>
      </c>
      <c r="I307">
        <f>MATCH(D307,$O:$O,0)</f>
        <v>4</v>
      </c>
    </row>
    <row r="308" spans="1:9" x14ac:dyDescent="0.25">
      <c r="A308" t="s">
        <v>236</v>
      </c>
      <c r="B308" s="26">
        <v>42017</v>
      </c>
      <c r="C308" t="s">
        <v>414</v>
      </c>
      <c r="D308" t="str">
        <f t="shared" si="8"/>
        <v>Health Care</v>
      </c>
      <c r="E308" t="s">
        <v>160</v>
      </c>
      <c r="F308" t="s">
        <v>238</v>
      </c>
      <c r="G308" s="42">
        <v>-24.34</v>
      </c>
      <c r="H308">
        <f t="shared" si="9"/>
        <v>201501</v>
      </c>
      <c r="I308">
        <f>MATCH(D308,$O:$O,0)</f>
        <v>14</v>
      </c>
    </row>
    <row r="309" spans="1:9" x14ac:dyDescent="0.25">
      <c r="A309" t="s">
        <v>236</v>
      </c>
      <c r="B309" s="26">
        <v>42017</v>
      </c>
      <c r="C309" t="s">
        <v>412</v>
      </c>
      <c r="D309" t="str">
        <f t="shared" si="8"/>
        <v>Paychecks/Salary</v>
      </c>
      <c r="E309" t="s">
        <v>261</v>
      </c>
      <c r="F309" t="s">
        <v>238</v>
      </c>
      <c r="G309" s="42">
        <v>2.71</v>
      </c>
      <c r="H309">
        <f t="shared" si="9"/>
        <v>201501</v>
      </c>
      <c r="I309">
        <f>MATCH(D309,$O:$O,0)</f>
        <v>40</v>
      </c>
    </row>
    <row r="310" spans="1:9" x14ac:dyDescent="0.25">
      <c r="A310" t="s">
        <v>236</v>
      </c>
      <c r="B310" s="26">
        <v>42017</v>
      </c>
      <c r="C310" t="s">
        <v>413</v>
      </c>
      <c r="D310" t="str">
        <f t="shared" si="8"/>
        <v>Utility</v>
      </c>
      <c r="E310" t="s">
        <v>19</v>
      </c>
      <c r="F310" t="s">
        <v>238</v>
      </c>
      <c r="G310">
        <v>-174.59</v>
      </c>
      <c r="H310">
        <f t="shared" si="9"/>
        <v>201501</v>
      </c>
      <c r="I310">
        <f>MATCH(D310,$O:$O,0)</f>
        <v>34</v>
      </c>
    </row>
    <row r="311" spans="1:9" x14ac:dyDescent="0.25">
      <c r="A311" t="s">
        <v>236</v>
      </c>
      <c r="B311" s="26">
        <v>42018</v>
      </c>
      <c r="C311" t="s">
        <v>410</v>
      </c>
      <c r="D311" t="str">
        <f t="shared" si="8"/>
        <v>Wedding</v>
      </c>
      <c r="E311" t="s">
        <v>6</v>
      </c>
      <c r="F311" t="s">
        <v>238</v>
      </c>
      <c r="G311" s="44">
        <v>-3500</v>
      </c>
      <c r="H311">
        <f t="shared" si="9"/>
        <v>201501</v>
      </c>
      <c r="I311">
        <f>MATCH(D311,$O:$O,0)</f>
        <v>41</v>
      </c>
    </row>
    <row r="312" spans="1:9" x14ac:dyDescent="0.25">
      <c r="A312" t="s">
        <v>236</v>
      </c>
      <c r="B312" s="26">
        <v>42018</v>
      </c>
      <c r="C312" t="s">
        <v>409</v>
      </c>
      <c r="D312" t="str">
        <f t="shared" si="8"/>
        <v>Paychecks/Salary</v>
      </c>
      <c r="E312" t="s">
        <v>261</v>
      </c>
      <c r="F312" t="s">
        <v>238</v>
      </c>
      <c r="G312" s="42">
        <v>0.66</v>
      </c>
      <c r="H312">
        <f t="shared" si="9"/>
        <v>201501</v>
      </c>
      <c r="I312">
        <f>MATCH(D312,$O:$O,0)</f>
        <v>40</v>
      </c>
    </row>
    <row r="313" spans="1:9" x14ac:dyDescent="0.25">
      <c r="A313" t="s">
        <v>236</v>
      </c>
      <c r="B313" s="26">
        <v>42018</v>
      </c>
      <c r="C313" t="s">
        <v>411</v>
      </c>
      <c r="D313" t="str">
        <f t="shared" si="8"/>
        <v>Paychecks/Salary</v>
      </c>
      <c r="E313" t="s">
        <v>261</v>
      </c>
      <c r="F313" t="s">
        <v>238</v>
      </c>
      <c r="G313">
        <v>0.73</v>
      </c>
      <c r="H313">
        <f t="shared" si="9"/>
        <v>201501</v>
      </c>
      <c r="I313">
        <f>MATCH(D313,$O:$O,0)</f>
        <v>40</v>
      </c>
    </row>
    <row r="314" spans="1:9" x14ac:dyDescent="0.25">
      <c r="A314" t="s">
        <v>236</v>
      </c>
      <c r="B314" s="26">
        <v>42018</v>
      </c>
      <c r="C314" t="s">
        <v>411</v>
      </c>
      <c r="D314" t="str">
        <f t="shared" si="8"/>
        <v>Paychecks/Salary</v>
      </c>
      <c r="E314" t="s">
        <v>261</v>
      </c>
      <c r="F314" t="s">
        <v>238</v>
      </c>
      <c r="G314">
        <v>3.38</v>
      </c>
      <c r="H314">
        <f t="shared" si="9"/>
        <v>201501</v>
      </c>
      <c r="I314">
        <f>MATCH(D314,$O:$O,0)</f>
        <v>40</v>
      </c>
    </row>
    <row r="315" spans="1:9" x14ac:dyDescent="0.25">
      <c r="A315" t="s">
        <v>236</v>
      </c>
      <c r="B315" s="26">
        <v>42018</v>
      </c>
      <c r="C315" t="s">
        <v>411</v>
      </c>
      <c r="D315" t="str">
        <f t="shared" si="8"/>
        <v>Paychecks/Salary</v>
      </c>
      <c r="E315" t="s">
        <v>261</v>
      </c>
      <c r="F315" t="s">
        <v>238</v>
      </c>
      <c r="G315">
        <v>0.73</v>
      </c>
      <c r="H315">
        <f t="shared" si="9"/>
        <v>201501</v>
      </c>
      <c r="I315">
        <f>MATCH(D315,$O:$O,0)</f>
        <v>40</v>
      </c>
    </row>
    <row r="316" spans="1:9" x14ac:dyDescent="0.25">
      <c r="A316" t="s">
        <v>236</v>
      </c>
      <c r="B316" s="26">
        <v>42019</v>
      </c>
      <c r="C316" t="s">
        <v>408</v>
      </c>
      <c r="D316" t="str">
        <f t="shared" si="8"/>
        <v>D-Restaurant</v>
      </c>
      <c r="E316" t="s">
        <v>204</v>
      </c>
      <c r="F316" t="s">
        <v>238</v>
      </c>
      <c r="G316">
        <v>-4.3</v>
      </c>
      <c r="H316">
        <f t="shared" si="9"/>
        <v>201501</v>
      </c>
      <c r="I316">
        <f>MATCH(D316,$O:$O,0)</f>
        <v>9</v>
      </c>
    </row>
    <row r="317" spans="1:9" x14ac:dyDescent="0.25">
      <c r="A317" t="s">
        <v>236</v>
      </c>
      <c r="B317" s="26">
        <v>42019</v>
      </c>
      <c r="C317" t="s">
        <v>407</v>
      </c>
      <c r="D317" t="str">
        <f t="shared" si="8"/>
        <v>D-Travel</v>
      </c>
      <c r="E317" t="s">
        <v>161</v>
      </c>
      <c r="F317" t="s">
        <v>238</v>
      </c>
      <c r="G317">
        <v>-6</v>
      </c>
      <c r="H317">
        <f t="shared" si="9"/>
        <v>201501</v>
      </c>
      <c r="I317">
        <f>MATCH(D317,$O:$O,0)</f>
        <v>10</v>
      </c>
    </row>
    <row r="318" spans="1:9" x14ac:dyDescent="0.25">
      <c r="A318" t="s">
        <v>236</v>
      </c>
      <c r="B318" s="26">
        <v>42019</v>
      </c>
      <c r="C318" t="s">
        <v>406</v>
      </c>
      <c r="D318" t="str">
        <f t="shared" si="8"/>
        <v>Paychecks/Salary</v>
      </c>
      <c r="E318" t="s">
        <v>261</v>
      </c>
      <c r="F318" t="s">
        <v>238</v>
      </c>
      <c r="G318" s="44">
        <v>2623.83</v>
      </c>
      <c r="H318">
        <f t="shared" si="9"/>
        <v>201501</v>
      </c>
      <c r="I318">
        <f>MATCH(D318,$O:$O,0)</f>
        <v>40</v>
      </c>
    </row>
    <row r="319" spans="1:9" x14ac:dyDescent="0.25">
      <c r="A319" t="s">
        <v>236</v>
      </c>
      <c r="B319" s="26">
        <v>42019</v>
      </c>
      <c r="C319" t="s">
        <v>405</v>
      </c>
      <c r="D319" t="s">
        <v>177</v>
      </c>
      <c r="E319" t="s">
        <v>391</v>
      </c>
      <c r="F319" t="s">
        <v>238</v>
      </c>
      <c r="G319" s="44">
        <v>-4680.84</v>
      </c>
      <c r="H319">
        <f t="shared" si="9"/>
        <v>201501</v>
      </c>
      <c r="I319">
        <f>MATCH(D319,$O:$O,0)</f>
        <v>15</v>
      </c>
    </row>
    <row r="320" spans="1:9" x14ac:dyDescent="0.25">
      <c r="A320" t="s">
        <v>236</v>
      </c>
      <c r="B320" s="26">
        <v>42020</v>
      </c>
      <c r="C320" t="s">
        <v>401</v>
      </c>
      <c r="D320" t="str">
        <f t="shared" ref="D320:D333" si="10">IF(ISNA(VLOOKUP(E320,$L$2:$M$26,2,FALSE)),E320,VLOOKUP(E320,$L$2:$M$26,2,FALSE))</f>
        <v>Parent Support</v>
      </c>
      <c r="E320" t="s">
        <v>61</v>
      </c>
      <c r="F320" t="s">
        <v>238</v>
      </c>
      <c r="G320" s="44">
        <v>-1429.35</v>
      </c>
      <c r="H320">
        <f t="shared" si="9"/>
        <v>201501</v>
      </c>
      <c r="I320">
        <f>MATCH(D320,$O:$O,0)</f>
        <v>24</v>
      </c>
    </row>
    <row r="321" spans="1:9" x14ac:dyDescent="0.25">
      <c r="A321" t="s">
        <v>236</v>
      </c>
      <c r="B321" s="26">
        <v>42020</v>
      </c>
      <c r="C321" t="s">
        <v>404</v>
      </c>
      <c r="D321" t="str">
        <f t="shared" si="10"/>
        <v>D-Coffee</v>
      </c>
      <c r="E321" t="s">
        <v>215</v>
      </c>
      <c r="F321" t="s">
        <v>238</v>
      </c>
      <c r="G321">
        <v>-5.2</v>
      </c>
      <c r="H321">
        <f t="shared" si="9"/>
        <v>201501</v>
      </c>
      <c r="I321">
        <f>MATCH(D321,$O:$O,0)</f>
        <v>7</v>
      </c>
    </row>
    <row r="322" spans="1:9" x14ac:dyDescent="0.25">
      <c r="A322" t="s">
        <v>236</v>
      </c>
      <c r="B322" s="26">
        <v>42020</v>
      </c>
      <c r="C322" t="s">
        <v>402</v>
      </c>
      <c r="D322" t="str">
        <f t="shared" si="10"/>
        <v>Health Care</v>
      </c>
      <c r="E322" t="s">
        <v>160</v>
      </c>
      <c r="F322" t="s">
        <v>238</v>
      </c>
      <c r="G322">
        <v>-6.16</v>
      </c>
      <c r="H322">
        <f t="shared" ref="H322:H385" si="11">YEAR(B322)*100+MONTH(B322)</f>
        <v>201501</v>
      </c>
      <c r="I322">
        <f>MATCH(D322,$O:$O,0)</f>
        <v>14</v>
      </c>
    </row>
    <row r="323" spans="1:9" x14ac:dyDescent="0.25">
      <c r="A323" t="s">
        <v>236</v>
      </c>
      <c r="B323" s="26">
        <v>42020</v>
      </c>
      <c r="C323" t="s">
        <v>249</v>
      </c>
      <c r="D323" t="str">
        <f t="shared" si="10"/>
        <v>Retirement Contributions</v>
      </c>
      <c r="E323" t="s">
        <v>263</v>
      </c>
      <c r="F323" t="s">
        <v>238</v>
      </c>
      <c r="G323" s="42">
        <v>718.75</v>
      </c>
      <c r="H323">
        <f t="shared" si="11"/>
        <v>201501</v>
      </c>
      <c r="I323">
        <f>MATCH(D323,$O:$O,0)</f>
        <v>39</v>
      </c>
    </row>
    <row r="324" spans="1:9" x14ac:dyDescent="0.25">
      <c r="A324" t="s">
        <v>236</v>
      </c>
      <c r="B324" s="26">
        <v>42020</v>
      </c>
      <c r="C324" t="s">
        <v>403</v>
      </c>
      <c r="D324" t="str">
        <f t="shared" si="10"/>
        <v>Tax</v>
      </c>
      <c r="E324" t="s">
        <v>222</v>
      </c>
      <c r="F324" t="s">
        <v>238</v>
      </c>
      <c r="G324">
        <v>-17.2</v>
      </c>
      <c r="H324">
        <f t="shared" si="11"/>
        <v>201501</v>
      </c>
      <c r="I324">
        <f>MATCH(D324,$O:$O,0)</f>
        <v>29</v>
      </c>
    </row>
    <row r="325" spans="1:9" x14ac:dyDescent="0.25">
      <c r="A325" t="s">
        <v>236</v>
      </c>
      <c r="B325" s="26">
        <v>42021</v>
      </c>
      <c r="C325" t="s">
        <v>398</v>
      </c>
      <c r="D325" t="str">
        <f t="shared" si="10"/>
        <v>D-Restaurant</v>
      </c>
      <c r="E325" t="s">
        <v>204</v>
      </c>
      <c r="F325" t="s">
        <v>238</v>
      </c>
      <c r="G325">
        <v>-6.8</v>
      </c>
      <c r="H325">
        <f t="shared" si="11"/>
        <v>201501</v>
      </c>
      <c r="I325">
        <f>MATCH(D325,$O:$O,0)</f>
        <v>9</v>
      </c>
    </row>
    <row r="326" spans="1:9" x14ac:dyDescent="0.25">
      <c r="A326" t="s">
        <v>236</v>
      </c>
      <c r="B326" s="26">
        <v>42021</v>
      </c>
      <c r="C326" t="s">
        <v>399</v>
      </c>
      <c r="D326" t="str">
        <f t="shared" si="10"/>
        <v>Grocery</v>
      </c>
      <c r="E326" t="s">
        <v>385</v>
      </c>
      <c r="F326" t="s">
        <v>238</v>
      </c>
      <c r="G326">
        <v>-7.99</v>
      </c>
      <c r="H326">
        <f t="shared" si="11"/>
        <v>201501</v>
      </c>
      <c r="I326">
        <f>MATCH(D326,$O:$O,0)</f>
        <v>12</v>
      </c>
    </row>
    <row r="327" spans="1:9" x14ac:dyDescent="0.25">
      <c r="A327" t="s">
        <v>236</v>
      </c>
      <c r="B327" s="26">
        <v>42021</v>
      </c>
      <c r="C327" t="s">
        <v>400</v>
      </c>
      <c r="D327" t="str">
        <f t="shared" si="10"/>
        <v>Grocery</v>
      </c>
      <c r="E327" t="s">
        <v>385</v>
      </c>
      <c r="F327" t="s">
        <v>238</v>
      </c>
      <c r="G327">
        <v>-33.200000000000003</v>
      </c>
      <c r="H327">
        <f t="shared" si="11"/>
        <v>201501</v>
      </c>
      <c r="I327">
        <f>MATCH(D327,$O:$O,0)</f>
        <v>12</v>
      </c>
    </row>
    <row r="328" spans="1:9" x14ac:dyDescent="0.25">
      <c r="A328" t="s">
        <v>236</v>
      </c>
      <c r="B328" s="26">
        <v>42022</v>
      </c>
      <c r="C328" t="s">
        <v>395</v>
      </c>
      <c r="D328" t="str">
        <f t="shared" si="10"/>
        <v>Gas</v>
      </c>
      <c r="E328" t="s">
        <v>311</v>
      </c>
      <c r="F328" t="s">
        <v>238</v>
      </c>
      <c r="G328">
        <v>-23.01</v>
      </c>
      <c r="H328">
        <f t="shared" si="11"/>
        <v>201501</v>
      </c>
      <c r="I328">
        <f>MATCH(D328,$O:$O,0)</f>
        <v>30</v>
      </c>
    </row>
    <row r="329" spans="1:9" x14ac:dyDescent="0.25">
      <c r="A329" t="s">
        <v>236</v>
      </c>
      <c r="B329" s="26">
        <v>42022</v>
      </c>
      <c r="C329" t="s">
        <v>396</v>
      </c>
      <c r="D329" t="str">
        <f t="shared" si="10"/>
        <v>Grocery</v>
      </c>
      <c r="E329" t="s">
        <v>385</v>
      </c>
      <c r="F329" t="s">
        <v>238</v>
      </c>
      <c r="G329">
        <v>-11.3</v>
      </c>
      <c r="H329">
        <f t="shared" si="11"/>
        <v>201501</v>
      </c>
      <c r="I329">
        <f>MATCH(D329,$O:$O,0)</f>
        <v>12</v>
      </c>
    </row>
    <row r="330" spans="1:9" x14ac:dyDescent="0.25">
      <c r="A330" t="s">
        <v>236</v>
      </c>
      <c r="B330" s="26">
        <v>42022</v>
      </c>
      <c r="C330" t="s">
        <v>397</v>
      </c>
      <c r="D330" t="str">
        <f t="shared" si="10"/>
        <v>Grocery</v>
      </c>
      <c r="E330" t="s">
        <v>192</v>
      </c>
      <c r="F330" t="s">
        <v>238</v>
      </c>
      <c r="G330">
        <v>-10.08</v>
      </c>
      <c r="H330">
        <f t="shared" si="11"/>
        <v>201501</v>
      </c>
      <c r="I330">
        <f>MATCH(D330,$O:$O,0)</f>
        <v>12</v>
      </c>
    </row>
    <row r="331" spans="1:9" x14ac:dyDescent="0.25">
      <c r="A331" t="s">
        <v>236</v>
      </c>
      <c r="B331" s="26">
        <v>42025</v>
      </c>
      <c r="C331" t="s">
        <v>393</v>
      </c>
      <c r="D331" t="str">
        <f t="shared" si="10"/>
        <v>D-Restaurant</v>
      </c>
      <c r="E331" t="s">
        <v>204</v>
      </c>
      <c r="F331" t="s">
        <v>238</v>
      </c>
      <c r="G331">
        <v>-4.62</v>
      </c>
      <c r="H331">
        <f t="shared" si="11"/>
        <v>201501</v>
      </c>
      <c r="I331">
        <f>MATCH(D331,$O:$O,0)</f>
        <v>9</v>
      </c>
    </row>
    <row r="332" spans="1:9" x14ac:dyDescent="0.25">
      <c r="A332" t="s">
        <v>236</v>
      </c>
      <c r="B332" s="26">
        <v>42025</v>
      </c>
      <c r="C332" t="s">
        <v>394</v>
      </c>
      <c r="D332" t="str">
        <f t="shared" si="10"/>
        <v>D-Restaurant</v>
      </c>
      <c r="E332" t="s">
        <v>204</v>
      </c>
      <c r="F332" t="s">
        <v>238</v>
      </c>
      <c r="G332">
        <v>-6.55</v>
      </c>
      <c r="H332">
        <f t="shared" si="11"/>
        <v>201501</v>
      </c>
      <c r="I332">
        <f>MATCH(D332,$O:$O,0)</f>
        <v>9</v>
      </c>
    </row>
    <row r="333" spans="1:9" x14ac:dyDescent="0.25">
      <c r="A333" t="s">
        <v>236</v>
      </c>
      <c r="B333" s="26">
        <v>42026</v>
      </c>
      <c r="C333" t="s">
        <v>393</v>
      </c>
      <c r="D333" t="str">
        <f t="shared" si="10"/>
        <v>D-Restaurant</v>
      </c>
      <c r="E333" t="s">
        <v>204</v>
      </c>
      <c r="F333" t="s">
        <v>238</v>
      </c>
      <c r="G333">
        <v>-8.65</v>
      </c>
      <c r="H333">
        <f t="shared" si="11"/>
        <v>201501</v>
      </c>
      <c r="I333">
        <f>MATCH(D333,$O:$O,0)</f>
        <v>9</v>
      </c>
    </row>
    <row r="334" spans="1:9" x14ac:dyDescent="0.25">
      <c r="A334" t="s">
        <v>236</v>
      </c>
      <c r="B334" s="26">
        <v>42026</v>
      </c>
      <c r="C334" t="s">
        <v>390</v>
      </c>
      <c r="D334" t="s">
        <v>177</v>
      </c>
      <c r="E334" t="s">
        <v>177</v>
      </c>
      <c r="F334" t="s">
        <v>238</v>
      </c>
      <c r="G334">
        <v>-263.70999999999998</v>
      </c>
      <c r="H334">
        <f t="shared" si="11"/>
        <v>201501</v>
      </c>
      <c r="I334">
        <f>MATCH(D334,$O:$O,0)</f>
        <v>15</v>
      </c>
    </row>
    <row r="335" spans="1:9" x14ac:dyDescent="0.25">
      <c r="A335" t="s">
        <v>236</v>
      </c>
      <c r="B335" s="26">
        <v>42026</v>
      </c>
      <c r="C335" t="s">
        <v>392</v>
      </c>
      <c r="D335" t="str">
        <f t="shared" ref="D335:D354" si="12">IF(ISNA(VLOOKUP(E335,$L$2:$M$26,2,FALSE)),E335,VLOOKUP(E335,$L$2:$M$26,2,FALSE))</f>
        <v>Utility</v>
      </c>
      <c r="E335" t="s">
        <v>19</v>
      </c>
      <c r="F335" t="s">
        <v>238</v>
      </c>
      <c r="G335">
        <v>-306.82</v>
      </c>
      <c r="H335">
        <f t="shared" si="11"/>
        <v>201501</v>
      </c>
      <c r="I335">
        <f>MATCH(D335,$O:$O,0)</f>
        <v>34</v>
      </c>
    </row>
    <row r="336" spans="1:9" x14ac:dyDescent="0.25">
      <c r="A336" t="s">
        <v>236</v>
      </c>
      <c r="B336" s="26">
        <v>42027</v>
      </c>
      <c r="C336" t="s">
        <v>389</v>
      </c>
      <c r="D336" t="str">
        <f t="shared" si="12"/>
        <v>D-Restaurant</v>
      </c>
      <c r="E336" t="s">
        <v>204</v>
      </c>
      <c r="F336" t="s">
        <v>238</v>
      </c>
      <c r="G336">
        <v>-10.82</v>
      </c>
      <c r="H336">
        <f t="shared" si="11"/>
        <v>201501</v>
      </c>
      <c r="I336">
        <f>MATCH(D336,$O:$O,0)</f>
        <v>9</v>
      </c>
    </row>
    <row r="337" spans="1:9" x14ac:dyDescent="0.25">
      <c r="A337" t="s">
        <v>236</v>
      </c>
      <c r="B337" s="26">
        <v>42028</v>
      </c>
      <c r="C337" t="s">
        <v>388</v>
      </c>
      <c r="D337" t="str">
        <f t="shared" si="12"/>
        <v>D-Coffee</v>
      </c>
      <c r="E337" t="s">
        <v>215</v>
      </c>
      <c r="F337" t="s">
        <v>238</v>
      </c>
      <c r="G337">
        <v>-2.25</v>
      </c>
      <c r="H337">
        <f t="shared" si="11"/>
        <v>201501</v>
      </c>
      <c r="I337">
        <f>MATCH(D337,$O:$O,0)</f>
        <v>7</v>
      </c>
    </row>
    <row r="338" spans="1:9" x14ac:dyDescent="0.25">
      <c r="A338" t="s">
        <v>236</v>
      </c>
      <c r="B338" s="26">
        <v>42028</v>
      </c>
      <c r="C338" t="s">
        <v>387</v>
      </c>
      <c r="D338" t="str">
        <f t="shared" si="12"/>
        <v>D-Restaurant</v>
      </c>
      <c r="E338" t="s">
        <v>204</v>
      </c>
      <c r="F338" t="s">
        <v>238</v>
      </c>
      <c r="G338">
        <v>-7.56</v>
      </c>
      <c r="H338">
        <f t="shared" si="11"/>
        <v>201501</v>
      </c>
      <c r="I338">
        <f>MATCH(D338,$O:$O,0)</f>
        <v>9</v>
      </c>
    </row>
    <row r="339" spans="1:9" x14ac:dyDescent="0.25">
      <c r="A339" t="s">
        <v>236</v>
      </c>
      <c r="B339" s="26">
        <v>42029</v>
      </c>
      <c r="C339" t="s">
        <v>386</v>
      </c>
      <c r="D339" t="str">
        <f t="shared" si="12"/>
        <v>D-Restaurant</v>
      </c>
      <c r="E339" t="s">
        <v>204</v>
      </c>
      <c r="F339" t="s">
        <v>238</v>
      </c>
      <c r="G339">
        <v>-20.6</v>
      </c>
      <c r="H339">
        <f t="shared" si="11"/>
        <v>201501</v>
      </c>
      <c r="I339">
        <f>MATCH(D339,$O:$O,0)</f>
        <v>9</v>
      </c>
    </row>
    <row r="340" spans="1:9" x14ac:dyDescent="0.25">
      <c r="A340" t="s">
        <v>236</v>
      </c>
      <c r="B340" s="26">
        <v>42029</v>
      </c>
      <c r="C340" t="s">
        <v>384</v>
      </c>
      <c r="D340" t="str">
        <f t="shared" si="12"/>
        <v>Grocery</v>
      </c>
      <c r="E340" t="s">
        <v>385</v>
      </c>
      <c r="F340" t="s">
        <v>238</v>
      </c>
      <c r="G340">
        <v>-14.99</v>
      </c>
      <c r="H340">
        <f t="shared" si="11"/>
        <v>201501</v>
      </c>
      <c r="I340">
        <f>MATCH(D340,$O:$O,0)</f>
        <v>12</v>
      </c>
    </row>
    <row r="341" spans="1:9" x14ac:dyDescent="0.25">
      <c r="A341" t="s">
        <v>236</v>
      </c>
      <c r="B341" s="26">
        <v>42030</v>
      </c>
      <c r="C341" t="s">
        <v>380</v>
      </c>
      <c r="D341" t="str">
        <f t="shared" si="12"/>
        <v>D-Restaurant</v>
      </c>
      <c r="E341" t="s">
        <v>204</v>
      </c>
      <c r="F341" t="s">
        <v>238</v>
      </c>
      <c r="G341">
        <v>-20</v>
      </c>
      <c r="H341">
        <f t="shared" si="11"/>
        <v>201501</v>
      </c>
      <c r="I341">
        <f>MATCH(D341,$O:$O,0)</f>
        <v>9</v>
      </c>
    </row>
    <row r="342" spans="1:9" x14ac:dyDescent="0.25">
      <c r="A342" t="s">
        <v>236</v>
      </c>
      <c r="B342" s="26">
        <v>42030</v>
      </c>
      <c r="C342" t="s">
        <v>381</v>
      </c>
      <c r="D342" t="str">
        <f t="shared" si="12"/>
        <v>Wedding</v>
      </c>
      <c r="E342" t="s">
        <v>6</v>
      </c>
      <c r="F342" t="s">
        <v>238</v>
      </c>
      <c r="G342" s="44">
        <v>-1079.77</v>
      </c>
      <c r="H342">
        <f t="shared" si="11"/>
        <v>201501</v>
      </c>
      <c r="I342">
        <f>MATCH(D342,$O:$O,0)</f>
        <v>41</v>
      </c>
    </row>
    <row r="343" spans="1:9" x14ac:dyDescent="0.25">
      <c r="A343" t="s">
        <v>236</v>
      </c>
      <c r="B343" s="26">
        <v>42030</v>
      </c>
      <c r="C343" t="s">
        <v>381</v>
      </c>
      <c r="D343" t="str">
        <f t="shared" si="12"/>
        <v>Wedding</v>
      </c>
      <c r="E343" t="s">
        <v>6</v>
      </c>
      <c r="F343" t="s">
        <v>238</v>
      </c>
      <c r="G343" s="44">
        <v>-1079.77</v>
      </c>
      <c r="H343">
        <f t="shared" si="11"/>
        <v>201501</v>
      </c>
      <c r="I343">
        <f>MATCH(D343,$O:$O,0)</f>
        <v>41</v>
      </c>
    </row>
    <row r="344" spans="1:9" x14ac:dyDescent="0.25">
      <c r="A344" t="s">
        <v>236</v>
      </c>
      <c r="B344" s="26">
        <v>42030</v>
      </c>
      <c r="C344" t="s">
        <v>382</v>
      </c>
      <c r="D344" t="str">
        <f t="shared" si="12"/>
        <v>Wedding</v>
      </c>
      <c r="E344" t="s">
        <v>6</v>
      </c>
      <c r="F344" t="s">
        <v>238</v>
      </c>
      <c r="G344">
        <v>-29.15</v>
      </c>
      <c r="H344">
        <f t="shared" si="11"/>
        <v>201501</v>
      </c>
      <c r="I344">
        <f>MATCH(D344,$O:$O,0)</f>
        <v>41</v>
      </c>
    </row>
    <row r="345" spans="1:9" x14ac:dyDescent="0.25">
      <c r="A345" t="s">
        <v>236</v>
      </c>
      <c r="B345" s="26">
        <v>42030</v>
      </c>
      <c r="C345" t="s">
        <v>382</v>
      </c>
      <c r="D345" t="str">
        <f t="shared" si="12"/>
        <v>Wedding</v>
      </c>
      <c r="E345" t="s">
        <v>6</v>
      </c>
      <c r="F345" t="s">
        <v>238</v>
      </c>
      <c r="G345">
        <v>-29.15</v>
      </c>
      <c r="H345">
        <f t="shared" si="11"/>
        <v>201501</v>
      </c>
      <c r="I345">
        <f>MATCH(D345,$O:$O,0)</f>
        <v>41</v>
      </c>
    </row>
    <row r="346" spans="1:9" x14ac:dyDescent="0.25">
      <c r="A346" t="s">
        <v>236</v>
      </c>
      <c r="B346" s="26">
        <v>42030</v>
      </c>
      <c r="C346" t="s">
        <v>383</v>
      </c>
      <c r="D346" t="str">
        <f t="shared" si="12"/>
        <v>Internet</v>
      </c>
      <c r="E346" t="s">
        <v>57</v>
      </c>
      <c r="F346" t="s">
        <v>238</v>
      </c>
      <c r="G346">
        <v>-63.54</v>
      </c>
      <c r="H346">
        <f t="shared" si="11"/>
        <v>201501</v>
      </c>
      <c r="I346">
        <f>MATCH(D346,$O:$O,0)</f>
        <v>18</v>
      </c>
    </row>
    <row r="347" spans="1:9" x14ac:dyDescent="0.25">
      <c r="A347" t="s">
        <v>236</v>
      </c>
      <c r="B347" s="26">
        <v>42031</v>
      </c>
      <c r="C347" t="s">
        <v>372</v>
      </c>
      <c r="D347" t="str">
        <f t="shared" si="12"/>
        <v>D-Restaurant</v>
      </c>
      <c r="E347" t="s">
        <v>204</v>
      </c>
      <c r="F347" t="s">
        <v>238</v>
      </c>
      <c r="G347">
        <v>-8.24</v>
      </c>
      <c r="H347">
        <f t="shared" si="11"/>
        <v>201501</v>
      </c>
      <c r="I347">
        <f>MATCH(D347,$O:$O,0)</f>
        <v>9</v>
      </c>
    </row>
    <row r="348" spans="1:9" x14ac:dyDescent="0.25">
      <c r="A348" t="s">
        <v>236</v>
      </c>
      <c r="B348" s="26">
        <v>42031</v>
      </c>
      <c r="C348" t="s">
        <v>378</v>
      </c>
      <c r="D348" t="str">
        <f t="shared" si="12"/>
        <v>D-Travel</v>
      </c>
      <c r="E348" t="s">
        <v>161</v>
      </c>
      <c r="F348" t="s">
        <v>238</v>
      </c>
      <c r="G348">
        <v>-68.099999999999994</v>
      </c>
      <c r="H348">
        <f t="shared" si="11"/>
        <v>201501</v>
      </c>
      <c r="I348">
        <f>MATCH(D348,$O:$O,0)</f>
        <v>10</v>
      </c>
    </row>
    <row r="349" spans="1:9" x14ac:dyDescent="0.25">
      <c r="A349" t="s">
        <v>236</v>
      </c>
      <c r="B349" s="26">
        <v>42031</v>
      </c>
      <c r="C349" t="s">
        <v>379</v>
      </c>
      <c r="D349" t="str">
        <f t="shared" si="12"/>
        <v>D-Travel</v>
      </c>
      <c r="E349" t="s">
        <v>161</v>
      </c>
      <c r="F349" t="s">
        <v>238</v>
      </c>
      <c r="G349" s="42">
        <v>-120.24</v>
      </c>
      <c r="H349">
        <f t="shared" si="11"/>
        <v>201501</v>
      </c>
      <c r="I349">
        <f>MATCH(D349,$O:$O,0)</f>
        <v>10</v>
      </c>
    </row>
    <row r="350" spans="1:9" x14ac:dyDescent="0.25">
      <c r="A350" t="s">
        <v>236</v>
      </c>
      <c r="B350" s="26">
        <v>42031</v>
      </c>
      <c r="C350" t="s">
        <v>364</v>
      </c>
      <c r="D350" t="str">
        <f t="shared" si="12"/>
        <v>Parent Support</v>
      </c>
      <c r="E350" t="s">
        <v>61</v>
      </c>
      <c r="F350" t="s">
        <v>238</v>
      </c>
      <c r="G350" s="30">
        <v>2300</v>
      </c>
      <c r="H350">
        <f t="shared" si="11"/>
        <v>201501</v>
      </c>
      <c r="I350">
        <f>MATCH(D350,$O:$O,0)</f>
        <v>24</v>
      </c>
    </row>
    <row r="351" spans="1:9" x14ac:dyDescent="0.25">
      <c r="A351" t="s">
        <v>236</v>
      </c>
      <c r="B351" s="26">
        <v>42032</v>
      </c>
      <c r="C351" t="s">
        <v>372</v>
      </c>
      <c r="D351" t="str">
        <f t="shared" si="12"/>
        <v>D-Restaurant</v>
      </c>
      <c r="E351" t="s">
        <v>204</v>
      </c>
      <c r="F351" t="s">
        <v>238</v>
      </c>
      <c r="G351">
        <v>-8.24</v>
      </c>
      <c r="H351">
        <f t="shared" si="11"/>
        <v>201501</v>
      </c>
      <c r="I351">
        <f>MATCH(D351,$O:$O,0)</f>
        <v>9</v>
      </c>
    </row>
    <row r="352" spans="1:9" x14ac:dyDescent="0.25">
      <c r="A352" t="s">
        <v>236</v>
      </c>
      <c r="B352" s="26">
        <v>42033</v>
      </c>
      <c r="C352" t="s">
        <v>377</v>
      </c>
      <c r="D352" t="str">
        <f t="shared" si="12"/>
        <v>D-Restaurant</v>
      </c>
      <c r="E352" t="s">
        <v>204</v>
      </c>
      <c r="F352" t="s">
        <v>238</v>
      </c>
      <c r="G352">
        <v>-4.51</v>
      </c>
      <c r="H352">
        <f t="shared" si="11"/>
        <v>201501</v>
      </c>
      <c r="I352">
        <f>MATCH(D352,$O:$O,0)</f>
        <v>9</v>
      </c>
    </row>
    <row r="353" spans="1:9" x14ac:dyDescent="0.25">
      <c r="A353" t="s">
        <v>236</v>
      </c>
      <c r="B353" s="26">
        <v>42034</v>
      </c>
      <c r="C353" t="s">
        <v>376</v>
      </c>
      <c r="D353" t="str">
        <f t="shared" si="12"/>
        <v>D-Restaurant</v>
      </c>
      <c r="E353" t="s">
        <v>204</v>
      </c>
      <c r="F353" t="s">
        <v>238</v>
      </c>
      <c r="G353" s="42">
        <v>-2.75</v>
      </c>
      <c r="H353">
        <f t="shared" si="11"/>
        <v>201501</v>
      </c>
      <c r="I353">
        <f>MATCH(D353,$O:$O,0)</f>
        <v>9</v>
      </c>
    </row>
    <row r="354" spans="1:9" x14ac:dyDescent="0.25">
      <c r="A354" t="s">
        <v>236</v>
      </c>
      <c r="B354" s="26">
        <v>42034</v>
      </c>
      <c r="C354" t="s">
        <v>373</v>
      </c>
      <c r="D354" t="str">
        <f t="shared" si="12"/>
        <v>Mortgage/Rent</v>
      </c>
      <c r="E354" t="s">
        <v>202</v>
      </c>
      <c r="F354" t="s">
        <v>238</v>
      </c>
      <c r="G354" s="30">
        <v>-3329.45</v>
      </c>
      <c r="H354">
        <f t="shared" si="11"/>
        <v>201501</v>
      </c>
      <c r="I354">
        <f>MATCH(D354,$O:$O,0)</f>
        <v>21</v>
      </c>
    </row>
    <row r="355" spans="1:9" x14ac:dyDescent="0.25">
      <c r="A355" t="s">
        <v>236</v>
      </c>
      <c r="B355" s="26">
        <v>42034</v>
      </c>
      <c r="C355" t="s">
        <v>374</v>
      </c>
      <c r="D355" t="s">
        <v>261</v>
      </c>
      <c r="E355" t="s">
        <v>375</v>
      </c>
      <c r="F355" t="s">
        <v>238</v>
      </c>
      <c r="G355" s="30">
        <v>2788.62</v>
      </c>
      <c r="H355">
        <f t="shared" si="11"/>
        <v>201501</v>
      </c>
      <c r="I355">
        <f>MATCH(D355,$O:$O,0)</f>
        <v>40</v>
      </c>
    </row>
    <row r="356" spans="1:9" x14ac:dyDescent="0.25">
      <c r="A356" t="s">
        <v>236</v>
      </c>
      <c r="B356" s="26">
        <v>42035</v>
      </c>
      <c r="C356" t="s">
        <v>372</v>
      </c>
      <c r="D356" t="str">
        <f t="shared" ref="D356:D402" si="13">IF(ISNA(VLOOKUP(E356,$L$2:$M$26,2,FALSE)),E356,VLOOKUP(E356,$L$2:$M$26,2,FALSE))</f>
        <v>D-Restaurant</v>
      </c>
      <c r="E356" t="s">
        <v>204</v>
      </c>
      <c r="F356" t="s">
        <v>238</v>
      </c>
      <c r="G356">
        <v>-8.24</v>
      </c>
      <c r="H356">
        <f t="shared" si="11"/>
        <v>201501</v>
      </c>
      <c r="I356">
        <f>MATCH(D356,$O:$O,0)</f>
        <v>9</v>
      </c>
    </row>
    <row r="357" spans="1:9" x14ac:dyDescent="0.25">
      <c r="A357" t="s">
        <v>236</v>
      </c>
      <c r="B357" s="26">
        <v>42035</v>
      </c>
      <c r="C357" t="s">
        <v>370</v>
      </c>
      <c r="D357" t="str">
        <f t="shared" si="13"/>
        <v>Health Care</v>
      </c>
      <c r="E357" t="s">
        <v>160</v>
      </c>
      <c r="F357" t="s">
        <v>238</v>
      </c>
      <c r="G357">
        <v>-10</v>
      </c>
      <c r="H357">
        <f t="shared" si="11"/>
        <v>201501</v>
      </c>
      <c r="I357">
        <f>MATCH(D357,$O:$O,0)</f>
        <v>14</v>
      </c>
    </row>
    <row r="358" spans="1:9" x14ac:dyDescent="0.25">
      <c r="A358" t="s">
        <v>236</v>
      </c>
      <c r="B358" s="26">
        <v>42035</v>
      </c>
      <c r="C358" t="s">
        <v>371</v>
      </c>
      <c r="D358" t="str">
        <f t="shared" si="13"/>
        <v>Health Care</v>
      </c>
      <c r="E358" t="s">
        <v>160</v>
      </c>
      <c r="F358" t="s">
        <v>238</v>
      </c>
      <c r="G358" s="42">
        <v>-5</v>
      </c>
      <c r="H358">
        <f t="shared" si="11"/>
        <v>201501</v>
      </c>
      <c r="I358">
        <f>MATCH(D358,$O:$O,0)</f>
        <v>14</v>
      </c>
    </row>
    <row r="359" spans="1:9" x14ac:dyDescent="0.25">
      <c r="A359" t="s">
        <v>236</v>
      </c>
      <c r="B359" s="26">
        <v>42036</v>
      </c>
      <c r="C359" t="s">
        <v>438</v>
      </c>
      <c r="D359" t="str">
        <f t="shared" si="13"/>
        <v>Cell Phone</v>
      </c>
      <c r="E359" t="s">
        <v>224</v>
      </c>
      <c r="F359" t="s">
        <v>238</v>
      </c>
      <c r="G359" s="42">
        <v>-168.5</v>
      </c>
      <c r="H359">
        <f t="shared" si="11"/>
        <v>201502</v>
      </c>
      <c r="I359">
        <f>MATCH(D359,$O:$O,0)</f>
        <v>4</v>
      </c>
    </row>
    <row r="360" spans="1:9" x14ac:dyDescent="0.25">
      <c r="A360" t="s">
        <v>236</v>
      </c>
      <c r="B360" s="26">
        <v>42037</v>
      </c>
      <c r="C360" t="s">
        <v>497</v>
      </c>
      <c r="D360" t="str">
        <f t="shared" si="13"/>
        <v>Credit Card Payments</v>
      </c>
      <c r="E360" t="s">
        <v>242</v>
      </c>
      <c r="F360" t="s">
        <v>238</v>
      </c>
      <c r="G360" s="44">
        <v>-7763.97</v>
      </c>
      <c r="H360">
        <f t="shared" si="11"/>
        <v>201502</v>
      </c>
      <c r="I360">
        <f>MATCH(D360,$O:$O,0)</f>
        <v>38</v>
      </c>
    </row>
    <row r="361" spans="1:9" x14ac:dyDescent="0.25">
      <c r="A361" t="s">
        <v>236</v>
      </c>
      <c r="B361" s="26">
        <v>42037</v>
      </c>
      <c r="C361" t="s">
        <v>435</v>
      </c>
      <c r="D361" t="str">
        <f t="shared" si="13"/>
        <v>Credit Card Payments</v>
      </c>
      <c r="E361" t="s">
        <v>242</v>
      </c>
      <c r="F361" t="s">
        <v>238</v>
      </c>
      <c r="G361" s="44">
        <v>7763.97</v>
      </c>
      <c r="H361">
        <f t="shared" si="11"/>
        <v>201502</v>
      </c>
      <c r="I361">
        <f>MATCH(D361,$O:$O,0)</f>
        <v>38</v>
      </c>
    </row>
    <row r="362" spans="1:9" x14ac:dyDescent="0.25">
      <c r="A362" t="s">
        <v>236</v>
      </c>
      <c r="B362" s="26">
        <v>42037</v>
      </c>
      <c r="C362" t="s">
        <v>498</v>
      </c>
      <c r="D362" t="str">
        <f t="shared" si="13"/>
        <v>D-Activities</v>
      </c>
      <c r="E362" t="s">
        <v>126</v>
      </c>
      <c r="F362" t="s">
        <v>238</v>
      </c>
      <c r="G362">
        <v>-9</v>
      </c>
      <c r="H362">
        <f t="shared" si="11"/>
        <v>201502</v>
      </c>
      <c r="I362">
        <f>MATCH(D362,$O:$O,0)</f>
        <v>6</v>
      </c>
    </row>
    <row r="363" spans="1:9" x14ac:dyDescent="0.25">
      <c r="A363" t="s">
        <v>236</v>
      </c>
      <c r="B363" s="26">
        <v>42037</v>
      </c>
      <c r="C363" t="s">
        <v>424</v>
      </c>
      <c r="D363" t="str">
        <f t="shared" si="13"/>
        <v>Gas</v>
      </c>
      <c r="E363" t="s">
        <v>311</v>
      </c>
      <c r="F363" t="s">
        <v>238</v>
      </c>
      <c r="G363">
        <v>-30.48</v>
      </c>
      <c r="H363">
        <f t="shared" si="11"/>
        <v>201502</v>
      </c>
      <c r="I363">
        <f>MATCH(D363,$O:$O,0)</f>
        <v>30</v>
      </c>
    </row>
    <row r="364" spans="1:9" x14ac:dyDescent="0.25">
      <c r="A364" t="s">
        <v>236</v>
      </c>
      <c r="B364" s="26">
        <v>42037</v>
      </c>
      <c r="C364" t="s">
        <v>384</v>
      </c>
      <c r="D364" t="str">
        <f t="shared" si="13"/>
        <v>Grocery</v>
      </c>
      <c r="E364" t="s">
        <v>385</v>
      </c>
      <c r="F364" t="s">
        <v>238</v>
      </c>
      <c r="G364">
        <v>-17.97</v>
      </c>
      <c r="H364">
        <f t="shared" si="11"/>
        <v>201502</v>
      </c>
      <c r="I364">
        <f>MATCH(D364,$O:$O,0)</f>
        <v>12</v>
      </c>
    </row>
    <row r="365" spans="1:9" x14ac:dyDescent="0.25">
      <c r="A365" t="s">
        <v>236</v>
      </c>
      <c r="B365" s="26">
        <v>42037</v>
      </c>
      <c r="C365" t="s">
        <v>499</v>
      </c>
      <c r="D365" t="str">
        <f t="shared" si="13"/>
        <v>Public Transit</v>
      </c>
      <c r="E365" t="s">
        <v>90</v>
      </c>
      <c r="F365" t="s">
        <v>238</v>
      </c>
      <c r="G365">
        <v>-7</v>
      </c>
      <c r="H365">
        <f t="shared" si="11"/>
        <v>201502</v>
      </c>
      <c r="I365">
        <f>MATCH(D365,$O:$O,0)</f>
        <v>25</v>
      </c>
    </row>
    <row r="366" spans="1:9" x14ac:dyDescent="0.25">
      <c r="A366" t="s">
        <v>236</v>
      </c>
      <c r="B366" s="26">
        <v>42038</v>
      </c>
      <c r="C366" t="s">
        <v>494</v>
      </c>
      <c r="D366" t="str">
        <f t="shared" si="13"/>
        <v>Credit Card Payments</v>
      </c>
      <c r="E366" t="s">
        <v>242</v>
      </c>
      <c r="F366" t="s">
        <v>238</v>
      </c>
      <c r="G366" s="44">
        <v>-3525.96</v>
      </c>
      <c r="H366">
        <f t="shared" si="11"/>
        <v>201502</v>
      </c>
      <c r="I366">
        <f>MATCH(D366,$O:$O,0)</f>
        <v>38</v>
      </c>
    </row>
    <row r="367" spans="1:9" x14ac:dyDescent="0.25">
      <c r="A367" t="s">
        <v>236</v>
      </c>
      <c r="B367" s="26">
        <v>42038</v>
      </c>
      <c r="C367" t="s">
        <v>495</v>
      </c>
      <c r="D367" t="str">
        <f t="shared" si="13"/>
        <v>D-Coffee</v>
      </c>
      <c r="E367" t="s">
        <v>215</v>
      </c>
      <c r="F367" t="s">
        <v>238</v>
      </c>
      <c r="G367">
        <v>-3.25</v>
      </c>
      <c r="H367">
        <f t="shared" si="11"/>
        <v>201502</v>
      </c>
      <c r="I367">
        <f>MATCH(D367,$O:$O,0)</f>
        <v>7</v>
      </c>
    </row>
    <row r="368" spans="1:9" x14ac:dyDescent="0.25">
      <c r="A368" t="s">
        <v>236</v>
      </c>
      <c r="B368" s="26">
        <v>42038</v>
      </c>
      <c r="C368" t="s">
        <v>496</v>
      </c>
      <c r="D368" t="str">
        <f t="shared" si="13"/>
        <v>D-Restaurant</v>
      </c>
      <c r="E368" t="s">
        <v>204</v>
      </c>
      <c r="F368" t="s">
        <v>238</v>
      </c>
      <c r="G368">
        <v>-7.05</v>
      </c>
      <c r="H368">
        <f t="shared" si="11"/>
        <v>201502</v>
      </c>
      <c r="I368">
        <f>MATCH(D368,$O:$O,0)</f>
        <v>9</v>
      </c>
    </row>
    <row r="369" spans="1:9" x14ac:dyDescent="0.25">
      <c r="A369" t="s">
        <v>236</v>
      </c>
      <c r="B369" s="26">
        <v>42038</v>
      </c>
      <c r="C369" t="s">
        <v>372</v>
      </c>
      <c r="D369" t="str">
        <f t="shared" si="13"/>
        <v>D-Restaurant</v>
      </c>
      <c r="E369" t="s">
        <v>204</v>
      </c>
      <c r="F369" t="s">
        <v>238</v>
      </c>
      <c r="G369">
        <v>-8.24</v>
      </c>
      <c r="H369">
        <f t="shared" si="11"/>
        <v>201502</v>
      </c>
      <c r="I369">
        <f>MATCH(D369,$O:$O,0)</f>
        <v>9</v>
      </c>
    </row>
    <row r="370" spans="1:9" x14ac:dyDescent="0.25">
      <c r="A370" t="s">
        <v>236</v>
      </c>
      <c r="B370" s="26">
        <v>42039</v>
      </c>
      <c r="C370" t="s">
        <v>275</v>
      </c>
      <c r="D370" t="str">
        <f t="shared" si="13"/>
        <v>Credit Card Payments</v>
      </c>
      <c r="E370" t="s">
        <v>242</v>
      </c>
      <c r="F370" t="s">
        <v>238</v>
      </c>
      <c r="G370" s="44">
        <v>3525.96</v>
      </c>
      <c r="H370">
        <f t="shared" si="11"/>
        <v>201502</v>
      </c>
      <c r="I370">
        <f>MATCH(D370,$O:$O,0)</f>
        <v>38</v>
      </c>
    </row>
    <row r="371" spans="1:9" x14ac:dyDescent="0.25">
      <c r="A371" t="s">
        <v>236</v>
      </c>
      <c r="B371" s="26">
        <v>42039</v>
      </c>
      <c r="C371" t="s">
        <v>249</v>
      </c>
      <c r="D371" t="str">
        <f t="shared" si="13"/>
        <v>Retirement Contributions</v>
      </c>
      <c r="E371" t="s">
        <v>263</v>
      </c>
      <c r="F371" t="s">
        <v>238</v>
      </c>
      <c r="G371">
        <v>718.75</v>
      </c>
      <c r="H371">
        <f t="shared" si="11"/>
        <v>201502</v>
      </c>
      <c r="I371">
        <f>MATCH(D371,$O:$O,0)</f>
        <v>39</v>
      </c>
    </row>
    <row r="372" spans="1:9" x14ac:dyDescent="0.25">
      <c r="A372" t="s">
        <v>236</v>
      </c>
      <c r="B372" s="26">
        <v>42040</v>
      </c>
      <c r="C372" t="s">
        <v>492</v>
      </c>
      <c r="D372" t="str">
        <f t="shared" si="13"/>
        <v>D-Coffee</v>
      </c>
      <c r="E372" t="s">
        <v>215</v>
      </c>
      <c r="F372" t="s">
        <v>238</v>
      </c>
      <c r="G372">
        <v>-3.25</v>
      </c>
      <c r="H372">
        <f t="shared" si="11"/>
        <v>201502</v>
      </c>
      <c r="I372">
        <f>MATCH(D372,$O:$O,0)</f>
        <v>7</v>
      </c>
    </row>
    <row r="373" spans="1:9" x14ac:dyDescent="0.25">
      <c r="A373" t="s">
        <v>236</v>
      </c>
      <c r="B373" s="26">
        <v>42040</v>
      </c>
      <c r="C373" t="s">
        <v>493</v>
      </c>
      <c r="D373" t="str">
        <f t="shared" si="13"/>
        <v>D-Coffee</v>
      </c>
      <c r="E373" t="s">
        <v>215</v>
      </c>
      <c r="F373" t="s">
        <v>238</v>
      </c>
      <c r="G373">
        <v>-25</v>
      </c>
      <c r="H373">
        <f t="shared" si="11"/>
        <v>201502</v>
      </c>
      <c r="I373">
        <f>MATCH(D373,$O:$O,0)</f>
        <v>7</v>
      </c>
    </row>
    <row r="374" spans="1:9" x14ac:dyDescent="0.25">
      <c r="A374" t="s">
        <v>236</v>
      </c>
      <c r="B374" s="26">
        <v>42040</v>
      </c>
      <c r="C374" t="s">
        <v>491</v>
      </c>
      <c r="D374" t="str">
        <f t="shared" si="13"/>
        <v>D-Restaurant</v>
      </c>
      <c r="E374" t="s">
        <v>204</v>
      </c>
      <c r="F374" t="s">
        <v>238</v>
      </c>
      <c r="G374">
        <v>-6.8</v>
      </c>
      <c r="H374">
        <f t="shared" si="11"/>
        <v>201502</v>
      </c>
      <c r="I374">
        <f>MATCH(D374,$O:$O,0)</f>
        <v>9</v>
      </c>
    </row>
    <row r="375" spans="1:9" x14ac:dyDescent="0.25">
      <c r="A375" t="s">
        <v>236</v>
      </c>
      <c r="B375" s="26">
        <v>42041</v>
      </c>
      <c r="C375" t="s">
        <v>490</v>
      </c>
      <c r="D375" t="str">
        <f t="shared" si="13"/>
        <v>D-Coffee</v>
      </c>
      <c r="E375" t="s">
        <v>215</v>
      </c>
      <c r="F375" t="s">
        <v>238</v>
      </c>
      <c r="G375">
        <v>-6.53</v>
      </c>
      <c r="H375">
        <f t="shared" si="11"/>
        <v>201502</v>
      </c>
      <c r="I375">
        <f>MATCH(D375,$O:$O,0)</f>
        <v>7</v>
      </c>
    </row>
    <row r="376" spans="1:9" x14ac:dyDescent="0.25">
      <c r="A376" t="s">
        <v>236</v>
      </c>
      <c r="B376" s="26">
        <v>42042</v>
      </c>
      <c r="C376" t="s">
        <v>489</v>
      </c>
      <c r="D376" t="str">
        <f t="shared" si="13"/>
        <v>D-Coffee</v>
      </c>
      <c r="E376" t="s">
        <v>215</v>
      </c>
      <c r="F376" t="s">
        <v>238</v>
      </c>
      <c r="G376">
        <v>-2.25</v>
      </c>
      <c r="H376">
        <f t="shared" si="11"/>
        <v>201502</v>
      </c>
      <c r="I376">
        <f>MATCH(D376,$O:$O,0)</f>
        <v>7</v>
      </c>
    </row>
    <row r="377" spans="1:9" x14ac:dyDescent="0.25">
      <c r="A377" t="s">
        <v>236</v>
      </c>
      <c r="B377" s="26">
        <v>42042</v>
      </c>
      <c r="C377" t="s">
        <v>488</v>
      </c>
      <c r="D377" t="str">
        <f t="shared" si="13"/>
        <v>D-Restaurant</v>
      </c>
      <c r="E377" t="s">
        <v>204</v>
      </c>
      <c r="F377" t="s">
        <v>238</v>
      </c>
      <c r="G377">
        <v>-5.45</v>
      </c>
      <c r="H377">
        <f t="shared" si="11"/>
        <v>201502</v>
      </c>
      <c r="I377">
        <f>MATCH(D377,$O:$O,0)</f>
        <v>9</v>
      </c>
    </row>
    <row r="378" spans="1:9" x14ac:dyDescent="0.25">
      <c r="A378" t="s">
        <v>236</v>
      </c>
      <c r="B378" s="26">
        <v>42042</v>
      </c>
      <c r="C378" t="s">
        <v>487</v>
      </c>
      <c r="D378" t="str">
        <f t="shared" si="13"/>
        <v>Public Transit</v>
      </c>
      <c r="E378" t="s">
        <v>90</v>
      </c>
      <c r="F378" t="s">
        <v>238</v>
      </c>
      <c r="G378">
        <v>-15</v>
      </c>
      <c r="H378">
        <f t="shared" si="11"/>
        <v>201502</v>
      </c>
      <c r="I378">
        <f>MATCH(D378,$O:$O,0)</f>
        <v>25</v>
      </c>
    </row>
    <row r="379" spans="1:9" x14ac:dyDescent="0.25">
      <c r="A379" t="s">
        <v>236</v>
      </c>
      <c r="B379" s="26">
        <v>42044</v>
      </c>
      <c r="C379" t="s">
        <v>484</v>
      </c>
      <c r="D379" t="str">
        <f t="shared" si="13"/>
        <v>D-Coffee</v>
      </c>
      <c r="E379" t="s">
        <v>127</v>
      </c>
      <c r="F379" t="s">
        <v>238</v>
      </c>
      <c r="G379">
        <v>-4.95</v>
      </c>
      <c r="H379">
        <f t="shared" si="11"/>
        <v>201502</v>
      </c>
      <c r="I379">
        <f>MATCH(D379,$O:$O,0)</f>
        <v>7</v>
      </c>
    </row>
    <row r="380" spans="1:9" x14ac:dyDescent="0.25">
      <c r="A380" t="s">
        <v>236</v>
      </c>
      <c r="B380" s="26">
        <v>42044</v>
      </c>
      <c r="C380" t="s">
        <v>483</v>
      </c>
      <c r="D380" t="str">
        <f t="shared" si="13"/>
        <v>D-Restaurant</v>
      </c>
      <c r="E380" t="s">
        <v>204</v>
      </c>
      <c r="F380" t="s">
        <v>238</v>
      </c>
      <c r="G380">
        <v>-4.51</v>
      </c>
      <c r="H380">
        <f t="shared" si="11"/>
        <v>201502</v>
      </c>
      <c r="I380">
        <f>MATCH(D380,$O:$O,0)</f>
        <v>9</v>
      </c>
    </row>
    <row r="381" spans="1:9" x14ac:dyDescent="0.25">
      <c r="A381" t="s">
        <v>236</v>
      </c>
      <c r="B381" s="26">
        <v>42044</v>
      </c>
      <c r="C381" t="s">
        <v>486</v>
      </c>
      <c r="D381" t="str">
        <f t="shared" si="13"/>
        <v>Gifts</v>
      </c>
      <c r="E381" t="s">
        <v>40</v>
      </c>
      <c r="F381" t="s">
        <v>238</v>
      </c>
      <c r="G381" s="42">
        <v>-5</v>
      </c>
      <c r="H381">
        <f t="shared" si="11"/>
        <v>201502</v>
      </c>
      <c r="I381">
        <f>MATCH(D381,$O:$O,0)</f>
        <v>11</v>
      </c>
    </row>
    <row r="382" spans="1:9" x14ac:dyDescent="0.25">
      <c r="A382" t="s">
        <v>236</v>
      </c>
      <c r="B382" s="26">
        <v>42044</v>
      </c>
      <c r="C382" t="s">
        <v>384</v>
      </c>
      <c r="D382" t="str">
        <f t="shared" si="13"/>
        <v>Grocery</v>
      </c>
      <c r="E382" t="s">
        <v>385</v>
      </c>
      <c r="F382" t="s">
        <v>238</v>
      </c>
      <c r="G382" s="42">
        <v>-5.44</v>
      </c>
      <c r="H382">
        <f t="shared" si="11"/>
        <v>201502</v>
      </c>
      <c r="I382">
        <f>MATCH(D382,$O:$O,0)</f>
        <v>12</v>
      </c>
    </row>
    <row r="383" spans="1:9" x14ac:dyDescent="0.25">
      <c r="A383" t="s">
        <v>236</v>
      </c>
      <c r="B383" s="26">
        <v>42044</v>
      </c>
      <c r="C383" t="s">
        <v>384</v>
      </c>
      <c r="D383" t="str">
        <f t="shared" si="13"/>
        <v>Grocery</v>
      </c>
      <c r="E383" t="s">
        <v>385</v>
      </c>
      <c r="F383" t="s">
        <v>238</v>
      </c>
      <c r="G383">
        <v>-46.04</v>
      </c>
      <c r="H383">
        <f t="shared" si="11"/>
        <v>201502</v>
      </c>
      <c r="I383">
        <f>MATCH(D383,$O:$O,0)</f>
        <v>12</v>
      </c>
    </row>
    <row r="384" spans="1:9" x14ac:dyDescent="0.25">
      <c r="A384" t="s">
        <v>236</v>
      </c>
      <c r="B384" s="26">
        <v>42044</v>
      </c>
      <c r="C384" t="s">
        <v>485</v>
      </c>
      <c r="D384" t="str">
        <f t="shared" si="13"/>
        <v>Newspapers</v>
      </c>
      <c r="E384" t="s">
        <v>35</v>
      </c>
      <c r="F384" t="s">
        <v>238</v>
      </c>
      <c r="G384">
        <v>-14.99</v>
      </c>
      <c r="H384">
        <f t="shared" si="11"/>
        <v>201502</v>
      </c>
      <c r="I384">
        <f>MATCH(D384,$O:$O,0)</f>
        <v>23</v>
      </c>
    </row>
    <row r="385" spans="1:9" x14ac:dyDescent="0.25">
      <c r="A385" t="s">
        <v>236</v>
      </c>
      <c r="B385" s="26">
        <v>42044</v>
      </c>
      <c r="C385" t="s">
        <v>482</v>
      </c>
      <c r="D385" t="str">
        <f t="shared" si="13"/>
        <v>Paychecks/Salary</v>
      </c>
      <c r="E385" t="s">
        <v>375</v>
      </c>
      <c r="F385" t="s">
        <v>238</v>
      </c>
      <c r="G385" s="44">
        <v>26164.82</v>
      </c>
      <c r="H385">
        <f t="shared" si="11"/>
        <v>201502</v>
      </c>
      <c r="I385">
        <f>MATCH(D385,$O:$O,0)</f>
        <v>40</v>
      </c>
    </row>
    <row r="386" spans="1:9" x14ac:dyDescent="0.25">
      <c r="A386" t="s">
        <v>236</v>
      </c>
      <c r="B386" s="26">
        <v>42045</v>
      </c>
      <c r="C386" t="s">
        <v>479</v>
      </c>
      <c r="D386" t="str">
        <f t="shared" si="13"/>
        <v>D-Restaurant</v>
      </c>
      <c r="E386" t="s">
        <v>204</v>
      </c>
      <c r="F386" t="s">
        <v>238</v>
      </c>
      <c r="G386" s="42">
        <v>-83.63</v>
      </c>
      <c r="H386">
        <f t="shared" ref="H386:H449" si="14">YEAR(B386)*100+MONTH(B386)</f>
        <v>201502</v>
      </c>
      <c r="I386">
        <f>MATCH(D386,$O:$O,0)</f>
        <v>9</v>
      </c>
    </row>
    <row r="387" spans="1:9" x14ac:dyDescent="0.25">
      <c r="A387" t="s">
        <v>236</v>
      </c>
      <c r="B387" s="26">
        <v>42045</v>
      </c>
      <c r="C387" t="s">
        <v>480</v>
      </c>
      <c r="D387" t="str">
        <f t="shared" si="13"/>
        <v>D-Restaurant</v>
      </c>
      <c r="E387" t="s">
        <v>204</v>
      </c>
      <c r="F387" t="s">
        <v>238</v>
      </c>
      <c r="G387">
        <v>-7.56</v>
      </c>
      <c r="H387">
        <f t="shared" si="14"/>
        <v>201502</v>
      </c>
      <c r="I387">
        <f>MATCH(D387,$O:$O,0)</f>
        <v>9</v>
      </c>
    </row>
    <row r="388" spans="1:9" x14ac:dyDescent="0.25">
      <c r="A388" t="s">
        <v>236</v>
      </c>
      <c r="B388" s="26">
        <v>42045</v>
      </c>
      <c r="C388" t="s">
        <v>473</v>
      </c>
      <c r="D388" t="str">
        <f t="shared" si="13"/>
        <v>Gifts</v>
      </c>
      <c r="E388" t="s">
        <v>40</v>
      </c>
      <c r="F388" t="s">
        <v>238</v>
      </c>
      <c r="G388" s="42">
        <v>-116.3</v>
      </c>
      <c r="H388">
        <f t="shared" si="14"/>
        <v>201502</v>
      </c>
      <c r="I388">
        <f>MATCH(D388,$O:$O,0)</f>
        <v>11</v>
      </c>
    </row>
    <row r="389" spans="1:9" x14ac:dyDescent="0.25">
      <c r="A389" t="s">
        <v>236</v>
      </c>
      <c r="B389" s="26">
        <v>42045</v>
      </c>
      <c r="C389" t="s">
        <v>481</v>
      </c>
      <c r="D389" t="str">
        <f t="shared" si="13"/>
        <v>Gifts</v>
      </c>
      <c r="E389" t="s">
        <v>40</v>
      </c>
      <c r="F389" t="s">
        <v>238</v>
      </c>
      <c r="G389">
        <v>-2.13</v>
      </c>
      <c r="H389">
        <f t="shared" si="14"/>
        <v>201502</v>
      </c>
      <c r="I389">
        <f>MATCH(D389,$O:$O,0)</f>
        <v>11</v>
      </c>
    </row>
    <row r="390" spans="1:9" x14ac:dyDescent="0.25">
      <c r="A390" t="s">
        <v>236</v>
      </c>
      <c r="B390" s="26">
        <v>42045</v>
      </c>
      <c r="C390" t="s">
        <v>384</v>
      </c>
      <c r="D390" t="str">
        <f t="shared" si="13"/>
        <v>Gym fees</v>
      </c>
      <c r="E390" t="s">
        <v>32</v>
      </c>
      <c r="F390" t="s">
        <v>238</v>
      </c>
      <c r="G390">
        <v>-659.98</v>
      </c>
      <c r="H390">
        <f t="shared" si="14"/>
        <v>201502</v>
      </c>
      <c r="I390">
        <f>MATCH(D390,$O:$O,0)</f>
        <v>13</v>
      </c>
    </row>
    <row r="391" spans="1:9" x14ac:dyDescent="0.25">
      <c r="A391" t="s">
        <v>236</v>
      </c>
      <c r="B391" s="26">
        <v>42045</v>
      </c>
      <c r="C391" t="s">
        <v>412</v>
      </c>
      <c r="D391" t="str">
        <f t="shared" si="13"/>
        <v>Interest</v>
      </c>
      <c r="E391" t="s">
        <v>200</v>
      </c>
      <c r="F391" t="s">
        <v>238</v>
      </c>
      <c r="G391">
        <v>0.17</v>
      </c>
      <c r="H391">
        <f t="shared" si="14"/>
        <v>201502</v>
      </c>
      <c r="I391" t="e">
        <f>MATCH(D391,$O:$O,0)</f>
        <v>#N/A</v>
      </c>
    </row>
    <row r="392" spans="1:9" x14ac:dyDescent="0.25">
      <c r="A392" t="s">
        <v>236</v>
      </c>
      <c r="B392" s="26">
        <v>42045</v>
      </c>
      <c r="C392" t="s">
        <v>412</v>
      </c>
      <c r="D392" t="str">
        <f t="shared" si="13"/>
        <v>Interest</v>
      </c>
      <c r="E392" t="s">
        <v>200</v>
      </c>
      <c r="F392" t="s">
        <v>238</v>
      </c>
      <c r="G392">
        <v>2.44</v>
      </c>
      <c r="H392">
        <f t="shared" si="14"/>
        <v>201502</v>
      </c>
      <c r="I392" t="e">
        <f>MATCH(D392,$O:$O,0)</f>
        <v>#N/A</v>
      </c>
    </row>
    <row r="393" spans="1:9" x14ac:dyDescent="0.25">
      <c r="A393" t="s">
        <v>236</v>
      </c>
      <c r="B393" s="26">
        <v>42045</v>
      </c>
      <c r="C393" t="s">
        <v>472</v>
      </c>
      <c r="D393" t="str">
        <f t="shared" si="13"/>
        <v>Other Income</v>
      </c>
      <c r="E393" t="s">
        <v>250</v>
      </c>
      <c r="F393" t="s">
        <v>238</v>
      </c>
      <c r="G393">
        <v>0</v>
      </c>
      <c r="H393">
        <f t="shared" si="14"/>
        <v>201502</v>
      </c>
      <c r="I393" t="e">
        <f>MATCH(D393,$O:$O,0)</f>
        <v>#N/A</v>
      </c>
    </row>
    <row r="394" spans="1:9" x14ac:dyDescent="0.25">
      <c r="A394" t="s">
        <v>236</v>
      </c>
      <c r="B394" s="26">
        <v>42045</v>
      </c>
      <c r="C394" t="s">
        <v>474</v>
      </c>
      <c r="D394" t="str">
        <f t="shared" si="13"/>
        <v>Other Income</v>
      </c>
      <c r="E394" t="s">
        <v>250</v>
      </c>
      <c r="F394" t="s">
        <v>238</v>
      </c>
      <c r="G394">
        <v>0</v>
      </c>
      <c r="H394">
        <f t="shared" si="14"/>
        <v>201502</v>
      </c>
      <c r="I394" t="e">
        <f>MATCH(D394,$O:$O,0)</f>
        <v>#N/A</v>
      </c>
    </row>
    <row r="395" spans="1:9" x14ac:dyDescent="0.25">
      <c r="A395" t="s">
        <v>236</v>
      </c>
      <c r="B395" s="26">
        <v>42045</v>
      </c>
      <c r="C395" t="s">
        <v>475</v>
      </c>
      <c r="D395" t="str">
        <f t="shared" si="13"/>
        <v>Public Transit</v>
      </c>
      <c r="E395" t="s">
        <v>90</v>
      </c>
      <c r="F395" t="s">
        <v>238</v>
      </c>
      <c r="G395">
        <v>-50</v>
      </c>
      <c r="H395">
        <f t="shared" si="14"/>
        <v>201502</v>
      </c>
      <c r="I395">
        <f>MATCH(D395,$O:$O,0)</f>
        <v>25</v>
      </c>
    </row>
    <row r="396" spans="1:9" x14ac:dyDescent="0.25">
      <c r="A396" t="s">
        <v>236</v>
      </c>
      <c r="B396" s="26">
        <v>42045</v>
      </c>
      <c r="C396" t="s">
        <v>249</v>
      </c>
      <c r="D396" t="str">
        <f t="shared" si="13"/>
        <v>Retirement Contributions</v>
      </c>
      <c r="E396" t="s">
        <v>263</v>
      </c>
      <c r="F396" t="s">
        <v>238</v>
      </c>
      <c r="G396" s="44">
        <v>7364</v>
      </c>
      <c r="H396">
        <f t="shared" si="14"/>
        <v>201502</v>
      </c>
      <c r="I396">
        <f>MATCH(D396,$O:$O,0)</f>
        <v>39</v>
      </c>
    </row>
    <row r="397" spans="1:9" x14ac:dyDescent="0.25">
      <c r="A397" t="s">
        <v>236</v>
      </c>
      <c r="B397" s="26">
        <v>42045</v>
      </c>
      <c r="C397" t="s">
        <v>221</v>
      </c>
      <c r="D397" t="str">
        <f t="shared" si="13"/>
        <v>Tax</v>
      </c>
      <c r="E397" t="s">
        <v>222</v>
      </c>
      <c r="F397" t="s">
        <v>238</v>
      </c>
      <c r="G397">
        <v>-0.05</v>
      </c>
      <c r="H397">
        <f t="shared" si="14"/>
        <v>201502</v>
      </c>
      <c r="I397">
        <f>MATCH(D397,$O:$O,0)</f>
        <v>29</v>
      </c>
    </row>
    <row r="398" spans="1:9" x14ac:dyDescent="0.25">
      <c r="A398" t="s">
        <v>236</v>
      </c>
      <c r="B398" s="26">
        <v>42045</v>
      </c>
      <c r="C398" t="s">
        <v>221</v>
      </c>
      <c r="D398" t="str">
        <f t="shared" si="13"/>
        <v>Tax</v>
      </c>
      <c r="E398" t="s">
        <v>222</v>
      </c>
      <c r="F398" t="s">
        <v>238</v>
      </c>
      <c r="G398">
        <v>-0.68</v>
      </c>
      <c r="H398">
        <f t="shared" si="14"/>
        <v>201502</v>
      </c>
      <c r="I398">
        <f>MATCH(D398,$O:$O,0)</f>
        <v>29</v>
      </c>
    </row>
    <row r="399" spans="1:9" x14ac:dyDescent="0.25">
      <c r="A399" t="s">
        <v>236</v>
      </c>
      <c r="B399" s="26">
        <v>42045</v>
      </c>
      <c r="C399" t="s">
        <v>476</v>
      </c>
      <c r="D399" t="str">
        <f t="shared" si="13"/>
        <v>Transfers</v>
      </c>
      <c r="E399" t="s">
        <v>226</v>
      </c>
      <c r="F399" t="s">
        <v>238</v>
      </c>
      <c r="G399" s="44">
        <v>40000</v>
      </c>
      <c r="H399">
        <f t="shared" si="14"/>
        <v>201502</v>
      </c>
      <c r="I399">
        <f>MATCH(D399,$O:$O,0)</f>
        <v>37</v>
      </c>
    </row>
    <row r="400" spans="1:9" x14ac:dyDescent="0.25">
      <c r="A400" t="s">
        <v>236</v>
      </c>
      <c r="B400" s="26">
        <v>42045</v>
      </c>
      <c r="C400" t="s">
        <v>477</v>
      </c>
      <c r="D400" t="str">
        <f t="shared" si="13"/>
        <v>Transfers</v>
      </c>
      <c r="E400" t="s">
        <v>226</v>
      </c>
      <c r="F400" t="s">
        <v>238</v>
      </c>
      <c r="G400" s="44">
        <v>100000</v>
      </c>
      <c r="H400">
        <f t="shared" si="14"/>
        <v>201502</v>
      </c>
      <c r="I400">
        <f>MATCH(D400,$O:$O,0)</f>
        <v>37</v>
      </c>
    </row>
    <row r="401" spans="1:9" x14ac:dyDescent="0.25">
      <c r="A401" t="s">
        <v>236</v>
      </c>
      <c r="B401" s="26">
        <v>42045</v>
      </c>
      <c r="C401" t="s">
        <v>478</v>
      </c>
      <c r="D401" t="str">
        <f t="shared" si="13"/>
        <v>Transfers</v>
      </c>
      <c r="E401" t="s">
        <v>226</v>
      </c>
      <c r="F401" t="s">
        <v>238</v>
      </c>
      <c r="G401" s="44">
        <v>-100000</v>
      </c>
      <c r="H401">
        <f t="shared" si="14"/>
        <v>201502</v>
      </c>
      <c r="I401">
        <f>MATCH(D401,$O:$O,0)</f>
        <v>37</v>
      </c>
    </row>
    <row r="402" spans="1:9" x14ac:dyDescent="0.25">
      <c r="A402" t="s">
        <v>236</v>
      </c>
      <c r="B402" s="26">
        <v>42046</v>
      </c>
      <c r="C402" t="s">
        <v>470</v>
      </c>
      <c r="D402" t="str">
        <f t="shared" si="13"/>
        <v>D-Restaurant</v>
      </c>
      <c r="E402" t="s">
        <v>204</v>
      </c>
      <c r="F402" t="s">
        <v>238</v>
      </c>
      <c r="G402">
        <v>-2.75</v>
      </c>
      <c r="H402">
        <f t="shared" si="14"/>
        <v>201502</v>
      </c>
      <c r="I402">
        <f>MATCH(D402,$O:$O,0)</f>
        <v>9</v>
      </c>
    </row>
    <row r="403" spans="1:9" x14ac:dyDescent="0.25">
      <c r="A403" t="s">
        <v>236</v>
      </c>
      <c r="B403" s="26">
        <v>42046</v>
      </c>
      <c r="C403" t="s">
        <v>471</v>
      </c>
      <c r="D403" t="s">
        <v>90</v>
      </c>
      <c r="E403" t="s">
        <v>161</v>
      </c>
      <c r="F403" t="s">
        <v>238</v>
      </c>
      <c r="G403">
        <v>-20</v>
      </c>
      <c r="H403">
        <f t="shared" si="14"/>
        <v>201502</v>
      </c>
      <c r="I403">
        <f>MATCH(D403,$O:$O,0)</f>
        <v>25</v>
      </c>
    </row>
    <row r="404" spans="1:9" x14ac:dyDescent="0.25">
      <c r="A404" t="s">
        <v>236</v>
      </c>
      <c r="B404" s="26">
        <v>42046</v>
      </c>
      <c r="C404" t="s">
        <v>465</v>
      </c>
      <c r="D404" t="str">
        <f>IF(ISNA(VLOOKUP(E404,$L$2:$M$26,2,FALSE)),E404,VLOOKUP(E404,$L$2:$M$26,2,FALSE))</f>
        <v>Transfers</v>
      </c>
      <c r="E404" t="s">
        <v>226</v>
      </c>
      <c r="F404" t="s">
        <v>238</v>
      </c>
      <c r="G404">
        <v>-0.9</v>
      </c>
      <c r="H404">
        <f t="shared" si="14"/>
        <v>201502</v>
      </c>
      <c r="I404">
        <f>MATCH(D404,$O:$O,0)</f>
        <v>37</v>
      </c>
    </row>
    <row r="405" spans="1:9" x14ac:dyDescent="0.25">
      <c r="A405" t="s">
        <v>236</v>
      </c>
      <c r="B405" s="26">
        <v>42046</v>
      </c>
      <c r="C405" t="s">
        <v>466</v>
      </c>
      <c r="D405" t="str">
        <f>IF(ISNA(VLOOKUP(E405,$L$2:$M$26,2,FALSE)),E405,VLOOKUP(E405,$L$2:$M$26,2,FALSE))</f>
        <v>Transfers</v>
      </c>
      <c r="E405" t="s">
        <v>226</v>
      </c>
      <c r="F405" t="s">
        <v>238</v>
      </c>
      <c r="G405" s="44">
        <v>-20000</v>
      </c>
      <c r="H405">
        <f t="shared" si="14"/>
        <v>201502</v>
      </c>
      <c r="I405">
        <f>MATCH(D405,$O:$O,0)</f>
        <v>37</v>
      </c>
    </row>
    <row r="406" spans="1:9" x14ac:dyDescent="0.25">
      <c r="A406" t="s">
        <v>236</v>
      </c>
      <c r="B406" s="26">
        <v>42046</v>
      </c>
      <c r="C406" t="s">
        <v>469</v>
      </c>
      <c r="D406" t="str">
        <f>IF(ISNA(VLOOKUP(E406,$L$2:$M$26,2,FALSE)),E406,VLOOKUP(E406,$L$2:$M$26,2,FALSE))</f>
        <v>Transfers</v>
      </c>
      <c r="E406" t="s">
        <v>226</v>
      </c>
      <c r="F406" t="s">
        <v>238</v>
      </c>
      <c r="G406" s="44">
        <v>-20000</v>
      </c>
      <c r="H406">
        <f t="shared" si="14"/>
        <v>201502</v>
      </c>
      <c r="I406">
        <f>MATCH(D406,$O:$O,0)</f>
        <v>37</v>
      </c>
    </row>
    <row r="407" spans="1:9" x14ac:dyDescent="0.25">
      <c r="A407" t="s">
        <v>236</v>
      </c>
      <c r="B407" s="26">
        <v>42046</v>
      </c>
      <c r="C407" t="s">
        <v>467</v>
      </c>
      <c r="D407" t="s">
        <v>121</v>
      </c>
      <c r="E407" t="s">
        <v>468</v>
      </c>
      <c r="F407" t="s">
        <v>238</v>
      </c>
      <c r="G407">
        <v>-226.1</v>
      </c>
      <c r="H407">
        <f t="shared" si="14"/>
        <v>201502</v>
      </c>
      <c r="I407">
        <f>MATCH(D407,$O:$O,0)</f>
        <v>36</v>
      </c>
    </row>
    <row r="408" spans="1:9" x14ac:dyDescent="0.25">
      <c r="A408" t="s">
        <v>236</v>
      </c>
      <c r="B408" s="26">
        <v>42047</v>
      </c>
      <c r="C408" t="s">
        <v>463</v>
      </c>
      <c r="D408" t="str">
        <f>IF(ISNA(VLOOKUP(E408,$L$2:$M$26,2,FALSE)),E408,VLOOKUP(E408,$L$2:$M$26,2,FALSE))</f>
        <v>Deposits</v>
      </c>
      <c r="E408" t="s">
        <v>271</v>
      </c>
      <c r="F408" t="s">
        <v>238</v>
      </c>
      <c r="G408">
        <v>0.9</v>
      </c>
      <c r="H408">
        <f t="shared" si="14"/>
        <v>201502</v>
      </c>
      <c r="I408" t="e">
        <f>MATCH(D408,$O:$O,0)</f>
        <v>#N/A</v>
      </c>
    </row>
    <row r="409" spans="1:9" x14ac:dyDescent="0.25">
      <c r="A409" t="s">
        <v>236</v>
      </c>
      <c r="B409" s="26">
        <v>42047</v>
      </c>
      <c r="C409" t="s">
        <v>464</v>
      </c>
      <c r="D409" t="str">
        <f>IF(ISNA(VLOOKUP(E409,$L$2:$M$26,2,FALSE)),E409,VLOOKUP(E409,$L$2:$M$26,2,FALSE))</f>
        <v>Grocery</v>
      </c>
      <c r="E409" t="s">
        <v>192</v>
      </c>
      <c r="F409" t="s">
        <v>238</v>
      </c>
      <c r="G409">
        <v>-3.82</v>
      </c>
      <c r="H409">
        <f t="shared" si="14"/>
        <v>201502</v>
      </c>
      <c r="I409">
        <f>MATCH(D409,$O:$O,0)</f>
        <v>12</v>
      </c>
    </row>
    <row r="410" spans="1:9" x14ac:dyDescent="0.25">
      <c r="A410" t="s">
        <v>236</v>
      </c>
      <c r="B410" s="26">
        <v>42047</v>
      </c>
      <c r="C410" t="s">
        <v>462</v>
      </c>
      <c r="D410" t="str">
        <f>IF(ISNA(VLOOKUP(E410,$L$2:$M$26,2,FALSE)),E410,VLOOKUP(E410,$L$2:$M$26,2,FALSE))</f>
        <v>Transfers</v>
      </c>
      <c r="E410" t="s">
        <v>226</v>
      </c>
      <c r="F410" t="s">
        <v>238</v>
      </c>
      <c r="G410" s="44">
        <v>-20000</v>
      </c>
      <c r="H410">
        <f t="shared" si="14"/>
        <v>201502</v>
      </c>
      <c r="I410">
        <f>MATCH(D410,$O:$O,0)</f>
        <v>37</v>
      </c>
    </row>
    <row r="411" spans="1:9" x14ac:dyDescent="0.25">
      <c r="A411" t="s">
        <v>236</v>
      </c>
      <c r="B411" s="26">
        <v>42048</v>
      </c>
      <c r="C411" t="s">
        <v>460</v>
      </c>
      <c r="D411" t="s">
        <v>128</v>
      </c>
      <c r="E411" t="s">
        <v>461</v>
      </c>
      <c r="F411" t="s">
        <v>238</v>
      </c>
      <c r="G411">
        <v>-6.34</v>
      </c>
      <c r="H411">
        <f t="shared" si="14"/>
        <v>201502</v>
      </c>
      <c r="I411">
        <f>MATCH(D411,$O:$O,0)</f>
        <v>8</v>
      </c>
    </row>
    <row r="412" spans="1:9" x14ac:dyDescent="0.25">
      <c r="A412" t="s">
        <v>236</v>
      </c>
      <c r="B412" s="26">
        <v>42048</v>
      </c>
      <c r="C412" t="s">
        <v>459</v>
      </c>
      <c r="D412" t="str">
        <f t="shared" ref="D412:D418" si="15">IF(ISNA(VLOOKUP(E412,$L$2:$M$26,2,FALSE)),E412,VLOOKUP(E412,$L$2:$M$26,2,FALSE))</f>
        <v>D-Travel</v>
      </c>
      <c r="E412" t="s">
        <v>228</v>
      </c>
      <c r="F412" t="s">
        <v>238</v>
      </c>
      <c r="G412" s="42">
        <v>-29</v>
      </c>
      <c r="H412">
        <f t="shared" si="14"/>
        <v>201502</v>
      </c>
      <c r="I412">
        <f>MATCH(D412,$O:$O,0)</f>
        <v>10</v>
      </c>
    </row>
    <row r="413" spans="1:9" x14ac:dyDescent="0.25">
      <c r="A413" t="s">
        <v>236</v>
      </c>
      <c r="B413" s="26">
        <v>42048</v>
      </c>
      <c r="C413" t="s">
        <v>458</v>
      </c>
      <c r="D413" t="str">
        <f t="shared" si="15"/>
        <v>Paychecks/Salary</v>
      </c>
      <c r="E413" t="s">
        <v>375</v>
      </c>
      <c r="F413" t="s">
        <v>238</v>
      </c>
      <c r="G413" s="44">
        <v>2704.96</v>
      </c>
      <c r="H413">
        <f t="shared" si="14"/>
        <v>201502</v>
      </c>
      <c r="I413">
        <f>MATCH(D413,$O:$O,0)</f>
        <v>40</v>
      </c>
    </row>
    <row r="414" spans="1:9" x14ac:dyDescent="0.25">
      <c r="A414" t="s">
        <v>236</v>
      </c>
      <c r="B414" s="26">
        <v>42048</v>
      </c>
      <c r="C414" t="s">
        <v>413</v>
      </c>
      <c r="D414" t="str">
        <f t="shared" si="15"/>
        <v>Utility</v>
      </c>
      <c r="E414" t="s">
        <v>19</v>
      </c>
      <c r="F414" t="s">
        <v>238</v>
      </c>
      <c r="G414" s="42">
        <v>-101.11</v>
      </c>
      <c r="H414">
        <f t="shared" si="14"/>
        <v>201502</v>
      </c>
      <c r="I414">
        <f>MATCH(D414,$O:$O,0)</f>
        <v>34</v>
      </c>
    </row>
    <row r="415" spans="1:9" x14ac:dyDescent="0.25">
      <c r="A415" t="s">
        <v>236</v>
      </c>
      <c r="B415" s="26">
        <v>42049</v>
      </c>
      <c r="C415" t="s">
        <v>456</v>
      </c>
      <c r="D415" t="str">
        <f t="shared" si="15"/>
        <v>D-Travel</v>
      </c>
      <c r="E415" t="s">
        <v>161</v>
      </c>
      <c r="F415" t="s">
        <v>238</v>
      </c>
      <c r="G415" s="42">
        <v>-97.82</v>
      </c>
      <c r="H415">
        <f t="shared" si="14"/>
        <v>201502</v>
      </c>
      <c r="I415">
        <f>MATCH(D415,$O:$O,0)</f>
        <v>10</v>
      </c>
    </row>
    <row r="416" spans="1:9" x14ac:dyDescent="0.25">
      <c r="A416" t="s">
        <v>236</v>
      </c>
      <c r="B416" s="26">
        <v>42049</v>
      </c>
      <c r="C416" t="s">
        <v>457</v>
      </c>
      <c r="D416" t="str">
        <f t="shared" si="15"/>
        <v>D-Travel</v>
      </c>
      <c r="E416" t="s">
        <v>161</v>
      </c>
      <c r="F416" t="s">
        <v>238</v>
      </c>
      <c r="G416" s="42">
        <v>120.24</v>
      </c>
      <c r="H416">
        <f t="shared" si="14"/>
        <v>201502</v>
      </c>
      <c r="I416">
        <f>MATCH(D416,$O:$O,0)</f>
        <v>10</v>
      </c>
    </row>
    <row r="417" spans="1:9" x14ac:dyDescent="0.25">
      <c r="A417" t="s">
        <v>236</v>
      </c>
      <c r="B417" s="26">
        <v>42050</v>
      </c>
      <c r="C417" t="s">
        <v>455</v>
      </c>
      <c r="D417" t="str">
        <f t="shared" si="15"/>
        <v>Grocery</v>
      </c>
      <c r="E417" t="s">
        <v>385</v>
      </c>
      <c r="F417" t="s">
        <v>238</v>
      </c>
      <c r="G417">
        <v>-120</v>
      </c>
      <c r="H417">
        <f t="shared" si="14"/>
        <v>201502</v>
      </c>
      <c r="I417">
        <f>MATCH(D417,$O:$O,0)</f>
        <v>12</v>
      </c>
    </row>
    <row r="418" spans="1:9" x14ac:dyDescent="0.25">
      <c r="A418" t="s">
        <v>236</v>
      </c>
      <c r="B418" s="26">
        <v>42051</v>
      </c>
      <c r="C418" t="s">
        <v>454</v>
      </c>
      <c r="D418" t="str">
        <f t="shared" si="15"/>
        <v>Home Maintainence/Improvement</v>
      </c>
      <c r="E418" t="s">
        <v>342</v>
      </c>
      <c r="F418" t="s">
        <v>238</v>
      </c>
      <c r="G418">
        <v>-12.5</v>
      </c>
      <c r="H418">
        <f t="shared" si="14"/>
        <v>201502</v>
      </c>
      <c r="I418">
        <f>MATCH(D418,$O:$O,0)</f>
        <v>16</v>
      </c>
    </row>
    <row r="419" spans="1:9" x14ac:dyDescent="0.25">
      <c r="A419" t="s">
        <v>236</v>
      </c>
      <c r="B419" s="26">
        <v>42052</v>
      </c>
      <c r="C419" t="s">
        <v>452</v>
      </c>
      <c r="D419" t="s">
        <v>126</v>
      </c>
      <c r="E419" t="s">
        <v>453</v>
      </c>
      <c r="F419" t="s">
        <v>238</v>
      </c>
      <c r="G419">
        <v>-18</v>
      </c>
      <c r="H419">
        <f t="shared" si="14"/>
        <v>201502</v>
      </c>
      <c r="I419">
        <f>MATCH(D419,$O:$O,0)</f>
        <v>6</v>
      </c>
    </row>
    <row r="420" spans="1:9" x14ac:dyDescent="0.25">
      <c r="A420" t="s">
        <v>236</v>
      </c>
      <c r="B420" s="26">
        <v>42052</v>
      </c>
      <c r="C420" t="s">
        <v>249</v>
      </c>
      <c r="D420" t="str">
        <f t="shared" ref="D420:D483" si="16">IF(ISNA(VLOOKUP(E420,$L$2:$M$26,2,FALSE)),E420,VLOOKUP(E420,$L$2:$M$26,2,FALSE))</f>
        <v>Retirement Contributions</v>
      </c>
      <c r="E420" t="s">
        <v>263</v>
      </c>
      <c r="F420" t="s">
        <v>238</v>
      </c>
      <c r="G420">
        <v>731.25</v>
      </c>
      <c r="H420">
        <f t="shared" si="14"/>
        <v>201502</v>
      </c>
      <c r="I420">
        <f>MATCH(D420,$O:$O,0)</f>
        <v>39</v>
      </c>
    </row>
    <row r="421" spans="1:9" x14ac:dyDescent="0.25">
      <c r="A421" t="s">
        <v>236</v>
      </c>
      <c r="B421" s="26">
        <v>42053</v>
      </c>
      <c r="C421" t="s">
        <v>448</v>
      </c>
      <c r="D421" t="str">
        <f t="shared" si="16"/>
        <v>Finance Charges</v>
      </c>
      <c r="E421" t="s">
        <v>220</v>
      </c>
      <c r="F421" t="s">
        <v>238</v>
      </c>
      <c r="G421">
        <v>-5.01</v>
      </c>
      <c r="H421">
        <f t="shared" si="14"/>
        <v>201502</v>
      </c>
      <c r="I421">
        <f>MATCH(D421,$O:$O,0)</f>
        <v>35</v>
      </c>
    </row>
    <row r="422" spans="1:9" x14ac:dyDescent="0.25">
      <c r="A422" t="s">
        <v>236</v>
      </c>
      <c r="B422" s="26">
        <v>42053</v>
      </c>
      <c r="C422" t="s">
        <v>450</v>
      </c>
      <c r="D422" t="str">
        <f t="shared" si="16"/>
        <v>Finance Charges</v>
      </c>
      <c r="E422" t="s">
        <v>220</v>
      </c>
      <c r="F422" t="s">
        <v>238</v>
      </c>
      <c r="G422">
        <v>-11.66</v>
      </c>
      <c r="H422">
        <f t="shared" si="14"/>
        <v>201502</v>
      </c>
      <c r="I422">
        <f>MATCH(D422,$O:$O,0)</f>
        <v>35</v>
      </c>
    </row>
    <row r="423" spans="1:9" x14ac:dyDescent="0.25">
      <c r="A423" t="s">
        <v>236</v>
      </c>
      <c r="B423" s="26">
        <v>42053</v>
      </c>
      <c r="C423" t="s">
        <v>446</v>
      </c>
      <c r="D423" t="str">
        <f t="shared" si="16"/>
        <v>Wedding</v>
      </c>
      <c r="E423" t="s">
        <v>6</v>
      </c>
      <c r="F423" t="s">
        <v>238</v>
      </c>
      <c r="G423">
        <v>-438.4</v>
      </c>
      <c r="H423">
        <f t="shared" si="14"/>
        <v>201502</v>
      </c>
      <c r="I423">
        <f>MATCH(D423,$O:$O,0)</f>
        <v>41</v>
      </c>
    </row>
    <row r="424" spans="1:9" x14ac:dyDescent="0.25">
      <c r="A424" t="s">
        <v>236</v>
      </c>
      <c r="B424" s="26">
        <v>42053</v>
      </c>
      <c r="C424" t="s">
        <v>447</v>
      </c>
      <c r="D424" t="str">
        <f t="shared" si="16"/>
        <v>Wedding</v>
      </c>
      <c r="E424" t="s">
        <v>6</v>
      </c>
      <c r="F424" t="s">
        <v>238</v>
      </c>
      <c r="G424" s="42">
        <v>-352.9</v>
      </c>
      <c r="H424">
        <f t="shared" si="14"/>
        <v>201502</v>
      </c>
      <c r="I424">
        <f>MATCH(D424,$O:$O,0)</f>
        <v>41</v>
      </c>
    </row>
    <row r="425" spans="1:9" x14ac:dyDescent="0.25">
      <c r="A425" t="s">
        <v>236</v>
      </c>
      <c r="B425" s="26">
        <v>42053</v>
      </c>
      <c r="C425" t="s">
        <v>449</v>
      </c>
      <c r="D425" t="str">
        <f t="shared" si="16"/>
        <v>Wedding</v>
      </c>
      <c r="E425" t="s">
        <v>6</v>
      </c>
      <c r="F425" t="s">
        <v>238</v>
      </c>
      <c r="G425">
        <v>-431.89</v>
      </c>
      <c r="H425">
        <f t="shared" si="14"/>
        <v>201502</v>
      </c>
      <c r="I425">
        <f>MATCH(D425,$O:$O,0)</f>
        <v>41</v>
      </c>
    </row>
    <row r="426" spans="1:9" x14ac:dyDescent="0.25">
      <c r="A426" t="s">
        <v>236</v>
      </c>
      <c r="B426" s="26">
        <v>42053</v>
      </c>
      <c r="C426" t="s">
        <v>451</v>
      </c>
      <c r="D426" t="str">
        <f t="shared" si="16"/>
        <v>Wedding</v>
      </c>
      <c r="E426" t="s">
        <v>6</v>
      </c>
      <c r="F426" t="s">
        <v>238</v>
      </c>
      <c r="G426">
        <v>-185.89</v>
      </c>
      <c r="H426">
        <f t="shared" si="14"/>
        <v>201502</v>
      </c>
      <c r="I426">
        <f>MATCH(D426,$O:$O,0)</f>
        <v>41</v>
      </c>
    </row>
    <row r="427" spans="1:9" x14ac:dyDescent="0.25">
      <c r="A427" t="s">
        <v>236</v>
      </c>
      <c r="B427" s="26">
        <v>42054</v>
      </c>
      <c r="C427" t="s">
        <v>445</v>
      </c>
      <c r="D427" t="str">
        <f t="shared" si="16"/>
        <v>D-Coffee</v>
      </c>
      <c r="E427" t="s">
        <v>215</v>
      </c>
      <c r="F427" t="s">
        <v>238</v>
      </c>
      <c r="G427" s="42">
        <v>-1.95</v>
      </c>
      <c r="H427">
        <f t="shared" si="14"/>
        <v>201502</v>
      </c>
      <c r="I427">
        <f>MATCH(D427,$O:$O,0)</f>
        <v>7</v>
      </c>
    </row>
    <row r="428" spans="1:9" x14ac:dyDescent="0.25">
      <c r="A428" t="s">
        <v>236</v>
      </c>
      <c r="B428" s="26">
        <v>42055</v>
      </c>
      <c r="C428" t="s">
        <v>444</v>
      </c>
      <c r="D428" t="str">
        <f t="shared" si="16"/>
        <v>D-Travel</v>
      </c>
      <c r="E428" t="s">
        <v>161</v>
      </c>
      <c r="F428" t="s">
        <v>238</v>
      </c>
      <c r="G428" s="42">
        <v>-919.68</v>
      </c>
      <c r="H428">
        <f t="shared" si="14"/>
        <v>201502</v>
      </c>
      <c r="I428">
        <f>MATCH(D428,$O:$O,0)</f>
        <v>10</v>
      </c>
    </row>
    <row r="429" spans="1:9" x14ac:dyDescent="0.25">
      <c r="A429" t="s">
        <v>236</v>
      </c>
      <c r="B429" s="26">
        <v>42057</v>
      </c>
      <c r="C429" t="s">
        <v>443</v>
      </c>
      <c r="D429" t="str">
        <f t="shared" si="16"/>
        <v>Grocery</v>
      </c>
      <c r="E429" t="s">
        <v>385</v>
      </c>
      <c r="F429" t="s">
        <v>238</v>
      </c>
      <c r="G429">
        <v>-21.31</v>
      </c>
      <c r="H429">
        <f t="shared" si="14"/>
        <v>201502</v>
      </c>
      <c r="I429">
        <f>MATCH(D429,$O:$O,0)</f>
        <v>12</v>
      </c>
    </row>
    <row r="430" spans="1:9" x14ac:dyDescent="0.25">
      <c r="A430" t="s">
        <v>236</v>
      </c>
      <c r="B430" s="26">
        <v>42059</v>
      </c>
      <c r="C430" t="s">
        <v>442</v>
      </c>
      <c r="D430" t="str">
        <f t="shared" si="16"/>
        <v>Cell Phone</v>
      </c>
      <c r="E430" t="s">
        <v>224</v>
      </c>
      <c r="F430" t="s">
        <v>238</v>
      </c>
      <c r="G430">
        <v>-64.66</v>
      </c>
      <c r="H430">
        <f t="shared" si="14"/>
        <v>201502</v>
      </c>
      <c r="I430">
        <f>MATCH(D430,$O:$O,0)</f>
        <v>4</v>
      </c>
    </row>
    <row r="431" spans="1:9" x14ac:dyDescent="0.25">
      <c r="A431" t="s">
        <v>236</v>
      </c>
      <c r="B431" s="26">
        <v>42060</v>
      </c>
      <c r="C431" t="s">
        <v>249</v>
      </c>
      <c r="D431" t="str">
        <f t="shared" si="16"/>
        <v>Retirement Contributions</v>
      </c>
      <c r="E431" t="s">
        <v>263</v>
      </c>
      <c r="F431" t="s">
        <v>238</v>
      </c>
      <c r="G431" s="44">
        <v>8079.17</v>
      </c>
      <c r="H431">
        <f t="shared" si="14"/>
        <v>201502</v>
      </c>
      <c r="I431">
        <f>MATCH(D431,$O:$O,0)</f>
        <v>39</v>
      </c>
    </row>
    <row r="432" spans="1:9" x14ac:dyDescent="0.25">
      <c r="A432" t="s">
        <v>236</v>
      </c>
      <c r="B432" s="26">
        <v>42062</v>
      </c>
      <c r="C432" t="s">
        <v>384</v>
      </c>
      <c r="D432" t="str">
        <f t="shared" si="16"/>
        <v>Grocery</v>
      </c>
      <c r="E432" t="s">
        <v>385</v>
      </c>
      <c r="F432" t="s">
        <v>238</v>
      </c>
      <c r="G432" s="42">
        <v>-199.87</v>
      </c>
      <c r="H432">
        <f t="shared" si="14"/>
        <v>201502</v>
      </c>
      <c r="I432">
        <f>MATCH(D432,$O:$O,0)</f>
        <v>12</v>
      </c>
    </row>
    <row r="433" spans="1:11" x14ac:dyDescent="0.25">
      <c r="A433" s="42" t="s">
        <v>236</v>
      </c>
      <c r="B433" s="43">
        <v>42064</v>
      </c>
      <c r="C433" s="42" t="s">
        <v>438</v>
      </c>
      <c r="D433" s="42" t="str">
        <f t="shared" si="16"/>
        <v>Cell Phone</v>
      </c>
      <c r="E433" s="42" t="s">
        <v>224</v>
      </c>
      <c r="F433" s="42" t="s">
        <v>238</v>
      </c>
      <c r="G433" s="42">
        <v>-164.01</v>
      </c>
      <c r="H433" s="42">
        <f t="shared" si="14"/>
        <v>201503</v>
      </c>
      <c r="I433" s="42">
        <f>MATCH(D433,$O:$O,0)</f>
        <v>4</v>
      </c>
      <c r="J433" s="42"/>
      <c r="K433" s="42"/>
    </row>
    <row r="434" spans="1:11" x14ac:dyDescent="0.25">
      <c r="A434" s="42" t="s">
        <v>236</v>
      </c>
      <c r="B434" s="43">
        <v>42065</v>
      </c>
      <c r="C434" s="42" t="s">
        <v>546</v>
      </c>
      <c r="D434" s="42" t="str">
        <f t="shared" si="16"/>
        <v>Cell Phone</v>
      </c>
      <c r="E434" s="42" t="s">
        <v>224</v>
      </c>
      <c r="F434" s="42" t="s">
        <v>238</v>
      </c>
      <c r="G434" s="42">
        <v>-19.989999999999998</v>
      </c>
      <c r="H434" s="42">
        <f t="shared" si="14"/>
        <v>201503</v>
      </c>
      <c r="I434" s="42">
        <f>MATCH(D434,$O:$O,0)</f>
        <v>4</v>
      </c>
      <c r="J434" s="42"/>
      <c r="K434" s="42"/>
    </row>
    <row r="435" spans="1:11" x14ac:dyDescent="0.25">
      <c r="A435" s="42" t="s">
        <v>236</v>
      </c>
      <c r="B435" s="43">
        <v>42065</v>
      </c>
      <c r="C435" s="42" t="s">
        <v>545</v>
      </c>
      <c r="D435" s="42" t="str">
        <f t="shared" si="16"/>
        <v>Gas</v>
      </c>
      <c r="E435" s="42" t="s">
        <v>311</v>
      </c>
      <c r="F435" s="42" t="s">
        <v>238</v>
      </c>
      <c r="G435" s="42">
        <v>-9</v>
      </c>
      <c r="H435" s="42">
        <f t="shared" si="14"/>
        <v>201503</v>
      </c>
      <c r="I435" s="42">
        <f>MATCH(D435,$O:$O,0)</f>
        <v>30</v>
      </c>
      <c r="J435" s="42"/>
      <c r="K435" s="42"/>
    </row>
    <row r="436" spans="1:11" x14ac:dyDescent="0.25">
      <c r="A436" s="42" t="s">
        <v>236</v>
      </c>
      <c r="B436" s="43">
        <v>42065</v>
      </c>
      <c r="C436" s="42" t="s">
        <v>443</v>
      </c>
      <c r="D436" s="42" t="str">
        <f t="shared" si="16"/>
        <v>Grocery</v>
      </c>
      <c r="E436" s="42" t="s">
        <v>385</v>
      </c>
      <c r="F436" s="42" t="s">
        <v>238</v>
      </c>
      <c r="G436" s="42">
        <v>-37.76</v>
      </c>
      <c r="H436" s="42">
        <f t="shared" si="14"/>
        <v>201503</v>
      </c>
      <c r="I436" s="42">
        <f>MATCH(D436,$O:$O,0)</f>
        <v>12</v>
      </c>
      <c r="J436" s="42"/>
      <c r="K436" s="42"/>
    </row>
    <row r="437" spans="1:11" x14ac:dyDescent="0.25">
      <c r="A437" s="42" t="s">
        <v>236</v>
      </c>
      <c r="B437" s="43">
        <v>42066</v>
      </c>
      <c r="C437" s="42" t="s">
        <v>544</v>
      </c>
      <c r="D437" s="42" t="str">
        <f t="shared" si="16"/>
        <v>D-Coffee</v>
      </c>
      <c r="E437" s="42" t="s">
        <v>215</v>
      </c>
      <c r="F437" s="42" t="s">
        <v>238</v>
      </c>
      <c r="G437" s="42">
        <v>-3.15</v>
      </c>
      <c r="H437" s="42">
        <f t="shared" si="14"/>
        <v>201503</v>
      </c>
      <c r="I437" s="42">
        <f>MATCH(D437,$O:$O,0)</f>
        <v>7</v>
      </c>
      <c r="J437" s="42"/>
      <c r="K437" s="42"/>
    </row>
    <row r="438" spans="1:11" x14ac:dyDescent="0.25">
      <c r="A438" s="42" t="s">
        <v>236</v>
      </c>
      <c r="B438" s="43">
        <v>42066</v>
      </c>
      <c r="C438" s="42" t="s">
        <v>249</v>
      </c>
      <c r="D438" s="42" t="str">
        <f t="shared" si="16"/>
        <v>Retirement Contributions</v>
      </c>
      <c r="E438" s="42" t="s">
        <v>263</v>
      </c>
      <c r="F438" s="42" t="s">
        <v>238</v>
      </c>
      <c r="G438" s="42">
        <v>731.25</v>
      </c>
      <c r="H438" s="42">
        <f t="shared" si="14"/>
        <v>201503</v>
      </c>
      <c r="I438" s="42">
        <f>MATCH(D438,$O:$O,0)</f>
        <v>39</v>
      </c>
      <c r="J438" s="42"/>
      <c r="K438" s="42"/>
    </row>
    <row r="439" spans="1:11" x14ac:dyDescent="0.25">
      <c r="A439" s="42" t="s">
        <v>236</v>
      </c>
      <c r="B439" s="43">
        <v>42068</v>
      </c>
      <c r="C439" s="42" t="s">
        <v>543</v>
      </c>
      <c r="D439" s="42" t="str">
        <f t="shared" si="16"/>
        <v>Wedding</v>
      </c>
      <c r="E439" s="42" t="s">
        <v>6</v>
      </c>
      <c r="F439" s="42" t="s">
        <v>238</v>
      </c>
      <c r="G439" s="42">
        <v>-140</v>
      </c>
      <c r="H439" s="42">
        <f t="shared" si="14"/>
        <v>201503</v>
      </c>
      <c r="I439" s="42">
        <f>MATCH(D439,$O:$O,0)</f>
        <v>41</v>
      </c>
      <c r="J439" s="42"/>
      <c r="K439" s="42"/>
    </row>
    <row r="440" spans="1:11" x14ac:dyDescent="0.25">
      <c r="A440" s="42" t="s">
        <v>236</v>
      </c>
      <c r="B440" s="43">
        <v>42069</v>
      </c>
      <c r="C440" s="42" t="s">
        <v>542</v>
      </c>
      <c r="D440" s="42" t="str">
        <f t="shared" si="16"/>
        <v>D-Coffee</v>
      </c>
      <c r="E440" s="42" t="s">
        <v>215</v>
      </c>
      <c r="F440" s="42" t="s">
        <v>238</v>
      </c>
      <c r="G440" s="42">
        <v>-3.25</v>
      </c>
      <c r="H440" s="42">
        <f t="shared" si="14"/>
        <v>201503</v>
      </c>
      <c r="I440" s="42">
        <f>MATCH(D440,$O:$O,0)</f>
        <v>7</v>
      </c>
      <c r="J440" s="42"/>
      <c r="K440" s="42"/>
    </row>
    <row r="441" spans="1:11" x14ac:dyDescent="0.25">
      <c r="A441" s="42" t="s">
        <v>236</v>
      </c>
      <c r="B441" s="43">
        <v>42069</v>
      </c>
      <c r="C441" s="42" t="s">
        <v>425</v>
      </c>
      <c r="D441" s="42" t="str">
        <f t="shared" si="16"/>
        <v>Grocery</v>
      </c>
      <c r="E441" s="42" t="s">
        <v>192</v>
      </c>
      <c r="F441" s="42" t="s">
        <v>238</v>
      </c>
      <c r="G441" s="42">
        <v>-6.46</v>
      </c>
      <c r="H441" s="42">
        <f t="shared" si="14"/>
        <v>201503</v>
      </c>
      <c r="I441" s="42">
        <f>MATCH(D441,$O:$O,0)</f>
        <v>12</v>
      </c>
      <c r="J441" s="42"/>
      <c r="K441" s="42"/>
    </row>
    <row r="442" spans="1:11" x14ac:dyDescent="0.25">
      <c r="A442" s="42" t="s">
        <v>236</v>
      </c>
      <c r="B442" s="43">
        <v>42069</v>
      </c>
      <c r="C442" s="42" t="s">
        <v>541</v>
      </c>
      <c r="D442" s="42" t="str">
        <f t="shared" si="16"/>
        <v>Tax</v>
      </c>
      <c r="E442" s="42" t="s">
        <v>14</v>
      </c>
      <c r="F442" s="42" t="s">
        <v>238</v>
      </c>
      <c r="G442" s="44">
        <v>-2212</v>
      </c>
      <c r="H442" s="42">
        <f t="shared" si="14"/>
        <v>201503</v>
      </c>
      <c r="I442" s="42">
        <f>MATCH(D442,$O:$O,0)</f>
        <v>29</v>
      </c>
      <c r="J442" s="42"/>
      <c r="K442" s="42"/>
    </row>
    <row r="443" spans="1:11" x14ac:dyDescent="0.25">
      <c r="A443" s="42" t="s">
        <v>236</v>
      </c>
      <c r="B443" s="43">
        <v>42070</v>
      </c>
      <c r="C443" s="42" t="s">
        <v>540</v>
      </c>
      <c r="D443" s="42" t="str">
        <f t="shared" si="16"/>
        <v>D-Coffee</v>
      </c>
      <c r="E443" s="42" t="s">
        <v>215</v>
      </c>
      <c r="F443" s="42" t="s">
        <v>238</v>
      </c>
      <c r="G443" s="42">
        <v>-3.25</v>
      </c>
      <c r="H443" s="42">
        <f t="shared" si="14"/>
        <v>201503</v>
      </c>
      <c r="I443" s="42">
        <f>MATCH(D443,$O:$O,0)</f>
        <v>7</v>
      </c>
      <c r="J443" s="42"/>
      <c r="K443" s="42"/>
    </row>
    <row r="444" spans="1:11" x14ac:dyDescent="0.25">
      <c r="A444" s="42" t="s">
        <v>236</v>
      </c>
      <c r="B444" s="43">
        <v>42070</v>
      </c>
      <c r="C444" s="42" t="s">
        <v>487</v>
      </c>
      <c r="D444" s="42" t="str">
        <f t="shared" si="16"/>
        <v>Public Transit</v>
      </c>
      <c r="E444" s="42" t="s">
        <v>90</v>
      </c>
      <c r="F444" s="42" t="s">
        <v>238</v>
      </c>
      <c r="G444" s="42">
        <v>-20</v>
      </c>
      <c r="H444" s="42">
        <f t="shared" si="14"/>
        <v>201503</v>
      </c>
      <c r="I444" s="42">
        <f>MATCH(D444,$O:$O,0)</f>
        <v>25</v>
      </c>
      <c r="J444" s="42"/>
      <c r="K444" s="42"/>
    </row>
    <row r="445" spans="1:11" x14ac:dyDescent="0.25">
      <c r="A445" s="42" t="s">
        <v>236</v>
      </c>
      <c r="B445" s="43">
        <v>42071</v>
      </c>
      <c r="C445" s="42" t="s">
        <v>384</v>
      </c>
      <c r="D445" s="42" t="str">
        <f t="shared" si="16"/>
        <v>Gifts</v>
      </c>
      <c r="E445" s="42" t="s">
        <v>40</v>
      </c>
      <c r="F445" s="42" t="s">
        <v>238</v>
      </c>
      <c r="G445" s="42">
        <f>-280</f>
        <v>-280</v>
      </c>
      <c r="H445" s="42">
        <f t="shared" si="14"/>
        <v>201503</v>
      </c>
      <c r="I445" s="42">
        <f>MATCH(D445,$O:$O,0)</f>
        <v>11</v>
      </c>
      <c r="J445" s="42"/>
      <c r="K445" s="42"/>
    </row>
    <row r="446" spans="1:11" x14ac:dyDescent="0.25">
      <c r="A446" s="42" t="s">
        <v>236</v>
      </c>
      <c r="B446" s="43">
        <v>42071</v>
      </c>
      <c r="C446" s="42" t="s">
        <v>425</v>
      </c>
      <c r="D446" s="42" t="str">
        <f t="shared" si="16"/>
        <v>Grocery</v>
      </c>
      <c r="E446" s="42" t="s">
        <v>192</v>
      </c>
      <c r="F446" s="42" t="s">
        <v>238</v>
      </c>
      <c r="G446" s="42">
        <v>-6.52</v>
      </c>
      <c r="H446" s="42">
        <f t="shared" si="14"/>
        <v>201503</v>
      </c>
      <c r="I446" s="42">
        <f>MATCH(D446,$O:$O,0)</f>
        <v>12</v>
      </c>
      <c r="J446" s="42"/>
      <c r="K446" s="42"/>
    </row>
    <row r="447" spans="1:11" x14ac:dyDescent="0.25">
      <c r="A447" s="42" t="s">
        <v>236</v>
      </c>
      <c r="B447" s="43">
        <v>42071</v>
      </c>
      <c r="C447" s="42" t="s">
        <v>384</v>
      </c>
      <c r="D447" s="42" t="str">
        <f t="shared" si="16"/>
        <v>Grocery</v>
      </c>
      <c r="E447" s="42" t="s">
        <v>385</v>
      </c>
      <c r="F447" s="42" t="s">
        <v>238</v>
      </c>
      <c r="G447" s="42">
        <v>-250</v>
      </c>
      <c r="H447" s="42">
        <f t="shared" si="14"/>
        <v>201503</v>
      </c>
      <c r="I447" s="42">
        <f>MATCH(D447,$O:$O,0)</f>
        <v>12</v>
      </c>
      <c r="J447" s="42"/>
      <c r="K447" s="42"/>
    </row>
    <row r="448" spans="1:11" x14ac:dyDescent="0.25">
      <c r="A448" s="42" t="s">
        <v>236</v>
      </c>
      <c r="B448" s="43">
        <v>42071</v>
      </c>
      <c r="C448" s="42" t="s">
        <v>454</v>
      </c>
      <c r="D448" s="42" t="str">
        <f t="shared" si="16"/>
        <v>Home Maintainence/Improvement</v>
      </c>
      <c r="E448" s="42" t="s">
        <v>342</v>
      </c>
      <c r="F448" s="42" t="s">
        <v>238</v>
      </c>
      <c r="G448" s="42">
        <v>-10.38</v>
      </c>
      <c r="H448" s="42">
        <f t="shared" si="14"/>
        <v>201503</v>
      </c>
      <c r="I448" s="42">
        <f>MATCH(D448,$O:$O,0)</f>
        <v>16</v>
      </c>
      <c r="J448" s="42"/>
      <c r="K448" s="42"/>
    </row>
    <row r="449" spans="1:11" x14ac:dyDescent="0.25">
      <c r="A449" s="42" t="s">
        <v>236</v>
      </c>
      <c r="B449" s="43">
        <v>42072</v>
      </c>
      <c r="C449" s="42" t="s">
        <v>384</v>
      </c>
      <c r="D449" s="42" t="str">
        <f t="shared" si="16"/>
        <v>Grocery</v>
      </c>
      <c r="E449" s="42" t="s">
        <v>385</v>
      </c>
      <c r="F449" s="42" t="s">
        <v>238</v>
      </c>
      <c r="G449" s="42">
        <v>110.79</v>
      </c>
      <c r="H449" s="42">
        <f t="shared" si="14"/>
        <v>201503</v>
      </c>
      <c r="I449" s="42">
        <f>MATCH(D449,$O:$O,0)</f>
        <v>12</v>
      </c>
      <c r="J449" s="42"/>
      <c r="K449" s="42"/>
    </row>
    <row r="450" spans="1:11" x14ac:dyDescent="0.25">
      <c r="A450" s="42" t="s">
        <v>236</v>
      </c>
      <c r="B450" s="43">
        <v>42072</v>
      </c>
      <c r="C450" s="42" t="s">
        <v>539</v>
      </c>
      <c r="D450" s="42" t="str">
        <f t="shared" si="16"/>
        <v>Newspapers</v>
      </c>
      <c r="E450" s="42" t="s">
        <v>35</v>
      </c>
      <c r="F450" s="42" t="s">
        <v>238</v>
      </c>
      <c r="G450" s="42">
        <v>-14.99</v>
      </c>
      <c r="H450" s="42">
        <f t="shared" ref="H450:H513" si="17">YEAR(B450)*100+MONTH(B450)</f>
        <v>201503</v>
      </c>
      <c r="I450" s="42">
        <f>MATCH(D450,$O:$O,0)</f>
        <v>23</v>
      </c>
      <c r="J450" s="42"/>
      <c r="K450" s="42"/>
    </row>
    <row r="451" spans="1:11" x14ac:dyDescent="0.25">
      <c r="A451" s="42" t="s">
        <v>236</v>
      </c>
      <c r="B451" s="43">
        <v>42072</v>
      </c>
      <c r="C451" s="42" t="s">
        <v>507</v>
      </c>
      <c r="D451" s="42" t="str">
        <f t="shared" si="16"/>
        <v>Wedding</v>
      </c>
      <c r="E451" s="42" t="s">
        <v>6</v>
      </c>
      <c r="F451" s="42" t="s">
        <v>238</v>
      </c>
      <c r="G451" s="44">
        <v>-5000</v>
      </c>
      <c r="H451" s="42">
        <f t="shared" si="17"/>
        <v>201503</v>
      </c>
      <c r="I451" s="42">
        <f>MATCH(D451,$O:$O,0)</f>
        <v>41</v>
      </c>
      <c r="J451" s="42"/>
      <c r="K451" s="42"/>
    </row>
    <row r="452" spans="1:11" x14ac:dyDescent="0.25">
      <c r="A452" s="42" t="s">
        <v>236</v>
      </c>
      <c r="B452" s="43">
        <v>42073</v>
      </c>
      <c r="C452" s="42" t="s">
        <v>538</v>
      </c>
      <c r="D452" s="42" t="str">
        <f t="shared" si="16"/>
        <v>D-Coffee</v>
      </c>
      <c r="E452" s="42" t="s">
        <v>215</v>
      </c>
      <c r="F452" s="42" t="s">
        <v>238</v>
      </c>
      <c r="G452" s="42">
        <v>-25</v>
      </c>
      <c r="H452" s="42">
        <f t="shared" si="17"/>
        <v>201503</v>
      </c>
      <c r="I452" s="42">
        <f>MATCH(D452,$O:$O,0)</f>
        <v>7</v>
      </c>
      <c r="J452" s="42"/>
      <c r="K452" s="42"/>
    </row>
    <row r="453" spans="1:11" x14ac:dyDescent="0.25">
      <c r="A453" s="42" t="s">
        <v>236</v>
      </c>
      <c r="B453" s="43">
        <v>42074</v>
      </c>
      <c r="C453" s="42" t="s">
        <v>389</v>
      </c>
      <c r="D453" s="42" t="str">
        <f t="shared" si="16"/>
        <v>D-Restaurant</v>
      </c>
      <c r="E453" s="42" t="s">
        <v>204</v>
      </c>
      <c r="F453" s="42" t="s">
        <v>238</v>
      </c>
      <c r="G453" s="42">
        <v>-10.82</v>
      </c>
      <c r="H453" s="42">
        <f t="shared" si="17"/>
        <v>201503</v>
      </c>
      <c r="I453" s="42">
        <f>MATCH(D453,$O:$O,0)</f>
        <v>9</v>
      </c>
      <c r="J453" s="42"/>
      <c r="K453" s="42"/>
    </row>
    <row r="454" spans="1:11" x14ac:dyDescent="0.25">
      <c r="A454" s="42" t="s">
        <v>236</v>
      </c>
      <c r="B454" s="43">
        <v>42075</v>
      </c>
      <c r="C454" s="42" t="s">
        <v>537</v>
      </c>
      <c r="D454" s="42" t="str">
        <f t="shared" si="16"/>
        <v>Public Transit</v>
      </c>
      <c r="E454" s="42" t="s">
        <v>90</v>
      </c>
      <c r="F454" s="42" t="s">
        <v>238</v>
      </c>
      <c r="G454" s="42">
        <v>-20</v>
      </c>
      <c r="H454" s="42">
        <f t="shared" si="17"/>
        <v>201503</v>
      </c>
      <c r="I454" s="42">
        <f>MATCH(D454,$O:$O,0)</f>
        <v>25</v>
      </c>
      <c r="J454" s="42"/>
      <c r="K454" s="42"/>
    </row>
    <row r="455" spans="1:11" x14ac:dyDescent="0.25">
      <c r="A455" s="42" t="s">
        <v>236</v>
      </c>
      <c r="B455" s="43">
        <v>42076</v>
      </c>
      <c r="C455" s="42" t="s">
        <v>509</v>
      </c>
      <c r="D455" s="42" t="str">
        <f t="shared" si="16"/>
        <v>D-Coffee</v>
      </c>
      <c r="E455" s="42" t="s">
        <v>215</v>
      </c>
      <c r="F455" s="42" t="s">
        <v>238</v>
      </c>
      <c r="G455" s="42">
        <v>-1.95</v>
      </c>
      <c r="H455" s="42">
        <f t="shared" si="17"/>
        <v>201503</v>
      </c>
      <c r="I455" s="42">
        <f>MATCH(D455,$O:$O,0)</f>
        <v>7</v>
      </c>
      <c r="J455" s="42"/>
      <c r="K455" s="42"/>
    </row>
    <row r="456" spans="1:11" x14ac:dyDescent="0.25">
      <c r="A456" s="42" t="s">
        <v>236</v>
      </c>
      <c r="B456" s="43">
        <v>42076</v>
      </c>
      <c r="C456" s="42" t="s">
        <v>536</v>
      </c>
      <c r="D456" s="42" t="str">
        <f t="shared" si="16"/>
        <v>D-Restaurant</v>
      </c>
      <c r="E456" s="42" t="s">
        <v>204</v>
      </c>
      <c r="F456" s="42" t="s">
        <v>238</v>
      </c>
      <c r="G456" s="42">
        <v>-10.77</v>
      </c>
      <c r="H456" s="42">
        <f t="shared" si="17"/>
        <v>201503</v>
      </c>
      <c r="I456" s="42">
        <f>MATCH(D456,$O:$O,0)</f>
        <v>9</v>
      </c>
      <c r="J456" s="42"/>
      <c r="K456" s="42"/>
    </row>
    <row r="457" spans="1:11" x14ac:dyDescent="0.25">
      <c r="A457" s="42" t="s">
        <v>236</v>
      </c>
      <c r="B457" s="43">
        <v>42076</v>
      </c>
      <c r="C457" s="42" t="s">
        <v>412</v>
      </c>
      <c r="D457" s="42" t="str">
        <f t="shared" si="16"/>
        <v>Paychecks/Salary</v>
      </c>
      <c r="E457" s="42" t="s">
        <v>261</v>
      </c>
      <c r="F457" s="42" t="s">
        <v>238</v>
      </c>
      <c r="G457" s="42">
        <v>0.65</v>
      </c>
      <c r="H457" s="42">
        <f t="shared" si="17"/>
        <v>201503</v>
      </c>
      <c r="I457" s="42">
        <f>MATCH(D457,$O:$O,0)</f>
        <v>40</v>
      </c>
      <c r="J457" s="42"/>
      <c r="K457" s="42"/>
    </row>
    <row r="458" spans="1:11" x14ac:dyDescent="0.25">
      <c r="A458" s="42" t="s">
        <v>236</v>
      </c>
      <c r="B458" s="43">
        <v>42076</v>
      </c>
      <c r="C458" s="42" t="s">
        <v>412</v>
      </c>
      <c r="D458" s="42" t="str">
        <f t="shared" si="16"/>
        <v>Paychecks/Salary</v>
      </c>
      <c r="E458" s="42" t="s">
        <v>261</v>
      </c>
      <c r="F458" s="42" t="s">
        <v>238</v>
      </c>
      <c r="G458" s="42">
        <v>0.4</v>
      </c>
      <c r="H458" s="42">
        <f t="shared" si="17"/>
        <v>201503</v>
      </c>
      <c r="I458" s="42">
        <f>MATCH(D458,$O:$O,0)</f>
        <v>40</v>
      </c>
      <c r="J458" s="42"/>
      <c r="K458" s="42"/>
    </row>
    <row r="459" spans="1:11" x14ac:dyDescent="0.25">
      <c r="A459" s="42" t="s">
        <v>236</v>
      </c>
      <c r="B459" s="43">
        <v>42076</v>
      </c>
      <c r="C459" s="42" t="s">
        <v>535</v>
      </c>
      <c r="D459" s="42" t="str">
        <f t="shared" si="16"/>
        <v>Paychecks/Salary</v>
      </c>
      <c r="E459" s="42" t="s">
        <v>375</v>
      </c>
      <c r="F459" s="42" t="s">
        <v>238</v>
      </c>
      <c r="G459" s="44">
        <v>2716.21</v>
      </c>
      <c r="H459" s="42">
        <f t="shared" si="17"/>
        <v>201503</v>
      </c>
      <c r="I459" s="42">
        <f>MATCH(D459,$O:$O,0)</f>
        <v>40</v>
      </c>
      <c r="J459" s="42"/>
      <c r="K459" s="42"/>
    </row>
    <row r="460" spans="1:11" x14ac:dyDescent="0.25">
      <c r="A460" s="42" t="s">
        <v>236</v>
      </c>
      <c r="B460" s="43">
        <v>42076</v>
      </c>
      <c r="C460" s="42" t="s">
        <v>411</v>
      </c>
      <c r="D460" s="42" t="str">
        <f t="shared" si="16"/>
        <v>Paychecks/Salary</v>
      </c>
      <c r="E460" s="42" t="s">
        <v>261</v>
      </c>
      <c r="F460" s="42" t="s">
        <v>238</v>
      </c>
      <c r="G460" s="42">
        <v>0.02</v>
      </c>
      <c r="H460" s="42">
        <f t="shared" si="17"/>
        <v>201503</v>
      </c>
      <c r="I460" s="42">
        <f>MATCH(D460,$O:$O,0)</f>
        <v>40</v>
      </c>
      <c r="J460" s="42"/>
      <c r="K460" s="42"/>
    </row>
    <row r="461" spans="1:11" x14ac:dyDescent="0.25">
      <c r="A461" s="42" t="s">
        <v>236</v>
      </c>
      <c r="B461" s="43">
        <v>42076</v>
      </c>
      <c r="C461" s="42" t="s">
        <v>411</v>
      </c>
      <c r="D461" s="42" t="str">
        <f t="shared" si="16"/>
        <v>Paychecks/Salary</v>
      </c>
      <c r="E461" s="42" t="s">
        <v>261</v>
      </c>
      <c r="F461" s="42" t="s">
        <v>238</v>
      </c>
      <c r="G461" s="42">
        <v>7.0000000000000007E-2</v>
      </c>
      <c r="H461" s="42">
        <f t="shared" si="17"/>
        <v>201503</v>
      </c>
      <c r="I461" s="42">
        <f>MATCH(D461,$O:$O,0)</f>
        <v>40</v>
      </c>
      <c r="J461" s="42"/>
      <c r="K461" s="42"/>
    </row>
    <row r="462" spans="1:11" x14ac:dyDescent="0.25">
      <c r="A462" s="42" t="s">
        <v>236</v>
      </c>
      <c r="B462" s="43">
        <v>42076</v>
      </c>
      <c r="C462" s="42" t="s">
        <v>411</v>
      </c>
      <c r="D462" s="42" t="str">
        <f t="shared" si="16"/>
        <v>Paychecks/Salary</v>
      </c>
      <c r="E462" s="42" t="s">
        <v>261</v>
      </c>
      <c r="F462" s="42" t="s">
        <v>238</v>
      </c>
      <c r="G462" s="42">
        <v>0.02</v>
      </c>
      <c r="H462" s="42">
        <f t="shared" si="17"/>
        <v>201503</v>
      </c>
      <c r="I462" s="42">
        <f>MATCH(D462,$O:$O,0)</f>
        <v>40</v>
      </c>
      <c r="J462" s="42"/>
      <c r="K462" s="42"/>
    </row>
    <row r="463" spans="1:11" x14ac:dyDescent="0.25">
      <c r="A463" s="42" t="s">
        <v>236</v>
      </c>
      <c r="B463" s="43">
        <v>42076</v>
      </c>
      <c r="C463" s="42" t="s">
        <v>221</v>
      </c>
      <c r="D463" s="42" t="str">
        <f t="shared" si="16"/>
        <v>Tax</v>
      </c>
      <c r="E463" s="42" t="s">
        <v>14</v>
      </c>
      <c r="F463" s="42" t="s">
        <v>238</v>
      </c>
      <c r="G463" s="42">
        <v>-0.18</v>
      </c>
      <c r="H463" s="42">
        <f t="shared" si="17"/>
        <v>201503</v>
      </c>
      <c r="I463" s="42">
        <f>MATCH(D463,$O:$O,0)</f>
        <v>29</v>
      </c>
      <c r="J463" s="42"/>
      <c r="K463" s="42"/>
    </row>
    <row r="464" spans="1:11" x14ac:dyDescent="0.25">
      <c r="A464" s="42" t="s">
        <v>236</v>
      </c>
      <c r="B464" s="43">
        <v>42076</v>
      </c>
      <c r="C464" s="42" t="s">
        <v>221</v>
      </c>
      <c r="D464" s="42" t="str">
        <f t="shared" si="16"/>
        <v>Tax</v>
      </c>
      <c r="E464" s="42" t="s">
        <v>14</v>
      </c>
      <c r="F464" s="42" t="s">
        <v>238</v>
      </c>
      <c r="G464" s="42">
        <v>-0.11</v>
      </c>
      <c r="H464" s="42">
        <f t="shared" si="17"/>
        <v>201503</v>
      </c>
      <c r="I464" s="42">
        <f>MATCH(D464,$O:$O,0)</f>
        <v>29</v>
      </c>
      <c r="J464" s="42"/>
      <c r="K464" s="42"/>
    </row>
    <row r="465" spans="1:11" x14ac:dyDescent="0.25">
      <c r="A465" s="42" t="s">
        <v>236</v>
      </c>
      <c r="B465" s="43">
        <v>42077</v>
      </c>
      <c r="C465" s="42" t="s">
        <v>487</v>
      </c>
      <c r="D465" s="42" t="str">
        <f t="shared" si="16"/>
        <v>Public Transit</v>
      </c>
      <c r="E465" s="42" t="s">
        <v>90</v>
      </c>
      <c r="F465" s="42" t="s">
        <v>238</v>
      </c>
      <c r="G465" s="42">
        <v>-20</v>
      </c>
      <c r="H465" s="42">
        <f t="shared" si="17"/>
        <v>201503</v>
      </c>
      <c r="I465" s="42">
        <f>MATCH(D465,$O:$O,0)</f>
        <v>25</v>
      </c>
      <c r="J465" s="42"/>
      <c r="K465" s="42"/>
    </row>
    <row r="466" spans="1:11" x14ac:dyDescent="0.25">
      <c r="A466" s="42" t="s">
        <v>236</v>
      </c>
      <c r="B466" s="43">
        <v>42078</v>
      </c>
      <c r="C466" s="42" t="s">
        <v>484</v>
      </c>
      <c r="D466" s="42" t="str">
        <f t="shared" si="16"/>
        <v>Gifts</v>
      </c>
      <c r="E466" s="42" t="s">
        <v>40</v>
      </c>
      <c r="F466" s="42" t="s">
        <v>238</v>
      </c>
      <c r="G466" s="42">
        <v>-106.58</v>
      </c>
      <c r="H466" s="42">
        <f t="shared" si="17"/>
        <v>201503</v>
      </c>
      <c r="I466" s="42">
        <f>MATCH(D466,$O:$O,0)</f>
        <v>11</v>
      </c>
      <c r="J466" s="42"/>
      <c r="K466" s="42"/>
    </row>
    <row r="467" spans="1:11" x14ac:dyDescent="0.25">
      <c r="A467" s="42" t="s">
        <v>236</v>
      </c>
      <c r="B467" s="43">
        <v>42078</v>
      </c>
      <c r="C467" s="42" t="s">
        <v>533</v>
      </c>
      <c r="D467" s="42" t="str">
        <f t="shared" si="16"/>
        <v>Gifts</v>
      </c>
      <c r="E467" s="42" t="s">
        <v>40</v>
      </c>
      <c r="F467" s="42" t="s">
        <v>238</v>
      </c>
      <c r="G467" s="42">
        <v>-9.73</v>
      </c>
      <c r="H467" s="42">
        <f t="shared" si="17"/>
        <v>201503</v>
      </c>
      <c r="I467" s="42">
        <f>MATCH(D467,$O:$O,0)</f>
        <v>11</v>
      </c>
      <c r="J467" s="42"/>
      <c r="K467" s="42"/>
    </row>
    <row r="468" spans="1:11" x14ac:dyDescent="0.25">
      <c r="A468" s="42" t="s">
        <v>236</v>
      </c>
      <c r="B468" s="43">
        <v>42078</v>
      </c>
      <c r="C468" s="42" t="s">
        <v>534</v>
      </c>
      <c r="D468" s="42" t="str">
        <f t="shared" si="16"/>
        <v>Grocery</v>
      </c>
      <c r="E468" s="42" t="s">
        <v>385</v>
      </c>
      <c r="F468" s="42" t="s">
        <v>238</v>
      </c>
      <c r="G468" s="42">
        <v>-56.99</v>
      </c>
      <c r="H468" s="42">
        <f t="shared" si="17"/>
        <v>201503</v>
      </c>
      <c r="I468" s="42">
        <f>MATCH(D468,$O:$O,0)</f>
        <v>12</v>
      </c>
      <c r="J468" s="42"/>
      <c r="K468" s="42"/>
    </row>
    <row r="469" spans="1:11" x14ac:dyDescent="0.25">
      <c r="A469" s="42" t="s">
        <v>236</v>
      </c>
      <c r="B469" s="43">
        <v>42078</v>
      </c>
      <c r="C469" s="42" t="s">
        <v>532</v>
      </c>
      <c r="D469" s="42" t="str">
        <f t="shared" si="16"/>
        <v>Wedding</v>
      </c>
      <c r="E469" s="42" t="s">
        <v>6</v>
      </c>
      <c r="F469" s="42" t="s">
        <v>238</v>
      </c>
      <c r="G469" s="42">
        <v>-56.99</v>
      </c>
      <c r="H469" s="42">
        <f t="shared" si="17"/>
        <v>201503</v>
      </c>
      <c r="I469" s="42">
        <f>MATCH(D469,$O:$O,0)</f>
        <v>41</v>
      </c>
      <c r="J469" s="42"/>
      <c r="K469" s="42"/>
    </row>
    <row r="470" spans="1:11" x14ac:dyDescent="0.25">
      <c r="A470" s="42" t="s">
        <v>236</v>
      </c>
      <c r="B470" s="43">
        <v>42079</v>
      </c>
      <c r="C470" s="42" t="s">
        <v>531</v>
      </c>
      <c r="D470" s="42" t="str">
        <f t="shared" si="16"/>
        <v>Wedding</v>
      </c>
      <c r="E470" s="42" t="s">
        <v>6</v>
      </c>
      <c r="F470" s="42" t="s">
        <v>238</v>
      </c>
      <c r="G470" s="44">
        <v>-3000</v>
      </c>
      <c r="H470" s="42">
        <f t="shared" si="17"/>
        <v>201503</v>
      </c>
      <c r="I470" s="42">
        <f>MATCH(D470,$O:$O,0)</f>
        <v>41</v>
      </c>
      <c r="J470" s="42"/>
      <c r="K470" s="42"/>
    </row>
    <row r="471" spans="1:11" x14ac:dyDescent="0.25">
      <c r="A471" s="42" t="s">
        <v>236</v>
      </c>
      <c r="B471" s="43">
        <v>42080</v>
      </c>
      <c r="C471" s="42" t="s">
        <v>249</v>
      </c>
      <c r="D471" s="42" t="str">
        <f t="shared" si="16"/>
        <v>Retirement Contributions</v>
      </c>
      <c r="E471" s="42" t="s">
        <v>263</v>
      </c>
      <c r="F471" s="42" t="s">
        <v>238</v>
      </c>
      <c r="G471" s="42">
        <v>731.25</v>
      </c>
      <c r="H471" s="42">
        <f t="shared" si="17"/>
        <v>201503</v>
      </c>
      <c r="I471" s="42">
        <f>MATCH(D471,$O:$O,0)</f>
        <v>39</v>
      </c>
      <c r="J471" s="42"/>
      <c r="K471" s="42"/>
    </row>
    <row r="472" spans="1:11" x14ac:dyDescent="0.25">
      <c r="A472" s="42" t="s">
        <v>236</v>
      </c>
      <c r="B472" s="43">
        <v>42080</v>
      </c>
      <c r="C472" s="42" t="s">
        <v>530</v>
      </c>
      <c r="D472" s="42" t="str">
        <f t="shared" si="16"/>
        <v>Utility</v>
      </c>
      <c r="E472" s="42" t="s">
        <v>19</v>
      </c>
      <c r="F472" s="42" t="s">
        <v>238</v>
      </c>
      <c r="G472" s="42">
        <v>-95.63</v>
      </c>
      <c r="H472" s="42">
        <f t="shared" si="17"/>
        <v>201503</v>
      </c>
      <c r="I472" s="42">
        <f>MATCH(D472,$O:$O,0)</f>
        <v>34</v>
      </c>
      <c r="J472" s="42"/>
      <c r="K472" s="42"/>
    </row>
    <row r="473" spans="1:11" x14ac:dyDescent="0.25">
      <c r="A473" s="42" t="s">
        <v>236</v>
      </c>
      <c r="B473" s="43">
        <v>42083</v>
      </c>
      <c r="C473" s="42" t="s">
        <v>529</v>
      </c>
      <c r="D473" s="42" t="str">
        <f t="shared" si="16"/>
        <v>Finance Charges</v>
      </c>
      <c r="E473" s="42" t="s">
        <v>169</v>
      </c>
      <c r="F473" s="42" t="s">
        <v>238</v>
      </c>
      <c r="G473" s="42">
        <v>-1.5</v>
      </c>
      <c r="H473" s="42">
        <f t="shared" si="17"/>
        <v>201503</v>
      </c>
      <c r="I473" s="42">
        <f>MATCH(D473,$O:$O,0)</f>
        <v>35</v>
      </c>
      <c r="J473" s="42"/>
      <c r="K473" s="42"/>
    </row>
    <row r="474" spans="1:11" x14ac:dyDescent="0.25">
      <c r="A474" s="42" t="s">
        <v>236</v>
      </c>
      <c r="B474" s="43">
        <v>42083</v>
      </c>
      <c r="C474" s="42" t="s">
        <v>528</v>
      </c>
      <c r="D474" s="42" t="str">
        <f t="shared" si="16"/>
        <v>Utility</v>
      </c>
      <c r="E474" s="42" t="s">
        <v>19</v>
      </c>
      <c r="F474" s="42" t="s">
        <v>238</v>
      </c>
      <c r="G474" s="42">
        <v>-45.61</v>
      </c>
      <c r="H474" s="42">
        <f t="shared" si="17"/>
        <v>201503</v>
      </c>
      <c r="I474" s="42">
        <f>MATCH(D474,$O:$O,0)</f>
        <v>34</v>
      </c>
      <c r="J474" s="42"/>
      <c r="K474" s="42"/>
    </row>
    <row r="475" spans="1:11" x14ac:dyDescent="0.25">
      <c r="A475" s="42" t="s">
        <v>236</v>
      </c>
      <c r="B475" s="43">
        <v>42084</v>
      </c>
      <c r="C475" s="42" t="s">
        <v>527</v>
      </c>
      <c r="D475" s="42" t="str">
        <f t="shared" si="16"/>
        <v>Movies/Software/Online Service</v>
      </c>
      <c r="E475" s="42" t="s">
        <v>167</v>
      </c>
      <c r="F475" s="42" t="s">
        <v>238</v>
      </c>
      <c r="G475" s="42">
        <v>-3.99</v>
      </c>
      <c r="H475" s="42">
        <f t="shared" si="17"/>
        <v>201503</v>
      </c>
      <c r="I475" s="42">
        <f>MATCH(D475,$O:$O,0)</f>
        <v>22</v>
      </c>
      <c r="J475" s="42"/>
      <c r="K475" s="42"/>
    </row>
    <row r="476" spans="1:11" x14ac:dyDescent="0.25">
      <c r="A476" s="42" t="s">
        <v>236</v>
      </c>
      <c r="B476" s="43">
        <v>42087</v>
      </c>
      <c r="C476" s="42" t="s">
        <v>526</v>
      </c>
      <c r="D476" s="42" t="str">
        <f t="shared" si="16"/>
        <v>Cell Phone</v>
      </c>
      <c r="E476" s="42" t="s">
        <v>224</v>
      </c>
      <c r="F476" s="42" t="s">
        <v>238</v>
      </c>
      <c r="G476" s="42">
        <v>-64.66</v>
      </c>
      <c r="H476" s="42">
        <f t="shared" si="17"/>
        <v>201503</v>
      </c>
      <c r="I476" s="42">
        <f>MATCH(D476,$O:$O,0)</f>
        <v>4</v>
      </c>
      <c r="J476" s="42"/>
      <c r="K476" s="42"/>
    </row>
    <row r="477" spans="1:11" x14ac:dyDescent="0.25">
      <c r="A477" s="42" t="s">
        <v>236</v>
      </c>
      <c r="B477" s="43">
        <v>42087</v>
      </c>
      <c r="C477" s="42" t="s">
        <v>525</v>
      </c>
      <c r="D477" s="42" t="str">
        <f t="shared" si="16"/>
        <v>D-Restaurant</v>
      </c>
      <c r="E477" s="42" t="s">
        <v>204</v>
      </c>
      <c r="F477" s="42" t="s">
        <v>238</v>
      </c>
      <c r="G477" s="42">
        <v>-7.05</v>
      </c>
      <c r="H477" s="42">
        <f t="shared" si="17"/>
        <v>201503</v>
      </c>
      <c r="I477" s="42">
        <f>MATCH(D477,$O:$O,0)</f>
        <v>9</v>
      </c>
      <c r="J477" s="42"/>
      <c r="K477" s="42"/>
    </row>
    <row r="478" spans="1:11" x14ac:dyDescent="0.25">
      <c r="A478" s="42" t="s">
        <v>236</v>
      </c>
      <c r="B478" s="43">
        <v>42089</v>
      </c>
      <c r="C478" s="42" t="s">
        <v>524</v>
      </c>
      <c r="D478" s="42" t="str">
        <f t="shared" si="16"/>
        <v>Public Transit</v>
      </c>
      <c r="E478" s="42" t="s">
        <v>90</v>
      </c>
      <c r="F478" s="42" t="s">
        <v>238</v>
      </c>
      <c r="G478" s="42">
        <v>-20</v>
      </c>
      <c r="H478" s="42">
        <f t="shared" si="17"/>
        <v>201503</v>
      </c>
      <c r="I478" s="42">
        <f>MATCH(D478,$O:$O,0)</f>
        <v>25</v>
      </c>
      <c r="J478" s="42"/>
      <c r="K478" s="42"/>
    </row>
    <row r="479" spans="1:11" x14ac:dyDescent="0.25">
      <c r="A479" s="42" t="s">
        <v>236</v>
      </c>
      <c r="B479" s="43">
        <v>42090</v>
      </c>
      <c r="C479" s="42" t="s">
        <v>521</v>
      </c>
      <c r="D479" s="42" t="str">
        <f t="shared" si="16"/>
        <v>D-Coffee</v>
      </c>
      <c r="E479" s="42" t="s">
        <v>215</v>
      </c>
      <c r="F479" s="42" t="s">
        <v>238</v>
      </c>
      <c r="G479" s="42">
        <v>-3.75</v>
      </c>
      <c r="H479" s="42">
        <f t="shared" si="17"/>
        <v>201503</v>
      </c>
      <c r="I479" s="42">
        <f>MATCH(D479,$O:$O,0)</f>
        <v>7</v>
      </c>
      <c r="J479" s="42"/>
      <c r="K479" s="42"/>
    </row>
    <row r="480" spans="1:11" x14ac:dyDescent="0.25">
      <c r="A480" s="42" t="s">
        <v>236</v>
      </c>
      <c r="B480" s="43">
        <v>42090</v>
      </c>
      <c r="C480" s="42" t="s">
        <v>517</v>
      </c>
      <c r="D480" s="42" t="str">
        <f t="shared" si="16"/>
        <v>Wedding</v>
      </c>
      <c r="E480" s="42" t="s">
        <v>6</v>
      </c>
      <c r="F480" s="42" t="s">
        <v>238</v>
      </c>
      <c r="G480" s="42">
        <v>-191.2</v>
      </c>
      <c r="H480" s="42">
        <f t="shared" si="17"/>
        <v>201503</v>
      </c>
      <c r="I480" s="42">
        <f>MATCH(D480,$O:$O,0)</f>
        <v>41</v>
      </c>
      <c r="J480" s="42"/>
      <c r="K480" s="42"/>
    </row>
    <row r="481" spans="1:15" x14ac:dyDescent="0.25">
      <c r="A481" s="42" t="s">
        <v>236</v>
      </c>
      <c r="B481" s="43">
        <v>42090</v>
      </c>
      <c r="C481" s="42" t="s">
        <v>518</v>
      </c>
      <c r="D481" s="42" t="str">
        <f t="shared" si="16"/>
        <v>Wedding</v>
      </c>
      <c r="E481" s="42" t="s">
        <v>6</v>
      </c>
      <c r="F481" s="42" t="s">
        <v>238</v>
      </c>
      <c r="G481" s="42">
        <v>-191.2</v>
      </c>
      <c r="H481" s="42">
        <f t="shared" si="17"/>
        <v>201503</v>
      </c>
      <c r="I481" s="42">
        <f>MATCH(D481,$O:$O,0)</f>
        <v>41</v>
      </c>
      <c r="J481" s="42"/>
      <c r="K481" s="42"/>
    </row>
    <row r="482" spans="1:15" x14ac:dyDescent="0.25">
      <c r="A482" s="42" t="s">
        <v>236</v>
      </c>
      <c r="B482" s="43">
        <v>42090</v>
      </c>
      <c r="C482" s="42" t="s">
        <v>519</v>
      </c>
      <c r="D482" s="42" t="str">
        <f t="shared" si="16"/>
        <v>Wedding</v>
      </c>
      <c r="E482" s="42" t="s">
        <v>6</v>
      </c>
      <c r="F482" s="42" t="s">
        <v>238</v>
      </c>
      <c r="G482" s="42">
        <v>-813.19</v>
      </c>
      <c r="H482" s="42">
        <f t="shared" si="17"/>
        <v>201503</v>
      </c>
      <c r="I482" s="42">
        <f>MATCH(D482,$O:$O,0)</f>
        <v>41</v>
      </c>
      <c r="J482" s="42"/>
      <c r="K482" s="42"/>
    </row>
    <row r="483" spans="1:15" x14ac:dyDescent="0.25">
      <c r="A483" s="42" t="s">
        <v>236</v>
      </c>
      <c r="B483" s="43">
        <v>42090</v>
      </c>
      <c r="C483" s="42" t="s">
        <v>520</v>
      </c>
      <c r="D483" s="42" t="str">
        <f t="shared" si="16"/>
        <v>Wedding</v>
      </c>
      <c r="E483" s="42" t="s">
        <v>6</v>
      </c>
      <c r="F483" s="42" t="s">
        <v>238</v>
      </c>
      <c r="G483" s="44">
        <v>-1603.12</v>
      </c>
      <c r="H483" s="42">
        <f t="shared" si="17"/>
        <v>201503</v>
      </c>
      <c r="I483" s="42">
        <f>MATCH(D483,$O:$O,0)</f>
        <v>41</v>
      </c>
      <c r="J483" s="42"/>
      <c r="K483" s="42"/>
    </row>
    <row r="484" spans="1:15" x14ac:dyDescent="0.25">
      <c r="A484" s="42" t="s">
        <v>236</v>
      </c>
      <c r="B484" s="43">
        <v>42090</v>
      </c>
      <c r="C484" s="42" t="s">
        <v>384</v>
      </c>
      <c r="D484" s="42" t="str">
        <f t="shared" ref="D484:D547" si="18">IF(ISNA(VLOOKUP(E484,$L$2:$M$26,2,FALSE)),E484,VLOOKUP(E484,$L$2:$M$26,2,FALSE))</f>
        <v>Grocery</v>
      </c>
      <c r="E484" s="42" t="s">
        <v>385</v>
      </c>
      <c r="F484" s="42" t="s">
        <v>238</v>
      </c>
      <c r="G484" s="42">
        <v>-52.26</v>
      </c>
      <c r="H484" s="42">
        <f t="shared" si="17"/>
        <v>201503</v>
      </c>
      <c r="I484" s="42">
        <f>MATCH(D484,$O:$O,0)</f>
        <v>12</v>
      </c>
      <c r="J484" s="42"/>
      <c r="K484" s="42"/>
    </row>
    <row r="485" spans="1:15" s="42" customFormat="1" x14ac:dyDescent="0.25">
      <c r="A485" s="42" t="s">
        <v>236</v>
      </c>
      <c r="B485" s="43">
        <v>42090</v>
      </c>
      <c r="C485" s="42" t="s">
        <v>384</v>
      </c>
      <c r="D485" s="42" t="str">
        <f t="shared" si="18"/>
        <v>Grocery</v>
      </c>
      <c r="E485" s="42" t="s">
        <v>385</v>
      </c>
      <c r="F485" s="42" t="s">
        <v>238</v>
      </c>
      <c r="G485" s="42">
        <v>-28.32</v>
      </c>
      <c r="H485" s="42">
        <f t="shared" si="17"/>
        <v>201503</v>
      </c>
      <c r="I485" s="42">
        <f>MATCH(D485,$O:$O,0)</f>
        <v>12</v>
      </c>
      <c r="L485"/>
      <c r="M485"/>
      <c r="O485"/>
    </row>
    <row r="486" spans="1:15" x14ac:dyDescent="0.25">
      <c r="A486" s="42" t="s">
        <v>236</v>
      </c>
      <c r="B486" s="43">
        <v>42090</v>
      </c>
      <c r="C486" s="42" t="s">
        <v>522</v>
      </c>
      <c r="D486" s="42" t="str">
        <f t="shared" si="18"/>
        <v>Wedding</v>
      </c>
      <c r="E486" s="42" t="s">
        <v>6</v>
      </c>
      <c r="F486" s="42" t="s">
        <v>238</v>
      </c>
      <c r="G486" s="42">
        <v>-7.98</v>
      </c>
      <c r="H486" s="42">
        <f t="shared" si="17"/>
        <v>201503</v>
      </c>
      <c r="I486" s="42">
        <f>MATCH(D486,$O:$O,0)</f>
        <v>41</v>
      </c>
      <c r="J486" s="42"/>
      <c r="K486" s="42"/>
      <c r="O486" s="42"/>
    </row>
    <row r="487" spans="1:15" x14ac:dyDescent="0.25">
      <c r="A487" s="42" t="s">
        <v>236</v>
      </c>
      <c r="B487" s="43">
        <v>42090</v>
      </c>
      <c r="C487" s="42" t="s">
        <v>523</v>
      </c>
      <c r="D487" s="42" t="str">
        <f t="shared" si="18"/>
        <v>Wedding</v>
      </c>
      <c r="E487" s="42" t="s">
        <v>6</v>
      </c>
      <c r="F487" s="42" t="s">
        <v>238</v>
      </c>
      <c r="G487" s="42">
        <v>-7.98</v>
      </c>
      <c r="H487" s="42">
        <f t="shared" si="17"/>
        <v>201503</v>
      </c>
      <c r="I487" s="42">
        <f>MATCH(D487,$O:$O,0)</f>
        <v>41</v>
      </c>
      <c r="J487" s="42"/>
      <c r="K487" s="42"/>
    </row>
    <row r="488" spans="1:15" x14ac:dyDescent="0.25">
      <c r="A488" s="42" t="s">
        <v>236</v>
      </c>
      <c r="B488" s="43">
        <v>42091</v>
      </c>
      <c r="C488" s="42" t="s">
        <v>516</v>
      </c>
      <c r="D488" s="42" t="str">
        <f t="shared" si="18"/>
        <v>Wedding</v>
      </c>
      <c r="E488" s="42" t="s">
        <v>6</v>
      </c>
      <c r="F488" s="42" t="s">
        <v>238</v>
      </c>
      <c r="G488" s="42">
        <v>-862.84</v>
      </c>
      <c r="H488" s="42">
        <f t="shared" si="17"/>
        <v>201503</v>
      </c>
      <c r="I488" s="42">
        <f>MATCH(D488,$O:$O,0)</f>
        <v>41</v>
      </c>
      <c r="J488" s="42"/>
      <c r="K488" s="42"/>
    </row>
    <row r="489" spans="1:15" x14ac:dyDescent="0.25">
      <c r="A489" s="42" t="s">
        <v>236</v>
      </c>
      <c r="B489" s="43">
        <v>42093</v>
      </c>
      <c r="C489" s="42" t="s">
        <v>513</v>
      </c>
      <c r="D489" s="42" t="str">
        <f t="shared" si="18"/>
        <v>D-Coffee</v>
      </c>
      <c r="E489" s="42" t="s">
        <v>215</v>
      </c>
      <c r="F489" s="42" t="s">
        <v>238</v>
      </c>
      <c r="G489" s="42">
        <v>-6.88</v>
      </c>
      <c r="H489" s="42">
        <f t="shared" si="17"/>
        <v>201503</v>
      </c>
      <c r="I489" s="42">
        <f>MATCH(D489,$O:$O,0)</f>
        <v>7</v>
      </c>
      <c r="J489" s="42"/>
      <c r="K489" s="42"/>
      <c r="L489" s="42"/>
      <c r="M489" s="42"/>
    </row>
    <row r="490" spans="1:15" x14ac:dyDescent="0.25">
      <c r="A490" s="42" t="s">
        <v>236</v>
      </c>
      <c r="B490" s="43">
        <v>42093</v>
      </c>
      <c r="C490" s="42" t="s">
        <v>515</v>
      </c>
      <c r="D490" s="42" t="str">
        <f t="shared" si="18"/>
        <v>Gifts</v>
      </c>
      <c r="E490" s="42" t="s">
        <v>40</v>
      </c>
      <c r="F490" s="42" t="s">
        <v>238</v>
      </c>
      <c r="G490" s="42">
        <v>-72.78</v>
      </c>
      <c r="H490" s="42">
        <f t="shared" si="17"/>
        <v>201503</v>
      </c>
      <c r="I490" s="42">
        <f>MATCH(D490,$O:$O,0)</f>
        <v>11</v>
      </c>
      <c r="J490" s="42"/>
      <c r="K490" s="42"/>
    </row>
    <row r="491" spans="1:15" x14ac:dyDescent="0.25">
      <c r="A491" s="42" t="s">
        <v>236</v>
      </c>
      <c r="B491" s="43">
        <v>42093</v>
      </c>
      <c r="C491" s="42" t="s">
        <v>512</v>
      </c>
      <c r="D491" s="42" t="str">
        <f t="shared" si="18"/>
        <v>Tax</v>
      </c>
      <c r="E491" s="42" t="s">
        <v>14</v>
      </c>
      <c r="F491" s="42" t="s">
        <v>238</v>
      </c>
      <c r="G491" s="42">
        <v>3.4</v>
      </c>
      <c r="H491" s="42">
        <f t="shared" si="17"/>
        <v>201503</v>
      </c>
      <c r="I491" s="42">
        <f>MATCH(D491,$O:$O,0)</f>
        <v>29</v>
      </c>
      <c r="J491" s="42"/>
      <c r="K491" s="42"/>
    </row>
    <row r="492" spans="1:15" x14ac:dyDescent="0.25">
      <c r="A492" s="42" t="s">
        <v>236</v>
      </c>
      <c r="B492" s="43">
        <v>42093</v>
      </c>
      <c r="C492" s="42" t="s">
        <v>514</v>
      </c>
      <c r="D492" s="42" t="str">
        <f t="shared" si="18"/>
        <v>Wedding</v>
      </c>
      <c r="E492" s="42" t="s">
        <v>6</v>
      </c>
      <c r="F492" s="42" t="s">
        <v>238</v>
      </c>
      <c r="G492" s="42">
        <v>-8.68</v>
      </c>
      <c r="H492" s="42">
        <f t="shared" si="17"/>
        <v>201503</v>
      </c>
      <c r="I492" s="42">
        <f>MATCH(D492,$O:$O,0)</f>
        <v>41</v>
      </c>
      <c r="J492" s="42"/>
      <c r="K492" s="42"/>
    </row>
    <row r="493" spans="1:15" x14ac:dyDescent="0.25">
      <c r="A493" s="42" t="s">
        <v>236</v>
      </c>
      <c r="B493" s="43">
        <v>42094</v>
      </c>
      <c r="C493" s="42" t="s">
        <v>509</v>
      </c>
      <c r="D493" s="42" t="str">
        <f t="shared" si="18"/>
        <v>D-Coffee</v>
      </c>
      <c r="E493" s="42" t="s">
        <v>215</v>
      </c>
      <c r="F493" s="42" t="s">
        <v>238</v>
      </c>
      <c r="G493" s="42">
        <v>-3.25</v>
      </c>
      <c r="H493" s="42">
        <f t="shared" si="17"/>
        <v>201503</v>
      </c>
      <c r="I493" s="42">
        <f>MATCH(D493,$O:$O,0)</f>
        <v>7</v>
      </c>
      <c r="J493" s="42"/>
      <c r="K493" s="42"/>
    </row>
    <row r="494" spans="1:15" x14ac:dyDescent="0.25">
      <c r="A494" s="42" t="s">
        <v>236</v>
      </c>
      <c r="B494" s="43">
        <v>42094</v>
      </c>
      <c r="C494" s="42" t="s">
        <v>510</v>
      </c>
      <c r="D494" s="42" t="str">
        <f t="shared" si="18"/>
        <v>Wedding</v>
      </c>
      <c r="E494" s="42" t="s">
        <v>6</v>
      </c>
      <c r="F494" s="42" t="s">
        <v>238</v>
      </c>
      <c r="G494" s="42">
        <v>-926.48</v>
      </c>
      <c r="H494" s="42">
        <f t="shared" si="17"/>
        <v>201503</v>
      </c>
      <c r="I494" s="42">
        <f>MATCH(D494,$O:$O,0)</f>
        <v>41</v>
      </c>
      <c r="J494" s="42"/>
      <c r="K494" s="42"/>
    </row>
    <row r="495" spans="1:15" x14ac:dyDescent="0.25">
      <c r="A495" s="42" t="s">
        <v>236</v>
      </c>
      <c r="B495" s="43">
        <v>42094</v>
      </c>
      <c r="C495" s="42" t="s">
        <v>511</v>
      </c>
      <c r="D495" s="42" t="str">
        <f t="shared" si="18"/>
        <v>Gifts</v>
      </c>
      <c r="E495" s="42" t="s">
        <v>40</v>
      </c>
      <c r="F495" s="42" t="s">
        <v>238</v>
      </c>
      <c r="G495" s="42">
        <v>-9.99</v>
      </c>
      <c r="H495" s="42">
        <f t="shared" si="17"/>
        <v>201503</v>
      </c>
      <c r="I495" s="42">
        <f>MATCH(D495,$O:$O,0)</f>
        <v>11</v>
      </c>
      <c r="J495" s="42"/>
      <c r="K495" s="42"/>
    </row>
    <row r="496" spans="1:15" x14ac:dyDescent="0.25">
      <c r="A496" s="42" t="s">
        <v>236</v>
      </c>
      <c r="B496" s="43">
        <v>42094</v>
      </c>
      <c r="C496" s="42" t="s">
        <v>508</v>
      </c>
      <c r="D496" s="42" t="str">
        <f t="shared" si="18"/>
        <v>Paychecks/Salary</v>
      </c>
      <c r="E496" s="42" t="s">
        <v>375</v>
      </c>
      <c r="F496" s="42" t="s">
        <v>238</v>
      </c>
      <c r="G496" s="44">
        <v>2789.3</v>
      </c>
      <c r="H496" s="42">
        <f t="shared" si="17"/>
        <v>201503</v>
      </c>
      <c r="I496" s="42">
        <f>MATCH(D496,$O:$O,0)</f>
        <v>40</v>
      </c>
      <c r="J496" s="42"/>
      <c r="K496" s="42"/>
    </row>
    <row r="497" spans="1:11" x14ac:dyDescent="0.25">
      <c r="A497" s="42" t="s">
        <v>236</v>
      </c>
      <c r="B497" s="43">
        <v>42094</v>
      </c>
      <c r="C497" s="42" t="s">
        <v>507</v>
      </c>
      <c r="D497" s="42" t="str">
        <f t="shared" si="18"/>
        <v>Wedding</v>
      </c>
      <c r="E497" s="42" t="s">
        <v>6</v>
      </c>
      <c r="F497" s="42" t="s">
        <v>238</v>
      </c>
      <c r="G497" s="44">
        <v>-3000</v>
      </c>
      <c r="H497" s="42">
        <f t="shared" si="17"/>
        <v>201503</v>
      </c>
      <c r="I497" s="42">
        <f>MATCH(D497,$O:$O,0)</f>
        <v>41</v>
      </c>
      <c r="J497" s="42"/>
      <c r="K497" s="42"/>
    </row>
    <row r="498" spans="1:11" x14ac:dyDescent="0.25">
      <c r="A498" s="42" t="s">
        <v>236</v>
      </c>
      <c r="B498" s="43">
        <v>42094</v>
      </c>
      <c r="C498" s="42" t="s">
        <v>481</v>
      </c>
      <c r="D498" s="42" t="str">
        <f t="shared" si="18"/>
        <v>Wedding</v>
      </c>
      <c r="E498" s="42" t="s">
        <v>6</v>
      </c>
      <c r="F498" s="42" t="s">
        <v>238</v>
      </c>
      <c r="G498" s="42">
        <v>-3.5</v>
      </c>
      <c r="H498" s="42">
        <f t="shared" si="17"/>
        <v>201503</v>
      </c>
      <c r="I498" s="42">
        <f>MATCH(D498,$O:$O,0)</f>
        <v>41</v>
      </c>
      <c r="J498" s="42"/>
      <c r="K498" s="42"/>
    </row>
    <row r="499" spans="1:11" x14ac:dyDescent="0.25">
      <c r="A499" s="42" t="s">
        <v>236</v>
      </c>
      <c r="B499" s="43">
        <v>42095</v>
      </c>
      <c r="C499" s="42" t="s">
        <v>592</v>
      </c>
      <c r="D499" s="42" t="str">
        <f t="shared" si="18"/>
        <v>Mortgage/Rent</v>
      </c>
      <c r="E499" s="42" t="s">
        <v>202</v>
      </c>
      <c r="F499" s="42" t="s">
        <v>238</v>
      </c>
      <c r="G499" s="44">
        <v>3329.45</v>
      </c>
      <c r="H499" s="42">
        <f t="shared" si="17"/>
        <v>201504</v>
      </c>
      <c r="I499" s="42">
        <f>MATCH(D499,$O:$O,0)</f>
        <v>21</v>
      </c>
      <c r="J499" s="42"/>
      <c r="K499" s="42"/>
    </row>
    <row r="500" spans="1:11" x14ac:dyDescent="0.25">
      <c r="A500" s="42" t="s">
        <v>236</v>
      </c>
      <c r="B500" s="43">
        <v>42095</v>
      </c>
      <c r="C500" s="42" t="s">
        <v>591</v>
      </c>
      <c r="D500" s="42" t="str">
        <f t="shared" si="18"/>
        <v>Mortgage/Rent</v>
      </c>
      <c r="E500" s="42" t="s">
        <v>202</v>
      </c>
      <c r="F500" s="42" t="s">
        <v>238</v>
      </c>
      <c r="G500" s="44">
        <v>-3116.77</v>
      </c>
      <c r="H500" s="42">
        <f t="shared" si="17"/>
        <v>201504</v>
      </c>
      <c r="I500" s="42">
        <f>MATCH(D500,$O:$O,0)</f>
        <v>21</v>
      </c>
      <c r="J500" s="42"/>
      <c r="K500" s="42"/>
    </row>
    <row r="501" spans="1:11" x14ac:dyDescent="0.25">
      <c r="A501" s="42" t="s">
        <v>236</v>
      </c>
      <c r="B501" s="43">
        <v>42095</v>
      </c>
      <c r="C501" s="42" t="s">
        <v>593</v>
      </c>
      <c r="D501" s="42" t="str">
        <f t="shared" si="18"/>
        <v>Tax</v>
      </c>
      <c r="E501" s="42" t="s">
        <v>14</v>
      </c>
      <c r="F501" s="42" t="s">
        <v>238</v>
      </c>
      <c r="G501" s="44">
        <v>4916</v>
      </c>
      <c r="H501" s="42">
        <f t="shared" si="17"/>
        <v>201504</v>
      </c>
      <c r="I501" s="42">
        <f>MATCH(D501,$O:$O,0)</f>
        <v>29</v>
      </c>
      <c r="J501" s="42"/>
      <c r="K501" s="42"/>
    </row>
    <row r="502" spans="1:11" x14ac:dyDescent="0.25">
      <c r="A502" s="42" t="s">
        <v>236</v>
      </c>
      <c r="B502" s="43">
        <v>42095</v>
      </c>
      <c r="C502" s="42" t="s">
        <v>438</v>
      </c>
      <c r="D502" s="42" t="str">
        <f t="shared" si="18"/>
        <v>Cell Phone</v>
      </c>
      <c r="E502" s="42" t="s">
        <v>224</v>
      </c>
      <c r="F502" s="42" t="s">
        <v>238</v>
      </c>
      <c r="G502" s="42">
        <v>-164.44</v>
      </c>
      <c r="H502" s="42">
        <f t="shared" si="17"/>
        <v>201504</v>
      </c>
      <c r="I502" s="42">
        <f>MATCH(D502,$O:$O,0)</f>
        <v>4</v>
      </c>
      <c r="J502" s="42"/>
      <c r="K502" s="42"/>
    </row>
    <row r="503" spans="1:11" x14ac:dyDescent="0.25">
      <c r="A503" s="42" t="s">
        <v>236</v>
      </c>
      <c r="B503" s="43">
        <v>42095</v>
      </c>
      <c r="C503" s="42" t="s">
        <v>594</v>
      </c>
      <c r="D503" s="42" t="str">
        <f t="shared" si="18"/>
        <v>D-Travel</v>
      </c>
      <c r="E503" s="42" t="s">
        <v>161</v>
      </c>
      <c r="F503" s="42" t="s">
        <v>238</v>
      </c>
      <c r="G503" s="42">
        <v>-22</v>
      </c>
      <c r="H503" s="42">
        <f t="shared" si="17"/>
        <v>201504</v>
      </c>
      <c r="I503" s="42">
        <f>MATCH(D503,$O:$O,0)</f>
        <v>10</v>
      </c>
      <c r="J503" s="42"/>
      <c r="K503" s="42"/>
    </row>
    <row r="504" spans="1:11" x14ac:dyDescent="0.25">
      <c r="A504" s="42" t="s">
        <v>236</v>
      </c>
      <c r="B504" s="43">
        <v>42096</v>
      </c>
      <c r="C504" s="42" t="s">
        <v>435</v>
      </c>
      <c r="D504" s="42" t="str">
        <f t="shared" si="18"/>
        <v>Credit Card Payments</v>
      </c>
      <c r="E504" s="42" t="s">
        <v>242</v>
      </c>
      <c r="F504" s="42" t="s">
        <v>238</v>
      </c>
      <c r="G504" s="44">
        <v>3704.14</v>
      </c>
      <c r="H504" s="42">
        <f t="shared" si="17"/>
        <v>201504</v>
      </c>
      <c r="I504" s="42">
        <f>MATCH(D504,$O:$O,0)</f>
        <v>38</v>
      </c>
      <c r="J504" s="42"/>
      <c r="K504" s="42"/>
    </row>
    <row r="505" spans="1:11" x14ac:dyDescent="0.25">
      <c r="A505" s="42" t="s">
        <v>236</v>
      </c>
      <c r="B505" s="43">
        <v>42096</v>
      </c>
      <c r="C505" s="42" t="s">
        <v>587</v>
      </c>
      <c r="D505" s="42" t="str">
        <f t="shared" si="18"/>
        <v>Credit Card Payments</v>
      </c>
      <c r="E505" s="42" t="s">
        <v>242</v>
      </c>
      <c r="F505" s="42" t="s">
        <v>238</v>
      </c>
      <c r="G505" s="44">
        <v>-3704.14</v>
      </c>
      <c r="H505" s="42">
        <f t="shared" si="17"/>
        <v>201504</v>
      </c>
      <c r="I505" s="42">
        <f>MATCH(D505,$O:$O,0)</f>
        <v>38</v>
      </c>
      <c r="J505" s="42"/>
      <c r="K505" s="42"/>
    </row>
    <row r="506" spans="1:11" x14ac:dyDescent="0.25">
      <c r="A506" s="42" t="s">
        <v>236</v>
      </c>
      <c r="B506" s="43">
        <v>42096</v>
      </c>
      <c r="C506" s="42" t="s">
        <v>589</v>
      </c>
      <c r="D506" s="42" t="str">
        <f t="shared" si="18"/>
        <v>Grocery</v>
      </c>
      <c r="E506" s="42" t="s">
        <v>385</v>
      </c>
      <c r="F506" s="42" t="s">
        <v>238</v>
      </c>
      <c r="G506" s="42">
        <v>-40.07</v>
      </c>
      <c r="H506" s="42">
        <f t="shared" si="17"/>
        <v>201504</v>
      </c>
      <c r="I506" s="42">
        <f>MATCH(D506,$O:$O,0)</f>
        <v>12</v>
      </c>
      <c r="J506" s="42"/>
      <c r="K506" s="42"/>
    </row>
    <row r="507" spans="1:11" x14ac:dyDescent="0.25">
      <c r="A507" s="42" t="s">
        <v>236</v>
      </c>
      <c r="B507" s="43">
        <v>42096</v>
      </c>
      <c r="C507" s="42" t="s">
        <v>588</v>
      </c>
      <c r="D507" s="42" t="str">
        <f t="shared" si="18"/>
        <v>Tax</v>
      </c>
      <c r="E507" s="42" t="s">
        <v>14</v>
      </c>
      <c r="F507" s="42" t="s">
        <v>238</v>
      </c>
      <c r="G507" s="44">
        <v>4030</v>
      </c>
      <c r="H507" s="42">
        <f t="shared" si="17"/>
        <v>201504</v>
      </c>
      <c r="I507" s="42">
        <f>MATCH(D507,$O:$O,0)</f>
        <v>29</v>
      </c>
      <c r="J507" s="42"/>
      <c r="K507" s="42"/>
    </row>
    <row r="508" spans="1:11" x14ac:dyDescent="0.25">
      <c r="A508" s="42" t="s">
        <v>236</v>
      </c>
      <c r="B508" s="43">
        <v>42096</v>
      </c>
      <c r="C508" s="42" t="s">
        <v>590</v>
      </c>
      <c r="D508" s="42" t="str">
        <f t="shared" si="18"/>
        <v>Wedding</v>
      </c>
      <c r="E508" s="42" t="s">
        <v>6</v>
      </c>
      <c r="F508" s="42" t="s">
        <v>238</v>
      </c>
      <c r="G508" s="42">
        <v>-732.98</v>
      </c>
      <c r="H508" s="42">
        <f t="shared" si="17"/>
        <v>201504</v>
      </c>
      <c r="I508" s="42">
        <f>MATCH(D508,$O:$O,0)</f>
        <v>41</v>
      </c>
      <c r="J508" s="42"/>
      <c r="K508" s="42"/>
    </row>
    <row r="509" spans="1:11" x14ac:dyDescent="0.25">
      <c r="A509" s="42" t="s">
        <v>236</v>
      </c>
      <c r="B509" s="43">
        <v>42097</v>
      </c>
      <c r="C509" s="42" t="s">
        <v>586</v>
      </c>
      <c r="D509" s="42" t="str">
        <f t="shared" si="18"/>
        <v>Grocery</v>
      </c>
      <c r="E509" s="42" t="s">
        <v>385</v>
      </c>
      <c r="F509" s="42" t="s">
        <v>238</v>
      </c>
      <c r="G509" s="42">
        <v>-11.99</v>
      </c>
      <c r="H509" s="42">
        <f t="shared" si="17"/>
        <v>201504</v>
      </c>
      <c r="I509" s="42">
        <f>MATCH(D509,$O:$O,0)</f>
        <v>12</v>
      </c>
      <c r="J509" s="42"/>
      <c r="K509" s="42"/>
    </row>
    <row r="510" spans="1:11" x14ac:dyDescent="0.25">
      <c r="A510" s="42" t="s">
        <v>236</v>
      </c>
      <c r="B510" s="43">
        <v>42097</v>
      </c>
      <c r="C510" s="42" t="s">
        <v>525</v>
      </c>
      <c r="D510" s="42" t="str">
        <f t="shared" si="18"/>
        <v>D-Restaurant</v>
      </c>
      <c r="E510" s="42" t="s">
        <v>204</v>
      </c>
      <c r="F510" s="42" t="s">
        <v>238</v>
      </c>
      <c r="G510" s="42">
        <v>-8.74</v>
      </c>
      <c r="H510" s="42">
        <f t="shared" si="17"/>
        <v>201504</v>
      </c>
      <c r="I510" s="42">
        <f>MATCH(D510,$O:$O,0)</f>
        <v>9</v>
      </c>
      <c r="J510" s="42"/>
      <c r="K510" s="42"/>
    </row>
    <row r="511" spans="1:11" x14ac:dyDescent="0.25">
      <c r="A511" s="42" t="s">
        <v>236</v>
      </c>
      <c r="B511" s="43">
        <v>42097</v>
      </c>
      <c r="C511" s="42" t="s">
        <v>509</v>
      </c>
      <c r="D511" s="42" t="str">
        <f t="shared" si="18"/>
        <v>D-Coffee</v>
      </c>
      <c r="E511" s="42" t="s">
        <v>215</v>
      </c>
      <c r="F511" s="42" t="s">
        <v>238</v>
      </c>
      <c r="G511" s="42">
        <v>-3.75</v>
      </c>
      <c r="H511" s="42">
        <f t="shared" si="17"/>
        <v>201504</v>
      </c>
      <c r="I511" s="42">
        <f>MATCH(D511,$O:$O,0)</f>
        <v>7</v>
      </c>
      <c r="J511" s="42"/>
      <c r="K511" s="42"/>
    </row>
    <row r="512" spans="1:11" x14ac:dyDescent="0.25">
      <c r="A512" s="42" t="s">
        <v>236</v>
      </c>
      <c r="B512" s="43">
        <v>42098</v>
      </c>
      <c r="C512" s="42" t="s">
        <v>582</v>
      </c>
      <c r="D512" s="42" t="str">
        <f t="shared" si="18"/>
        <v>Grocery</v>
      </c>
      <c r="E512" s="42" t="s">
        <v>385</v>
      </c>
      <c r="F512" s="42" t="s">
        <v>238</v>
      </c>
      <c r="G512" s="42">
        <v>-9.99</v>
      </c>
      <c r="H512" s="42">
        <f t="shared" si="17"/>
        <v>201504</v>
      </c>
      <c r="I512" s="42">
        <f>MATCH(D512,$O:$O,0)</f>
        <v>12</v>
      </c>
      <c r="J512" s="42"/>
      <c r="K512" s="42"/>
    </row>
    <row r="513" spans="1:11" x14ac:dyDescent="0.25">
      <c r="A513" s="42" t="s">
        <v>236</v>
      </c>
      <c r="B513" s="43">
        <v>42098</v>
      </c>
      <c r="C513" s="42" t="s">
        <v>583</v>
      </c>
      <c r="D513" s="42" t="str">
        <f t="shared" si="18"/>
        <v>Grocery</v>
      </c>
      <c r="E513" s="42" t="s">
        <v>192</v>
      </c>
      <c r="F513" s="42" t="s">
        <v>238</v>
      </c>
      <c r="G513" s="42">
        <v>-3.54</v>
      </c>
      <c r="H513" s="42">
        <f t="shared" si="17"/>
        <v>201504</v>
      </c>
      <c r="I513" s="42">
        <f>MATCH(D513,$O:$O,0)</f>
        <v>12</v>
      </c>
      <c r="J513" s="42"/>
      <c r="K513" s="42"/>
    </row>
    <row r="514" spans="1:11" x14ac:dyDescent="0.25">
      <c r="A514" s="42" t="s">
        <v>236</v>
      </c>
      <c r="B514" s="43">
        <v>42098</v>
      </c>
      <c r="C514" s="42" t="s">
        <v>583</v>
      </c>
      <c r="D514" s="42" t="str">
        <f t="shared" si="18"/>
        <v>Grocery</v>
      </c>
      <c r="E514" s="42" t="s">
        <v>192</v>
      </c>
      <c r="F514" s="42" t="s">
        <v>238</v>
      </c>
      <c r="G514" s="42">
        <v>-7.07</v>
      </c>
      <c r="H514" s="42">
        <f t="shared" ref="H514:H577" si="19">YEAR(B514)*100+MONTH(B514)</f>
        <v>201504</v>
      </c>
      <c r="I514" s="42">
        <f>MATCH(D514,$O:$O,0)</f>
        <v>12</v>
      </c>
      <c r="J514" s="42"/>
      <c r="K514" s="42"/>
    </row>
    <row r="515" spans="1:11" x14ac:dyDescent="0.25">
      <c r="A515" s="42" t="s">
        <v>236</v>
      </c>
      <c r="B515" s="43">
        <v>42098</v>
      </c>
      <c r="C515" s="42" t="s">
        <v>584</v>
      </c>
      <c r="D515" s="42" t="str">
        <f t="shared" si="18"/>
        <v>D-Travel</v>
      </c>
      <c r="E515" s="42" t="s">
        <v>161</v>
      </c>
      <c r="F515" s="42" t="s">
        <v>238</v>
      </c>
      <c r="G515" s="42">
        <v>-1.45</v>
      </c>
      <c r="H515" s="42">
        <f t="shared" si="19"/>
        <v>201504</v>
      </c>
      <c r="I515" s="42">
        <f>MATCH(D515,$O:$O,0)</f>
        <v>10</v>
      </c>
      <c r="J515" s="42"/>
      <c r="K515" s="42"/>
    </row>
    <row r="516" spans="1:11" x14ac:dyDescent="0.25">
      <c r="A516" s="42" t="s">
        <v>236</v>
      </c>
      <c r="B516" s="43">
        <v>42098</v>
      </c>
      <c r="C516" s="42" t="s">
        <v>585</v>
      </c>
      <c r="D516" s="42" t="str">
        <f t="shared" si="18"/>
        <v>D-Travel</v>
      </c>
      <c r="E516" s="42" t="s">
        <v>161</v>
      </c>
      <c r="F516" s="42" t="s">
        <v>238</v>
      </c>
      <c r="G516" s="42">
        <v>-1.75</v>
      </c>
      <c r="H516" s="42">
        <f t="shared" si="19"/>
        <v>201504</v>
      </c>
      <c r="I516" s="42">
        <f>MATCH(D516,$O:$O,0)</f>
        <v>10</v>
      </c>
      <c r="J516" s="42"/>
      <c r="K516" s="42"/>
    </row>
    <row r="517" spans="1:11" x14ac:dyDescent="0.25">
      <c r="A517" s="42" t="s">
        <v>236</v>
      </c>
      <c r="B517" s="43">
        <v>42098</v>
      </c>
      <c r="C517" s="42" t="s">
        <v>585</v>
      </c>
      <c r="D517" s="42" t="str">
        <f t="shared" si="18"/>
        <v>D-Travel</v>
      </c>
      <c r="E517" s="42" t="s">
        <v>161</v>
      </c>
      <c r="F517" s="42" t="s">
        <v>238</v>
      </c>
      <c r="G517" s="42">
        <v>-3.5</v>
      </c>
      <c r="H517" s="42">
        <f t="shared" si="19"/>
        <v>201504</v>
      </c>
      <c r="I517" s="42">
        <f>MATCH(D517,$O:$O,0)</f>
        <v>10</v>
      </c>
      <c r="J517" s="42"/>
      <c r="K517" s="42"/>
    </row>
    <row r="518" spans="1:11" x14ac:dyDescent="0.25">
      <c r="A518" s="42" t="s">
        <v>236</v>
      </c>
      <c r="B518" s="43">
        <v>42099</v>
      </c>
      <c r="C518" s="42" t="s">
        <v>581</v>
      </c>
      <c r="D518" s="42" t="str">
        <f t="shared" si="18"/>
        <v>Grocery</v>
      </c>
      <c r="E518" s="42" t="s">
        <v>385</v>
      </c>
      <c r="F518" s="42" t="s">
        <v>238</v>
      </c>
      <c r="G518" s="42">
        <v>-7.6</v>
      </c>
      <c r="H518" s="42">
        <f t="shared" si="19"/>
        <v>201504</v>
      </c>
      <c r="I518" s="42">
        <f>MATCH(D518,$O:$O,0)</f>
        <v>12</v>
      </c>
      <c r="J518" s="42"/>
      <c r="K518" s="42"/>
    </row>
    <row r="519" spans="1:11" x14ac:dyDescent="0.25">
      <c r="A519" s="42" t="s">
        <v>236</v>
      </c>
      <c r="B519" s="43">
        <v>42100</v>
      </c>
      <c r="C519" s="42" t="s">
        <v>577</v>
      </c>
      <c r="D519" s="42" t="str">
        <f t="shared" si="18"/>
        <v>Gas</v>
      </c>
      <c r="E519" s="42" t="s">
        <v>311</v>
      </c>
      <c r="F519" s="42" t="s">
        <v>238</v>
      </c>
      <c r="G519" s="42">
        <v>-10.35</v>
      </c>
      <c r="H519" s="42">
        <f t="shared" si="19"/>
        <v>201504</v>
      </c>
      <c r="I519" s="42">
        <f>MATCH(D519,$O:$O,0)</f>
        <v>30</v>
      </c>
      <c r="J519" s="42"/>
      <c r="K519" s="42"/>
    </row>
    <row r="520" spans="1:11" x14ac:dyDescent="0.25">
      <c r="A520" s="42" t="s">
        <v>236</v>
      </c>
      <c r="B520" s="43">
        <v>42100</v>
      </c>
      <c r="C520" s="42" t="s">
        <v>579</v>
      </c>
      <c r="D520" s="42" t="str">
        <f t="shared" si="18"/>
        <v>Grocery</v>
      </c>
      <c r="E520" s="42" t="s">
        <v>192</v>
      </c>
      <c r="F520" s="42" t="s">
        <v>238</v>
      </c>
      <c r="G520" s="42">
        <v>-1.75</v>
      </c>
      <c r="H520" s="42">
        <f t="shared" si="19"/>
        <v>201504</v>
      </c>
      <c r="I520" s="42">
        <f>MATCH(D520,$O:$O,0)</f>
        <v>12</v>
      </c>
      <c r="J520" s="42"/>
      <c r="K520" s="42"/>
    </row>
    <row r="521" spans="1:11" x14ac:dyDescent="0.25">
      <c r="A521" s="42" t="s">
        <v>236</v>
      </c>
      <c r="B521" s="43">
        <v>42100</v>
      </c>
      <c r="C521" s="42" t="s">
        <v>579</v>
      </c>
      <c r="D521" s="42" t="str">
        <f t="shared" si="18"/>
        <v>Grocery</v>
      </c>
      <c r="E521" s="42" t="s">
        <v>192</v>
      </c>
      <c r="F521" s="42" t="s">
        <v>238</v>
      </c>
      <c r="G521" s="42">
        <v>-3.83</v>
      </c>
      <c r="H521" s="42">
        <f t="shared" si="19"/>
        <v>201504</v>
      </c>
      <c r="I521" s="42">
        <f>MATCH(D521,$O:$O,0)</f>
        <v>12</v>
      </c>
      <c r="J521" s="42"/>
      <c r="K521" s="42"/>
    </row>
    <row r="522" spans="1:11" x14ac:dyDescent="0.25">
      <c r="A522" s="42" t="s">
        <v>236</v>
      </c>
      <c r="B522" s="43">
        <v>42100</v>
      </c>
      <c r="C522" s="42" t="s">
        <v>569</v>
      </c>
      <c r="D522" s="42" t="str">
        <f t="shared" si="18"/>
        <v>D-Restaurant</v>
      </c>
      <c r="E522" s="42" t="s">
        <v>204</v>
      </c>
      <c r="F522" s="42" t="s">
        <v>238</v>
      </c>
      <c r="G522" s="42">
        <v>-3.95</v>
      </c>
      <c r="H522" s="42">
        <f t="shared" si="19"/>
        <v>201504</v>
      </c>
      <c r="I522" s="42">
        <f>MATCH(D522,$O:$O,0)</f>
        <v>9</v>
      </c>
      <c r="J522" s="42"/>
      <c r="K522" s="42"/>
    </row>
    <row r="523" spans="1:11" x14ac:dyDescent="0.25">
      <c r="A523" s="42" t="s">
        <v>236</v>
      </c>
      <c r="B523" s="43">
        <v>42100</v>
      </c>
      <c r="C523" s="42" t="s">
        <v>580</v>
      </c>
      <c r="D523" s="42" t="str">
        <f t="shared" si="18"/>
        <v>D-Restaurant</v>
      </c>
      <c r="E523" s="42" t="s">
        <v>204</v>
      </c>
      <c r="F523" s="42" t="s">
        <v>238</v>
      </c>
      <c r="G523" s="42">
        <v>-18</v>
      </c>
      <c r="H523" s="42">
        <f t="shared" si="19"/>
        <v>201504</v>
      </c>
      <c r="I523" s="42">
        <f>MATCH(D523,$O:$O,0)</f>
        <v>9</v>
      </c>
      <c r="J523" s="42"/>
      <c r="K523" s="42"/>
    </row>
    <row r="524" spans="1:11" x14ac:dyDescent="0.25">
      <c r="A524" s="42" t="s">
        <v>236</v>
      </c>
      <c r="B524" s="43">
        <v>42100</v>
      </c>
      <c r="C524" s="42" t="s">
        <v>249</v>
      </c>
      <c r="D524" s="42" t="str">
        <f t="shared" si="18"/>
        <v>Retirement Contributions</v>
      </c>
      <c r="E524" s="42" t="s">
        <v>263</v>
      </c>
      <c r="F524" s="42" t="s">
        <v>238</v>
      </c>
      <c r="G524" s="42">
        <v>731.25</v>
      </c>
      <c r="H524" s="42">
        <f t="shared" si="19"/>
        <v>201504</v>
      </c>
      <c r="I524" s="42">
        <f>MATCH(D524,$O:$O,0)</f>
        <v>39</v>
      </c>
      <c r="J524" s="42"/>
      <c r="K524" s="42"/>
    </row>
    <row r="525" spans="1:11" x14ac:dyDescent="0.25">
      <c r="A525" s="42" t="s">
        <v>236</v>
      </c>
      <c r="B525" s="43">
        <v>42100</v>
      </c>
      <c r="C525" s="42" t="s">
        <v>576</v>
      </c>
      <c r="D525" s="42" t="str">
        <f t="shared" si="18"/>
        <v>Transfers</v>
      </c>
      <c r="E525" s="42" t="s">
        <v>226</v>
      </c>
      <c r="F525" s="42" t="s">
        <v>238</v>
      </c>
      <c r="G525" s="42">
        <v>-0.65</v>
      </c>
      <c r="H525" s="42">
        <f t="shared" si="19"/>
        <v>201504</v>
      </c>
      <c r="I525" s="42">
        <f>MATCH(D525,$O:$O,0)</f>
        <v>37</v>
      </c>
      <c r="J525" s="42"/>
      <c r="K525" s="42"/>
    </row>
    <row r="526" spans="1:11" x14ac:dyDescent="0.25">
      <c r="A526" s="42" t="s">
        <v>236</v>
      </c>
      <c r="B526" s="43">
        <v>42100</v>
      </c>
      <c r="C526" s="42" t="s">
        <v>578</v>
      </c>
      <c r="D526" s="42" t="str">
        <f t="shared" si="18"/>
        <v>Wedding</v>
      </c>
      <c r="E526" s="42" t="s">
        <v>6</v>
      </c>
      <c r="F526" s="42" t="s">
        <v>238</v>
      </c>
      <c r="G526" s="42">
        <v>-353.44</v>
      </c>
      <c r="H526" s="42">
        <f t="shared" si="19"/>
        <v>201504</v>
      </c>
      <c r="I526" s="42">
        <f>MATCH(D526,$O:$O,0)</f>
        <v>41</v>
      </c>
      <c r="J526" s="42"/>
      <c r="K526" s="42"/>
    </row>
    <row r="527" spans="1:11" x14ac:dyDescent="0.25">
      <c r="A527" s="42" t="s">
        <v>236</v>
      </c>
      <c r="B527" s="43">
        <v>42101</v>
      </c>
      <c r="C527" s="42" t="s">
        <v>574</v>
      </c>
      <c r="D527" s="42" t="str">
        <f t="shared" si="18"/>
        <v>Deposits</v>
      </c>
      <c r="E527" s="42" t="s">
        <v>271</v>
      </c>
      <c r="F527" s="42" t="s">
        <v>238</v>
      </c>
      <c r="G527" s="42">
        <v>0.65</v>
      </c>
      <c r="H527" s="42">
        <f t="shared" si="19"/>
        <v>201504</v>
      </c>
      <c r="I527" s="42" t="e">
        <f>MATCH(D527,$O:$O,0)</f>
        <v>#N/A</v>
      </c>
      <c r="J527" s="42"/>
      <c r="K527" s="42"/>
    </row>
    <row r="528" spans="1:11" x14ac:dyDescent="0.25">
      <c r="A528" s="42" t="s">
        <v>236</v>
      </c>
      <c r="B528" s="43">
        <v>42101</v>
      </c>
      <c r="C528" s="42" t="s">
        <v>575</v>
      </c>
      <c r="D528" s="42" t="str">
        <f t="shared" si="18"/>
        <v>D-Restaurant</v>
      </c>
      <c r="E528" s="42" t="s">
        <v>204</v>
      </c>
      <c r="F528" s="42" t="s">
        <v>238</v>
      </c>
      <c r="G528" s="42">
        <v>-6</v>
      </c>
      <c r="H528" s="42">
        <f t="shared" si="19"/>
        <v>201504</v>
      </c>
      <c r="I528" s="42">
        <f>MATCH(D528,$O:$O,0)</f>
        <v>9</v>
      </c>
      <c r="J528" s="42"/>
      <c r="K528" s="42"/>
    </row>
    <row r="529" spans="1:11" x14ac:dyDescent="0.25">
      <c r="A529" s="42" t="s">
        <v>236</v>
      </c>
      <c r="B529" s="43">
        <v>42101</v>
      </c>
      <c r="C529" s="42" t="s">
        <v>509</v>
      </c>
      <c r="D529" s="42" t="str">
        <f t="shared" si="18"/>
        <v>D-Coffee</v>
      </c>
      <c r="E529" s="42" t="s">
        <v>215</v>
      </c>
      <c r="F529" s="42" t="s">
        <v>238</v>
      </c>
      <c r="G529" s="42">
        <v>-3.75</v>
      </c>
      <c r="H529" s="42">
        <f t="shared" si="19"/>
        <v>201504</v>
      </c>
      <c r="I529" s="42">
        <f>MATCH(D529,$O:$O,0)</f>
        <v>7</v>
      </c>
      <c r="J529" s="42"/>
      <c r="K529" s="42"/>
    </row>
    <row r="530" spans="1:11" x14ac:dyDescent="0.25">
      <c r="A530" s="42" t="s">
        <v>236</v>
      </c>
      <c r="B530" s="43">
        <v>42102</v>
      </c>
      <c r="C530" s="42" t="s">
        <v>571</v>
      </c>
      <c r="D530" s="42" t="str">
        <f t="shared" si="18"/>
        <v>Gas</v>
      </c>
      <c r="E530" s="42" t="s">
        <v>311</v>
      </c>
      <c r="F530" s="42" t="s">
        <v>238</v>
      </c>
      <c r="G530" s="42">
        <v>-20.99</v>
      </c>
      <c r="H530" s="42">
        <f t="shared" si="19"/>
        <v>201504</v>
      </c>
      <c r="I530" s="42">
        <f>MATCH(D530,$O:$O,0)</f>
        <v>30</v>
      </c>
      <c r="J530" s="42"/>
      <c r="K530" s="42"/>
    </row>
    <row r="531" spans="1:11" x14ac:dyDescent="0.25">
      <c r="A531" s="42" t="s">
        <v>236</v>
      </c>
      <c r="B531" s="43">
        <v>42102</v>
      </c>
      <c r="C531" s="42" t="s">
        <v>424</v>
      </c>
      <c r="D531" s="42" t="str">
        <f t="shared" si="18"/>
        <v>Gas</v>
      </c>
      <c r="E531" s="42" t="s">
        <v>311</v>
      </c>
      <c r="F531" s="42" t="s">
        <v>238</v>
      </c>
      <c r="G531" s="42">
        <v>-42.48</v>
      </c>
      <c r="H531" s="42">
        <f t="shared" si="19"/>
        <v>201504</v>
      </c>
      <c r="I531" s="42">
        <f>MATCH(D531,$O:$O,0)</f>
        <v>30</v>
      </c>
      <c r="J531" s="42"/>
      <c r="K531" s="42"/>
    </row>
    <row r="532" spans="1:11" x14ac:dyDescent="0.25">
      <c r="A532" s="42" t="s">
        <v>236</v>
      </c>
      <c r="B532" s="43">
        <v>42102</v>
      </c>
      <c r="C532" s="42" t="s">
        <v>384</v>
      </c>
      <c r="D532" s="42" t="str">
        <f t="shared" si="18"/>
        <v>Grocery</v>
      </c>
      <c r="E532" s="42" t="s">
        <v>385</v>
      </c>
      <c r="F532" s="42" t="s">
        <v>238</v>
      </c>
      <c r="G532" s="42">
        <v>-103.69</v>
      </c>
      <c r="H532" s="42">
        <f t="shared" si="19"/>
        <v>201504</v>
      </c>
      <c r="I532" s="42">
        <f>MATCH(D532,$O:$O,0)</f>
        <v>12</v>
      </c>
      <c r="J532" s="42"/>
      <c r="K532" s="42"/>
    </row>
    <row r="533" spans="1:11" x14ac:dyDescent="0.25">
      <c r="A533" s="42" t="s">
        <v>236</v>
      </c>
      <c r="B533" s="43">
        <v>42102</v>
      </c>
      <c r="C533" s="42" t="s">
        <v>572</v>
      </c>
      <c r="D533" s="42" t="str">
        <f t="shared" si="18"/>
        <v>D-Restaurant</v>
      </c>
      <c r="E533" s="42" t="s">
        <v>204</v>
      </c>
      <c r="F533" s="42" t="s">
        <v>238</v>
      </c>
      <c r="G533" s="42">
        <v>-51.28</v>
      </c>
      <c r="H533" s="42">
        <f t="shared" si="19"/>
        <v>201504</v>
      </c>
      <c r="I533" s="42">
        <f>MATCH(D533,$O:$O,0)</f>
        <v>9</v>
      </c>
      <c r="J533" s="42"/>
      <c r="K533" s="42"/>
    </row>
    <row r="534" spans="1:11" x14ac:dyDescent="0.25">
      <c r="A534" s="42" t="s">
        <v>236</v>
      </c>
      <c r="B534" s="43">
        <v>42102</v>
      </c>
      <c r="C534" s="42" t="s">
        <v>573</v>
      </c>
      <c r="D534" s="42" t="str">
        <f t="shared" si="18"/>
        <v>Uncategorized</v>
      </c>
      <c r="E534" s="42" t="s">
        <v>102</v>
      </c>
      <c r="F534" s="42" t="s">
        <v>238</v>
      </c>
      <c r="G534" s="42">
        <v>-11.75</v>
      </c>
      <c r="H534" s="42">
        <f t="shared" si="19"/>
        <v>201504</v>
      </c>
      <c r="I534" s="42">
        <f>MATCH(D534,$O:$O,0)</f>
        <v>33</v>
      </c>
      <c r="J534" s="42"/>
      <c r="K534" s="42"/>
    </row>
    <row r="535" spans="1:11" x14ac:dyDescent="0.25">
      <c r="A535" s="42" t="s">
        <v>236</v>
      </c>
      <c r="B535" s="43">
        <v>42103</v>
      </c>
      <c r="C535" s="42" t="s">
        <v>570</v>
      </c>
      <c r="D535" s="42" t="str">
        <f t="shared" si="18"/>
        <v>Newspapers</v>
      </c>
      <c r="E535" s="42" t="s">
        <v>35</v>
      </c>
      <c r="F535" s="42" t="s">
        <v>238</v>
      </c>
      <c r="G535" s="42">
        <v>-14.99</v>
      </c>
      <c r="H535" s="42">
        <f t="shared" si="19"/>
        <v>201504</v>
      </c>
      <c r="I535" s="42">
        <f>MATCH(D535,$O:$O,0)</f>
        <v>23</v>
      </c>
      <c r="J535" s="42"/>
      <c r="K535" s="42"/>
    </row>
    <row r="536" spans="1:11" x14ac:dyDescent="0.25">
      <c r="A536" s="42" t="s">
        <v>236</v>
      </c>
      <c r="B536" s="43">
        <v>42103</v>
      </c>
      <c r="C536" s="42" t="s">
        <v>569</v>
      </c>
      <c r="D536" s="42" t="str">
        <f t="shared" si="18"/>
        <v>D-Restaurant</v>
      </c>
      <c r="E536" s="42" t="s">
        <v>204</v>
      </c>
      <c r="F536" s="42" t="s">
        <v>238</v>
      </c>
      <c r="G536" s="42">
        <v>-6.37</v>
      </c>
      <c r="H536" s="42">
        <f t="shared" si="19"/>
        <v>201504</v>
      </c>
      <c r="I536" s="42">
        <f>MATCH(D536,$O:$O,0)</f>
        <v>9</v>
      </c>
      <c r="J536" s="42"/>
      <c r="K536" s="42"/>
    </row>
    <row r="537" spans="1:11" x14ac:dyDescent="0.25">
      <c r="A537" s="42" t="s">
        <v>236</v>
      </c>
      <c r="B537" s="43">
        <v>42103</v>
      </c>
      <c r="C537" s="42" t="s">
        <v>525</v>
      </c>
      <c r="D537" s="42" t="str">
        <f t="shared" si="18"/>
        <v>D-Restaurant</v>
      </c>
      <c r="E537" s="42" t="s">
        <v>204</v>
      </c>
      <c r="F537" s="42" t="s">
        <v>238</v>
      </c>
      <c r="G537" s="42">
        <v>-7.05</v>
      </c>
      <c r="H537" s="42">
        <f t="shared" si="19"/>
        <v>201504</v>
      </c>
      <c r="I537" s="42">
        <f>MATCH(D537,$O:$O,0)</f>
        <v>9</v>
      </c>
      <c r="J537" s="42"/>
      <c r="K537" s="42"/>
    </row>
    <row r="538" spans="1:11" x14ac:dyDescent="0.25">
      <c r="A538" s="42" t="s">
        <v>236</v>
      </c>
      <c r="B538" s="43">
        <v>42103</v>
      </c>
      <c r="C538" s="42" t="s">
        <v>509</v>
      </c>
      <c r="D538" s="42" t="str">
        <f t="shared" si="18"/>
        <v>D-Coffee</v>
      </c>
      <c r="E538" s="42" t="s">
        <v>215</v>
      </c>
      <c r="F538" s="42" t="s">
        <v>238</v>
      </c>
      <c r="G538" s="42">
        <v>-2.25</v>
      </c>
      <c r="H538" s="42">
        <f t="shared" si="19"/>
        <v>201504</v>
      </c>
      <c r="I538" s="42">
        <f>MATCH(D538,$O:$O,0)</f>
        <v>7</v>
      </c>
      <c r="J538" s="42"/>
      <c r="K538" s="42"/>
    </row>
    <row r="539" spans="1:11" x14ac:dyDescent="0.25">
      <c r="A539" s="42" t="s">
        <v>236</v>
      </c>
      <c r="B539" s="43">
        <v>42104</v>
      </c>
      <c r="C539" s="42" t="s">
        <v>568</v>
      </c>
      <c r="D539" s="42" t="str">
        <f t="shared" si="18"/>
        <v>D-Restaurant</v>
      </c>
      <c r="E539" s="42" t="s">
        <v>204</v>
      </c>
      <c r="F539" s="42" t="s">
        <v>238</v>
      </c>
      <c r="G539" s="42">
        <v>-9.52</v>
      </c>
      <c r="H539" s="42">
        <f t="shared" si="19"/>
        <v>201504</v>
      </c>
      <c r="I539" s="42">
        <f>MATCH(D539,$O:$O,0)</f>
        <v>9</v>
      </c>
      <c r="J539" s="42"/>
      <c r="K539" s="42"/>
    </row>
    <row r="540" spans="1:11" x14ac:dyDescent="0.25">
      <c r="A540" s="42" t="s">
        <v>236</v>
      </c>
      <c r="B540" s="43">
        <v>42104</v>
      </c>
      <c r="C540" s="42" t="s">
        <v>507</v>
      </c>
      <c r="D540" s="42" t="str">
        <f t="shared" si="18"/>
        <v>Jeanne</v>
      </c>
      <c r="E540" s="42" t="s">
        <v>365</v>
      </c>
      <c r="F540" s="42" t="s">
        <v>238</v>
      </c>
      <c r="G540" s="44">
        <v>-4500</v>
      </c>
      <c r="H540" s="42">
        <f t="shared" si="19"/>
        <v>201504</v>
      </c>
      <c r="I540" s="42" t="e">
        <f>MATCH(D540,$O:$O,0)</f>
        <v>#N/A</v>
      </c>
      <c r="J540" s="42"/>
      <c r="K540" s="42"/>
    </row>
    <row r="541" spans="1:11" x14ac:dyDescent="0.25">
      <c r="A541" s="42" t="s">
        <v>236</v>
      </c>
      <c r="B541" s="43">
        <v>42105</v>
      </c>
      <c r="C541" s="42" t="s">
        <v>384</v>
      </c>
      <c r="D541" s="42" t="str">
        <f t="shared" si="18"/>
        <v>Grocery</v>
      </c>
      <c r="E541" s="42" t="s">
        <v>385</v>
      </c>
      <c r="F541" s="42" t="s">
        <v>238</v>
      </c>
      <c r="G541" s="42">
        <v>-1.64</v>
      </c>
      <c r="H541" s="42">
        <f t="shared" si="19"/>
        <v>201504</v>
      </c>
      <c r="I541" s="42">
        <f>MATCH(D541,$O:$O,0)</f>
        <v>12</v>
      </c>
      <c r="J541" s="42"/>
      <c r="K541" s="42"/>
    </row>
    <row r="542" spans="1:11" x14ac:dyDescent="0.25">
      <c r="A542" s="42" t="s">
        <v>236</v>
      </c>
      <c r="B542" s="43">
        <v>42105</v>
      </c>
      <c r="C542" s="42" t="s">
        <v>384</v>
      </c>
      <c r="D542" s="42" t="str">
        <f t="shared" si="18"/>
        <v>Grocery</v>
      </c>
      <c r="E542" s="42" t="s">
        <v>385</v>
      </c>
      <c r="F542" s="42" t="s">
        <v>238</v>
      </c>
      <c r="G542" s="42">
        <v>-35.72</v>
      </c>
      <c r="H542" s="42">
        <f t="shared" si="19"/>
        <v>201504</v>
      </c>
      <c r="I542" s="42">
        <f>MATCH(D542,$O:$O,0)</f>
        <v>12</v>
      </c>
      <c r="J542" s="42"/>
      <c r="K542" s="42"/>
    </row>
    <row r="543" spans="1:11" x14ac:dyDescent="0.25">
      <c r="A543" s="42" t="s">
        <v>236</v>
      </c>
      <c r="B543" s="43">
        <v>42105</v>
      </c>
      <c r="C543" s="42" t="s">
        <v>567</v>
      </c>
      <c r="D543" s="42" t="str">
        <f t="shared" si="18"/>
        <v>Postage and Shipping</v>
      </c>
      <c r="E543" s="42" t="s">
        <v>468</v>
      </c>
      <c r="F543" s="42" t="s">
        <v>238</v>
      </c>
      <c r="G543" s="42">
        <v>-0.7</v>
      </c>
      <c r="H543" s="42">
        <f t="shared" si="19"/>
        <v>201504</v>
      </c>
      <c r="I543" s="42" t="e">
        <f>MATCH(D543,$O:$O,0)</f>
        <v>#N/A</v>
      </c>
      <c r="J543" s="42"/>
      <c r="K543" s="42"/>
    </row>
    <row r="544" spans="1:11" x14ac:dyDescent="0.25">
      <c r="A544" s="42" t="s">
        <v>236</v>
      </c>
      <c r="B544" s="43">
        <v>42105</v>
      </c>
      <c r="C544" s="42" t="s">
        <v>525</v>
      </c>
      <c r="D544" s="42" t="str">
        <f t="shared" si="18"/>
        <v>D-Restaurant</v>
      </c>
      <c r="E544" s="42" t="s">
        <v>204</v>
      </c>
      <c r="F544" s="42" t="s">
        <v>238</v>
      </c>
      <c r="G544" s="42">
        <v>-7.75</v>
      </c>
      <c r="H544" s="42">
        <f t="shared" si="19"/>
        <v>201504</v>
      </c>
      <c r="I544" s="42">
        <f>MATCH(D544,$O:$O,0)</f>
        <v>9</v>
      </c>
      <c r="J544" s="42"/>
      <c r="K544" s="42"/>
    </row>
    <row r="545" spans="1:11" x14ac:dyDescent="0.25">
      <c r="A545" s="42" t="s">
        <v>236</v>
      </c>
      <c r="B545" s="43">
        <v>42105</v>
      </c>
      <c r="C545" s="42" t="s">
        <v>509</v>
      </c>
      <c r="D545" s="42" t="str">
        <f t="shared" si="18"/>
        <v>D-Coffee</v>
      </c>
      <c r="E545" s="42" t="s">
        <v>215</v>
      </c>
      <c r="F545" s="42" t="s">
        <v>238</v>
      </c>
      <c r="G545" s="42">
        <v>-2.75</v>
      </c>
      <c r="H545" s="42">
        <f t="shared" si="19"/>
        <v>201504</v>
      </c>
      <c r="I545" s="42">
        <f>MATCH(D545,$O:$O,0)</f>
        <v>7</v>
      </c>
      <c r="J545" s="42"/>
      <c r="K545" s="42"/>
    </row>
    <row r="546" spans="1:11" x14ac:dyDescent="0.25">
      <c r="A546" s="42" t="s">
        <v>236</v>
      </c>
      <c r="B546" s="43">
        <v>42105</v>
      </c>
      <c r="C546" s="42" t="s">
        <v>566</v>
      </c>
      <c r="D546" s="42" t="str">
        <f t="shared" si="18"/>
        <v>Wedding</v>
      </c>
      <c r="E546" s="42" t="s">
        <v>6</v>
      </c>
      <c r="F546" s="42" t="s">
        <v>238</v>
      </c>
      <c r="G546" s="44">
        <v>-4513.13</v>
      </c>
      <c r="H546" s="42">
        <f t="shared" si="19"/>
        <v>201504</v>
      </c>
      <c r="I546" s="42">
        <f>MATCH(D546,$O:$O,0)</f>
        <v>41</v>
      </c>
      <c r="J546" s="42"/>
      <c r="K546" s="42"/>
    </row>
    <row r="547" spans="1:11" x14ac:dyDescent="0.25">
      <c r="A547" s="42" t="s">
        <v>236</v>
      </c>
      <c r="B547" s="43">
        <v>42107</v>
      </c>
      <c r="C547" s="42" t="s">
        <v>565</v>
      </c>
      <c r="D547" s="42" t="str">
        <f t="shared" si="18"/>
        <v>Grocery</v>
      </c>
      <c r="E547" s="42" t="s">
        <v>192</v>
      </c>
      <c r="F547" s="42" t="s">
        <v>238</v>
      </c>
      <c r="G547" s="42">
        <v>-13.07</v>
      </c>
      <c r="H547" s="42">
        <f t="shared" si="19"/>
        <v>201504</v>
      </c>
      <c r="I547" s="42">
        <f>MATCH(D547,$O:$O,0)</f>
        <v>12</v>
      </c>
      <c r="J547" s="42"/>
      <c r="K547" s="42"/>
    </row>
    <row r="548" spans="1:11" x14ac:dyDescent="0.25">
      <c r="A548" s="42" t="s">
        <v>236</v>
      </c>
      <c r="B548" s="43">
        <v>42107</v>
      </c>
      <c r="C548" s="42" t="s">
        <v>563</v>
      </c>
      <c r="D548" s="42" t="str">
        <f t="shared" ref="D548:D611" si="20">IF(ISNA(VLOOKUP(E548,$L$2:$M$26,2,FALSE)),E548,VLOOKUP(E548,$L$2:$M$26,2,FALSE))</f>
        <v>D-Restaurant</v>
      </c>
      <c r="E548" s="42" t="s">
        <v>204</v>
      </c>
      <c r="F548" s="42" t="s">
        <v>238</v>
      </c>
      <c r="G548" s="42">
        <v>-30</v>
      </c>
      <c r="H548" s="42">
        <f t="shared" si="19"/>
        <v>201504</v>
      </c>
      <c r="I548" s="42">
        <f>MATCH(D548,$O:$O,0)</f>
        <v>9</v>
      </c>
      <c r="J548" s="42"/>
      <c r="K548" s="42"/>
    </row>
    <row r="549" spans="1:11" x14ac:dyDescent="0.25">
      <c r="A549" s="42" t="s">
        <v>236</v>
      </c>
      <c r="B549" s="43">
        <v>42107</v>
      </c>
      <c r="C549" s="42" t="s">
        <v>564</v>
      </c>
      <c r="D549" s="42" t="str">
        <f t="shared" si="20"/>
        <v>Wedding</v>
      </c>
      <c r="E549" s="42" t="s">
        <v>6</v>
      </c>
      <c r="F549" s="42" t="s">
        <v>238</v>
      </c>
      <c r="G549" s="42">
        <v>-8.7899999999999991</v>
      </c>
      <c r="H549" s="42">
        <f t="shared" si="19"/>
        <v>201504</v>
      </c>
      <c r="I549" s="42">
        <f>MATCH(D549,$O:$O,0)</f>
        <v>41</v>
      </c>
      <c r="J549" s="42"/>
      <c r="K549" s="42"/>
    </row>
    <row r="550" spans="1:11" x14ac:dyDescent="0.25">
      <c r="A550" s="42" t="s">
        <v>236</v>
      </c>
      <c r="B550" s="43">
        <v>42108</v>
      </c>
      <c r="C550" s="42" t="s">
        <v>412</v>
      </c>
      <c r="D550" s="42" t="str">
        <f t="shared" si="20"/>
        <v>Interest</v>
      </c>
      <c r="E550" s="42" t="s">
        <v>200</v>
      </c>
      <c r="F550" s="42" t="s">
        <v>238</v>
      </c>
      <c r="G550" s="42">
        <v>0.41</v>
      </c>
      <c r="H550" s="42">
        <f t="shared" si="19"/>
        <v>201504</v>
      </c>
      <c r="I550" s="42" t="e">
        <f>MATCH(D550,$O:$O,0)</f>
        <v>#N/A</v>
      </c>
      <c r="J550" s="42"/>
      <c r="K550" s="42"/>
    </row>
    <row r="551" spans="1:11" x14ac:dyDescent="0.25">
      <c r="A551" s="42" t="s">
        <v>236</v>
      </c>
      <c r="B551" s="43">
        <v>42108</v>
      </c>
      <c r="C551" s="42" t="s">
        <v>412</v>
      </c>
      <c r="D551" s="42" t="str">
        <f t="shared" si="20"/>
        <v>Interest</v>
      </c>
      <c r="E551" s="42" t="s">
        <v>200</v>
      </c>
      <c r="F551" s="42" t="s">
        <v>238</v>
      </c>
      <c r="G551" s="42">
        <v>0.4</v>
      </c>
      <c r="H551" s="42">
        <f t="shared" si="19"/>
        <v>201504</v>
      </c>
      <c r="I551" s="42" t="e">
        <f>MATCH(D551,$O:$O,0)</f>
        <v>#N/A</v>
      </c>
      <c r="J551" s="42"/>
      <c r="K551" s="42"/>
    </row>
    <row r="552" spans="1:11" x14ac:dyDescent="0.25">
      <c r="A552" s="42" t="s">
        <v>236</v>
      </c>
      <c r="B552" s="43">
        <v>42108</v>
      </c>
      <c r="C552" s="42" t="s">
        <v>472</v>
      </c>
      <c r="D552" s="42" t="str">
        <f t="shared" si="20"/>
        <v>Other Income</v>
      </c>
      <c r="E552" s="42" t="s">
        <v>250</v>
      </c>
      <c r="F552" s="42" t="s">
        <v>238</v>
      </c>
      <c r="G552" s="42">
        <v>0</v>
      </c>
      <c r="H552" s="42">
        <f t="shared" si="19"/>
        <v>201504</v>
      </c>
      <c r="I552" s="42" t="e">
        <f>MATCH(D552,$O:$O,0)</f>
        <v>#N/A</v>
      </c>
      <c r="J552" s="42"/>
      <c r="K552" s="42"/>
    </row>
    <row r="553" spans="1:11" x14ac:dyDescent="0.25">
      <c r="A553" s="42" t="s">
        <v>236</v>
      </c>
      <c r="B553" s="43">
        <v>42108</v>
      </c>
      <c r="C553" s="42" t="s">
        <v>474</v>
      </c>
      <c r="D553" s="42" t="str">
        <f t="shared" si="20"/>
        <v>Other Income</v>
      </c>
      <c r="E553" s="42" t="s">
        <v>250</v>
      </c>
      <c r="F553" s="42" t="s">
        <v>238</v>
      </c>
      <c r="G553" s="42">
        <v>0</v>
      </c>
      <c r="H553" s="42">
        <f t="shared" si="19"/>
        <v>201504</v>
      </c>
      <c r="I553" s="42" t="e">
        <f>MATCH(D553,$O:$O,0)</f>
        <v>#N/A</v>
      </c>
      <c r="J553" s="42"/>
      <c r="K553" s="42"/>
    </row>
    <row r="554" spans="1:11" x14ac:dyDescent="0.25">
      <c r="A554" s="42" t="s">
        <v>236</v>
      </c>
      <c r="B554" s="43">
        <v>42108</v>
      </c>
      <c r="C554" s="42" t="s">
        <v>221</v>
      </c>
      <c r="D554" s="42" t="str">
        <f t="shared" si="20"/>
        <v>Tax</v>
      </c>
      <c r="E554" s="42" t="s">
        <v>222</v>
      </c>
      <c r="F554" s="42" t="s">
        <v>238</v>
      </c>
      <c r="G554" s="42">
        <v>-0.11</v>
      </c>
      <c r="H554" s="42">
        <f t="shared" si="19"/>
        <v>201504</v>
      </c>
      <c r="I554" s="42">
        <f>MATCH(D554,$O:$O,0)</f>
        <v>29</v>
      </c>
      <c r="J554" s="42"/>
      <c r="K554" s="42"/>
    </row>
    <row r="555" spans="1:11" x14ac:dyDescent="0.25">
      <c r="A555" s="42" t="s">
        <v>236</v>
      </c>
      <c r="B555" s="43">
        <v>42108</v>
      </c>
      <c r="C555" s="42" t="s">
        <v>221</v>
      </c>
      <c r="D555" s="42" t="str">
        <f t="shared" si="20"/>
        <v>Tax</v>
      </c>
      <c r="E555" s="42" t="s">
        <v>222</v>
      </c>
      <c r="F555" s="42" t="s">
        <v>238</v>
      </c>
      <c r="G555" s="42">
        <v>-0.11</v>
      </c>
      <c r="H555" s="42">
        <f t="shared" si="19"/>
        <v>201504</v>
      </c>
      <c r="I555" s="42">
        <f>MATCH(D555,$O:$O,0)</f>
        <v>29</v>
      </c>
      <c r="J555" s="42"/>
      <c r="K555" s="42"/>
    </row>
    <row r="556" spans="1:11" x14ac:dyDescent="0.25">
      <c r="A556" s="42" t="s">
        <v>236</v>
      </c>
      <c r="B556" s="43">
        <v>42108</v>
      </c>
      <c r="C556" s="42" t="s">
        <v>562</v>
      </c>
      <c r="D556" s="42" t="str">
        <f t="shared" si="20"/>
        <v>Utility</v>
      </c>
      <c r="E556" s="42" t="s">
        <v>19</v>
      </c>
      <c r="F556" s="42" t="s">
        <v>238</v>
      </c>
      <c r="G556" s="42">
        <v>-38.24</v>
      </c>
      <c r="H556" s="42">
        <f t="shared" si="19"/>
        <v>201504</v>
      </c>
      <c r="I556" s="42">
        <f>MATCH(D556,$O:$O,0)</f>
        <v>34</v>
      </c>
      <c r="J556" s="42"/>
      <c r="K556" s="42"/>
    </row>
    <row r="557" spans="1:11" x14ac:dyDescent="0.25">
      <c r="A557" s="42" t="s">
        <v>236</v>
      </c>
      <c r="B557" s="43">
        <v>42109</v>
      </c>
      <c r="C557" s="42" t="s">
        <v>561</v>
      </c>
      <c r="D557" s="42" t="str">
        <f t="shared" si="20"/>
        <v>Paychecks/Salary</v>
      </c>
      <c r="E557" s="42" t="s">
        <v>375</v>
      </c>
      <c r="F557" s="42" t="s">
        <v>238</v>
      </c>
      <c r="G557" s="44">
        <v>2717.13</v>
      </c>
      <c r="H557" s="42">
        <f t="shared" si="19"/>
        <v>201504</v>
      </c>
      <c r="I557" s="42">
        <f>MATCH(D557,$O:$O,0)</f>
        <v>40</v>
      </c>
      <c r="J557" s="42"/>
      <c r="K557" s="42"/>
    </row>
    <row r="558" spans="1:11" x14ac:dyDescent="0.25">
      <c r="A558" s="42" t="s">
        <v>236</v>
      </c>
      <c r="B558" s="43">
        <v>42109</v>
      </c>
      <c r="C558" s="42" t="s">
        <v>560</v>
      </c>
      <c r="D558" s="42" t="str">
        <f t="shared" si="20"/>
        <v>Tax</v>
      </c>
      <c r="E558" s="42" t="s">
        <v>14</v>
      </c>
      <c r="F558" s="42" t="s">
        <v>238</v>
      </c>
      <c r="G558" s="44">
        <v>-1413</v>
      </c>
      <c r="H558" s="42">
        <f t="shared" si="19"/>
        <v>201504</v>
      </c>
      <c r="I558" s="42">
        <f>MATCH(D558,$O:$O,0)</f>
        <v>29</v>
      </c>
      <c r="J558" s="42"/>
      <c r="K558" s="42"/>
    </row>
    <row r="559" spans="1:11" x14ac:dyDescent="0.25">
      <c r="A559" s="42" t="s">
        <v>236</v>
      </c>
      <c r="B559" s="43">
        <v>42111</v>
      </c>
      <c r="C559" s="42" t="s">
        <v>249</v>
      </c>
      <c r="D559" s="42" t="str">
        <f t="shared" si="20"/>
        <v>Retirement Contributions</v>
      </c>
      <c r="E559" s="42" t="s">
        <v>263</v>
      </c>
      <c r="F559" s="42" t="s">
        <v>238</v>
      </c>
      <c r="G559" s="42">
        <v>731.25</v>
      </c>
      <c r="H559" s="42">
        <f t="shared" si="19"/>
        <v>201504</v>
      </c>
      <c r="I559" s="42">
        <f>MATCH(D559,$O:$O,0)</f>
        <v>39</v>
      </c>
      <c r="J559" s="42"/>
      <c r="K559" s="42"/>
    </row>
    <row r="560" spans="1:11" x14ac:dyDescent="0.25">
      <c r="A560" s="42" t="s">
        <v>236</v>
      </c>
      <c r="B560" s="43">
        <v>42114</v>
      </c>
      <c r="C560" s="42" t="s">
        <v>529</v>
      </c>
      <c r="D560" s="42" t="str">
        <f t="shared" si="20"/>
        <v>Interest</v>
      </c>
      <c r="E560" s="42" t="s">
        <v>200</v>
      </c>
      <c r="F560" s="42" t="s">
        <v>238</v>
      </c>
      <c r="G560" s="42">
        <v>-1.5</v>
      </c>
      <c r="H560" s="42">
        <f t="shared" si="19"/>
        <v>201504</v>
      </c>
      <c r="I560" s="42" t="e">
        <f>MATCH(D560,$O:$O,0)</f>
        <v>#N/A</v>
      </c>
      <c r="J560" s="42"/>
      <c r="K560" s="42"/>
    </row>
    <row r="561" spans="1:11" x14ac:dyDescent="0.25">
      <c r="A561" s="42" t="s">
        <v>236</v>
      </c>
      <c r="B561" s="43">
        <v>42114</v>
      </c>
      <c r="C561" s="42" t="s">
        <v>559</v>
      </c>
      <c r="D561" s="42" t="str">
        <f t="shared" si="20"/>
        <v>D-Restaurant</v>
      </c>
      <c r="E561" s="42" t="s">
        <v>204</v>
      </c>
      <c r="F561" s="42" t="s">
        <v>238</v>
      </c>
      <c r="G561" s="42">
        <v>-72.95</v>
      </c>
      <c r="H561" s="42">
        <f t="shared" si="19"/>
        <v>201504</v>
      </c>
      <c r="I561" s="42">
        <f>MATCH(D561,$O:$O,0)</f>
        <v>9</v>
      </c>
      <c r="J561" s="42"/>
      <c r="K561" s="42"/>
    </row>
    <row r="562" spans="1:11" x14ac:dyDescent="0.25">
      <c r="A562" s="42" t="s">
        <v>236</v>
      </c>
      <c r="B562" s="43">
        <v>42116</v>
      </c>
      <c r="C562" s="42" t="s">
        <v>558</v>
      </c>
      <c r="D562" s="42" t="str">
        <f t="shared" si="20"/>
        <v>Credit Card Payments</v>
      </c>
      <c r="E562" s="42" t="s">
        <v>242</v>
      </c>
      <c r="F562" s="42" t="s">
        <v>238</v>
      </c>
      <c r="G562" s="44">
        <v>-5878.92</v>
      </c>
      <c r="H562" s="42">
        <f t="shared" si="19"/>
        <v>201504</v>
      </c>
      <c r="I562" s="42">
        <f>MATCH(D562,$O:$O,0)</f>
        <v>38</v>
      </c>
      <c r="J562" s="42"/>
      <c r="K562" s="42"/>
    </row>
    <row r="563" spans="1:11" x14ac:dyDescent="0.25">
      <c r="A563" s="42" t="s">
        <v>236</v>
      </c>
      <c r="B563" s="43">
        <v>42117</v>
      </c>
      <c r="C563" s="42" t="s">
        <v>557</v>
      </c>
      <c r="D563" s="42" t="str">
        <f t="shared" si="20"/>
        <v>Credit Card Payments</v>
      </c>
      <c r="E563" s="42" t="s">
        <v>242</v>
      </c>
      <c r="F563" s="42" t="s">
        <v>238</v>
      </c>
      <c r="G563" s="44">
        <v>5878.92</v>
      </c>
      <c r="H563" s="42">
        <f t="shared" si="19"/>
        <v>201504</v>
      </c>
      <c r="I563" s="42">
        <f>MATCH(D563,$O:$O,0)</f>
        <v>38</v>
      </c>
      <c r="J563" s="42"/>
      <c r="K563" s="42"/>
    </row>
    <row r="564" spans="1:11" x14ac:dyDescent="0.25">
      <c r="A564" s="42" t="s">
        <v>236</v>
      </c>
      <c r="B564" s="43">
        <v>42118</v>
      </c>
      <c r="C564" s="42" t="s">
        <v>555</v>
      </c>
      <c r="D564" s="42" t="str">
        <f t="shared" si="20"/>
        <v>Movies/Software/Online Service</v>
      </c>
      <c r="E564" s="42" t="s">
        <v>167</v>
      </c>
      <c r="F564" s="42" t="s">
        <v>238</v>
      </c>
      <c r="G564" s="42">
        <v>-34.58</v>
      </c>
      <c r="H564" s="42">
        <f t="shared" si="19"/>
        <v>201504</v>
      </c>
      <c r="I564" s="42">
        <f>MATCH(D564,$O:$O,0)</f>
        <v>22</v>
      </c>
      <c r="J564" s="42"/>
      <c r="K564" s="42"/>
    </row>
    <row r="565" spans="1:11" x14ac:dyDescent="0.25">
      <c r="A565" s="42" t="s">
        <v>236</v>
      </c>
      <c r="B565" s="43">
        <v>42118</v>
      </c>
      <c r="C565" s="42" t="s">
        <v>556</v>
      </c>
      <c r="D565" s="42" t="str">
        <f t="shared" si="20"/>
        <v>Finance Charges</v>
      </c>
      <c r="E565" s="42" t="s">
        <v>220</v>
      </c>
      <c r="F565" s="42" t="s">
        <v>238</v>
      </c>
      <c r="G565" s="42">
        <v>-0.93</v>
      </c>
      <c r="H565" s="42">
        <f t="shared" si="19"/>
        <v>201504</v>
      </c>
      <c r="I565" s="42">
        <f>MATCH(D565,$O:$O,0)</f>
        <v>35</v>
      </c>
      <c r="J565" s="42"/>
      <c r="K565" s="42"/>
    </row>
    <row r="566" spans="1:11" x14ac:dyDescent="0.25">
      <c r="A566" s="42" t="s">
        <v>236</v>
      </c>
      <c r="B566" s="43">
        <v>42119</v>
      </c>
      <c r="C566" s="42" t="s">
        <v>554</v>
      </c>
      <c r="D566" s="42" t="str">
        <f t="shared" si="20"/>
        <v>Cell Phone</v>
      </c>
      <c r="E566" s="42" t="s">
        <v>224</v>
      </c>
      <c r="F566" s="42" t="s">
        <v>238</v>
      </c>
      <c r="G566" s="42">
        <v>-64.66</v>
      </c>
      <c r="H566" s="42">
        <f t="shared" si="19"/>
        <v>201504</v>
      </c>
      <c r="I566" s="42">
        <f>MATCH(D566,$O:$O,0)</f>
        <v>4</v>
      </c>
      <c r="J566" s="42"/>
      <c r="K566" s="42"/>
    </row>
    <row r="567" spans="1:11" x14ac:dyDescent="0.25">
      <c r="A567" s="42" t="s">
        <v>236</v>
      </c>
      <c r="B567" s="43">
        <v>42120</v>
      </c>
      <c r="C567" s="42" t="s">
        <v>553</v>
      </c>
      <c r="D567" s="42" t="str">
        <f t="shared" si="20"/>
        <v>D-Travel</v>
      </c>
      <c r="E567" s="42" t="s">
        <v>161</v>
      </c>
      <c r="F567" s="42" t="s">
        <v>238</v>
      </c>
      <c r="G567" s="42">
        <v>-15.13</v>
      </c>
      <c r="H567" s="42">
        <f t="shared" si="19"/>
        <v>201504</v>
      </c>
      <c r="I567" s="42">
        <f>MATCH(D567,$O:$O,0)</f>
        <v>10</v>
      </c>
      <c r="J567" s="42"/>
      <c r="K567" s="42"/>
    </row>
    <row r="568" spans="1:11" x14ac:dyDescent="0.25">
      <c r="A568" s="42" t="s">
        <v>236</v>
      </c>
      <c r="B568" s="43">
        <v>42121</v>
      </c>
      <c r="C568" s="42" t="s">
        <v>364</v>
      </c>
      <c r="D568" s="42" t="str">
        <f t="shared" si="20"/>
        <v>Mortgage/Rent</v>
      </c>
      <c r="E568" s="42" t="s">
        <v>202</v>
      </c>
      <c r="F568" s="42" t="s">
        <v>238</v>
      </c>
      <c r="G568" s="44">
        <v>3329.45</v>
      </c>
      <c r="H568" s="42">
        <f t="shared" si="19"/>
        <v>201504</v>
      </c>
      <c r="I568" s="42">
        <f>MATCH(D568,$O:$O,0)</f>
        <v>21</v>
      </c>
      <c r="J568" s="42"/>
      <c r="K568" s="42"/>
    </row>
    <row r="569" spans="1:11" x14ac:dyDescent="0.25">
      <c r="A569" s="42" t="s">
        <v>236</v>
      </c>
      <c r="B569" s="43">
        <v>42121</v>
      </c>
      <c r="C569" s="42" t="s">
        <v>552</v>
      </c>
      <c r="D569" s="42" t="str">
        <f t="shared" si="20"/>
        <v>D-Restaurant</v>
      </c>
      <c r="E569" s="42" t="s">
        <v>204</v>
      </c>
      <c r="F569" s="42" t="s">
        <v>238</v>
      </c>
      <c r="G569" s="42">
        <v>-188.14</v>
      </c>
      <c r="H569" s="42">
        <f t="shared" si="19"/>
        <v>201504</v>
      </c>
      <c r="I569" s="42">
        <f>MATCH(D569,$O:$O,0)</f>
        <v>9</v>
      </c>
      <c r="J569" s="42"/>
      <c r="K569" s="42"/>
    </row>
    <row r="570" spans="1:11" x14ac:dyDescent="0.25">
      <c r="A570" s="42" t="s">
        <v>236</v>
      </c>
      <c r="B570" s="43">
        <v>42122</v>
      </c>
      <c r="C570" s="42" t="s">
        <v>551</v>
      </c>
      <c r="D570" s="42" t="str">
        <f t="shared" si="20"/>
        <v>Healthcare/Medical</v>
      </c>
      <c r="E570" s="42" t="s">
        <v>265</v>
      </c>
      <c r="F570" s="42" t="s">
        <v>238</v>
      </c>
      <c r="G570" s="42">
        <v>-48</v>
      </c>
      <c r="H570" s="42">
        <f t="shared" si="19"/>
        <v>201504</v>
      </c>
      <c r="I570" s="42" t="e">
        <f>MATCH(D570,$O:$O,0)</f>
        <v>#N/A</v>
      </c>
      <c r="J570" s="42"/>
      <c r="K570" s="42"/>
    </row>
    <row r="571" spans="1:11" x14ac:dyDescent="0.25">
      <c r="A571" s="42" t="s">
        <v>236</v>
      </c>
      <c r="B571" s="43">
        <v>42124</v>
      </c>
      <c r="C571" s="42" t="s">
        <v>550</v>
      </c>
      <c r="D571" s="42" t="str">
        <f t="shared" si="20"/>
        <v>Book</v>
      </c>
      <c r="E571" s="42" t="s">
        <v>616</v>
      </c>
      <c r="F571" s="42" t="s">
        <v>238</v>
      </c>
      <c r="G571" s="42">
        <v>-9.99</v>
      </c>
      <c r="H571" s="42">
        <f t="shared" si="19"/>
        <v>201504</v>
      </c>
      <c r="I571" s="42" t="e">
        <f>MATCH(D571,$O:$O,0)</f>
        <v>#N/A</v>
      </c>
      <c r="J571" s="42"/>
      <c r="K571" s="42"/>
    </row>
    <row r="572" spans="1:11" x14ac:dyDescent="0.25">
      <c r="A572" s="42" t="s">
        <v>236</v>
      </c>
      <c r="B572" s="43">
        <v>42124</v>
      </c>
      <c r="C572" s="42" t="s">
        <v>549</v>
      </c>
      <c r="D572" s="42" t="str">
        <f t="shared" si="20"/>
        <v>Paychecks/Salary</v>
      </c>
      <c r="E572" s="42" t="s">
        <v>375</v>
      </c>
      <c r="F572" s="42" t="s">
        <v>238</v>
      </c>
      <c r="G572" s="44">
        <v>2790.25</v>
      </c>
      <c r="H572" s="42">
        <f t="shared" si="19"/>
        <v>201504</v>
      </c>
      <c r="I572" s="42">
        <f>MATCH(D572,$O:$O,0)</f>
        <v>40</v>
      </c>
      <c r="J572" s="42"/>
      <c r="K572" s="42"/>
    </row>
    <row r="573" spans="1:11" x14ac:dyDescent="0.25">
      <c r="A573" s="42" t="s">
        <v>236</v>
      </c>
      <c r="B573" s="43">
        <v>42124</v>
      </c>
      <c r="C573" s="42" t="s">
        <v>548</v>
      </c>
      <c r="D573" s="42" t="str">
        <f t="shared" si="20"/>
        <v>Paychecks/Salary</v>
      </c>
      <c r="E573" s="42" t="s">
        <v>375</v>
      </c>
      <c r="F573" s="42" t="s">
        <v>238</v>
      </c>
      <c r="G573" s="42">
        <v>16.170000000000002</v>
      </c>
      <c r="H573" s="42">
        <f t="shared" si="19"/>
        <v>201504</v>
      </c>
      <c r="I573" s="42">
        <f>MATCH(D573,$O:$O,0)</f>
        <v>40</v>
      </c>
      <c r="J573" s="42"/>
      <c r="K573" s="42"/>
    </row>
    <row r="574" spans="1:11" x14ac:dyDescent="0.25">
      <c r="A574" s="42" t="s">
        <v>236</v>
      </c>
      <c r="B574" s="43">
        <v>42125</v>
      </c>
      <c r="C574" s="42" t="s">
        <v>591</v>
      </c>
      <c r="D574" s="42" t="str">
        <f t="shared" si="20"/>
        <v>Mortgage/Rent</v>
      </c>
      <c r="E574" s="42" t="s">
        <v>202</v>
      </c>
      <c r="F574" s="42" t="s">
        <v>238</v>
      </c>
      <c r="G574" s="44">
        <v>-3116.77</v>
      </c>
      <c r="H574" s="42">
        <f t="shared" si="19"/>
        <v>201505</v>
      </c>
      <c r="I574" s="42">
        <f>MATCH(D574,$O:$O,0)</f>
        <v>21</v>
      </c>
      <c r="J574" s="42" t="s">
        <v>39</v>
      </c>
      <c r="K574" t="s">
        <v>621</v>
      </c>
    </row>
    <row r="575" spans="1:11" x14ac:dyDescent="0.25">
      <c r="A575" s="42" t="s">
        <v>236</v>
      </c>
      <c r="B575" s="43">
        <v>42125</v>
      </c>
      <c r="C575" s="42" t="s">
        <v>438</v>
      </c>
      <c r="D575" s="42" t="str">
        <f t="shared" si="20"/>
        <v>Cell Phone</v>
      </c>
      <c r="E575" s="42" t="s">
        <v>224</v>
      </c>
      <c r="F575" s="42" t="s">
        <v>238</v>
      </c>
      <c r="G575" s="42">
        <v>-162.16999999999999</v>
      </c>
      <c r="H575" s="42">
        <f t="shared" si="19"/>
        <v>201505</v>
      </c>
      <c r="I575" s="42">
        <f>MATCH(D575,$O:$O,0)</f>
        <v>4</v>
      </c>
      <c r="J575" s="42" t="s">
        <v>39</v>
      </c>
      <c r="K575" t="s">
        <v>619</v>
      </c>
    </row>
    <row r="576" spans="1:11" x14ac:dyDescent="0.25">
      <c r="A576" s="42" t="s">
        <v>236</v>
      </c>
      <c r="B576" s="43">
        <v>42126</v>
      </c>
      <c r="C576" s="42" t="s">
        <v>435</v>
      </c>
      <c r="D576" s="42" t="str">
        <f t="shared" si="20"/>
        <v>Credit Card Payments</v>
      </c>
      <c r="E576" s="42" t="s">
        <v>242</v>
      </c>
      <c r="F576" s="42" t="s">
        <v>238</v>
      </c>
      <c r="G576" s="42">
        <v>615.04</v>
      </c>
      <c r="H576" s="42">
        <f t="shared" si="19"/>
        <v>201505</v>
      </c>
      <c r="I576" s="42">
        <f>MATCH(D576,$O:$O,0)</f>
        <v>38</v>
      </c>
      <c r="J576" s="42" t="s">
        <v>39</v>
      </c>
      <c r="K576" t="s">
        <v>619</v>
      </c>
    </row>
    <row r="577" spans="1:11" x14ac:dyDescent="0.25">
      <c r="A577" s="42" t="s">
        <v>236</v>
      </c>
      <c r="B577" s="43">
        <v>42128</v>
      </c>
      <c r="C577" s="42" t="s">
        <v>641</v>
      </c>
      <c r="D577" s="42" t="str">
        <f t="shared" si="20"/>
        <v>Credit Card Payments</v>
      </c>
      <c r="E577" s="42" t="s">
        <v>242</v>
      </c>
      <c r="F577" s="42" t="s">
        <v>238</v>
      </c>
      <c r="G577" s="42">
        <v>-615.04</v>
      </c>
      <c r="H577" s="42">
        <f t="shared" si="19"/>
        <v>201505</v>
      </c>
      <c r="I577" s="42">
        <f>MATCH(D577,$O:$O,0)</f>
        <v>38</v>
      </c>
      <c r="J577" s="42" t="s">
        <v>39</v>
      </c>
      <c r="K577" t="s">
        <v>621</v>
      </c>
    </row>
    <row r="578" spans="1:11" x14ac:dyDescent="0.25">
      <c r="A578" s="42" t="s">
        <v>236</v>
      </c>
      <c r="B578" s="43">
        <v>42129</v>
      </c>
      <c r="C578" s="42" t="s">
        <v>249</v>
      </c>
      <c r="D578" s="42" t="str">
        <f t="shared" si="20"/>
        <v>Retirement Contributions</v>
      </c>
      <c r="E578" s="42" t="s">
        <v>263</v>
      </c>
      <c r="F578" s="42" t="s">
        <v>238</v>
      </c>
      <c r="G578" s="42">
        <v>731.25</v>
      </c>
      <c r="H578" s="42">
        <f t="shared" ref="H578:H641" si="21">YEAR(B578)*100+MONTH(B578)</f>
        <v>201505</v>
      </c>
      <c r="I578" s="42">
        <f>MATCH(D578,$O:$O,0)</f>
        <v>39</v>
      </c>
      <c r="J578" s="42" t="s">
        <v>39</v>
      </c>
      <c r="K578" t="s">
        <v>632</v>
      </c>
    </row>
    <row r="579" spans="1:11" x14ac:dyDescent="0.25">
      <c r="A579" s="42" t="s">
        <v>236</v>
      </c>
      <c r="B579" s="43">
        <v>42131</v>
      </c>
      <c r="C579" s="42" t="s">
        <v>640</v>
      </c>
      <c r="D579" s="42" t="str">
        <f t="shared" si="20"/>
        <v>Gifts</v>
      </c>
      <c r="E579" s="42" t="s">
        <v>40</v>
      </c>
      <c r="F579" s="42" t="s">
        <v>238</v>
      </c>
      <c r="G579" s="42">
        <v>-464.54</v>
      </c>
      <c r="H579" s="42">
        <f t="shared" si="21"/>
        <v>201505</v>
      </c>
      <c r="I579" s="42">
        <f>MATCH(D579,$O:$O,0)</f>
        <v>11</v>
      </c>
      <c r="J579" s="42" t="s">
        <v>39</v>
      </c>
      <c r="K579" t="s">
        <v>630</v>
      </c>
    </row>
    <row r="580" spans="1:11" x14ac:dyDescent="0.25">
      <c r="A580" s="42" t="s">
        <v>236</v>
      </c>
      <c r="B580" s="43">
        <v>42131</v>
      </c>
      <c r="C580" s="42" t="s">
        <v>639</v>
      </c>
      <c r="D580" s="42" t="str">
        <f t="shared" si="20"/>
        <v>Wedding</v>
      </c>
      <c r="E580" s="42" t="s">
        <v>6</v>
      </c>
      <c r="F580" s="42" t="s">
        <v>238</v>
      </c>
      <c r="G580" s="42">
        <v>-201.67</v>
      </c>
      <c r="H580" s="42">
        <f t="shared" si="21"/>
        <v>201505</v>
      </c>
      <c r="I580" s="42">
        <f>MATCH(D580,$O:$O,0)</f>
        <v>41</v>
      </c>
      <c r="J580" s="42" t="s">
        <v>39</v>
      </c>
      <c r="K580" t="s">
        <v>630</v>
      </c>
    </row>
    <row r="581" spans="1:11" x14ac:dyDescent="0.25">
      <c r="A581" s="42" t="s">
        <v>236</v>
      </c>
      <c r="B581" s="43">
        <v>42133</v>
      </c>
      <c r="C581" s="42" t="s">
        <v>638</v>
      </c>
      <c r="D581" s="42" t="str">
        <f t="shared" si="20"/>
        <v>Newspapers</v>
      </c>
      <c r="E581" s="42" t="s">
        <v>35</v>
      </c>
      <c r="F581" s="42" t="s">
        <v>238</v>
      </c>
      <c r="G581" s="42">
        <v>-14.99</v>
      </c>
      <c r="H581" s="42">
        <f t="shared" si="21"/>
        <v>201505</v>
      </c>
      <c r="I581" s="42">
        <f>MATCH(D581,$O:$O,0)</f>
        <v>23</v>
      </c>
      <c r="J581" s="42" t="s">
        <v>39</v>
      </c>
      <c r="K581" t="s">
        <v>619</v>
      </c>
    </row>
    <row r="582" spans="1:11" x14ac:dyDescent="0.25">
      <c r="A582" s="42" t="s">
        <v>236</v>
      </c>
      <c r="B582" s="43">
        <v>42136</v>
      </c>
      <c r="C582" s="42" t="s">
        <v>221</v>
      </c>
      <c r="D582" s="42" t="str">
        <f t="shared" si="20"/>
        <v>Tax</v>
      </c>
      <c r="E582" s="42" t="s">
        <v>222</v>
      </c>
      <c r="F582" s="42" t="s">
        <v>238</v>
      </c>
      <c r="G582" s="42">
        <v>-0.1</v>
      </c>
      <c r="H582" s="42">
        <f t="shared" si="21"/>
        <v>201505</v>
      </c>
      <c r="I582" s="42">
        <f>MATCH(D582,$O:$O,0)</f>
        <v>29</v>
      </c>
      <c r="J582" s="42" t="s">
        <v>39</v>
      </c>
      <c r="K582" t="s">
        <v>628</v>
      </c>
    </row>
    <row r="583" spans="1:11" x14ac:dyDescent="0.25">
      <c r="A583" s="42" t="s">
        <v>236</v>
      </c>
      <c r="B583" s="43">
        <v>42136</v>
      </c>
      <c r="C583" s="42" t="s">
        <v>221</v>
      </c>
      <c r="D583" s="42" t="str">
        <f t="shared" si="20"/>
        <v>Tax</v>
      </c>
      <c r="E583" s="42" t="s">
        <v>222</v>
      </c>
      <c r="F583" s="42" t="s">
        <v>238</v>
      </c>
      <c r="G583" s="42">
        <v>-0.09</v>
      </c>
      <c r="H583" s="42">
        <f t="shared" si="21"/>
        <v>201505</v>
      </c>
      <c r="I583" s="42">
        <f>MATCH(D583,$O:$O,0)</f>
        <v>29</v>
      </c>
      <c r="J583" s="42" t="s">
        <v>39</v>
      </c>
      <c r="K583" t="s">
        <v>621</v>
      </c>
    </row>
    <row r="584" spans="1:11" x14ac:dyDescent="0.25">
      <c r="A584" s="42" t="s">
        <v>236</v>
      </c>
      <c r="B584" s="43">
        <v>42136</v>
      </c>
      <c r="C584" s="42" t="s">
        <v>412</v>
      </c>
      <c r="D584" s="42" t="str">
        <f t="shared" si="20"/>
        <v>Interest</v>
      </c>
      <c r="E584" s="42" t="s">
        <v>200</v>
      </c>
      <c r="F584" s="42" t="s">
        <v>238</v>
      </c>
      <c r="G584" s="42">
        <v>0.32</v>
      </c>
      <c r="H584" s="42">
        <f t="shared" si="21"/>
        <v>201505</v>
      </c>
      <c r="I584" s="42" t="e">
        <f>MATCH(D584,$O:$O,0)</f>
        <v>#N/A</v>
      </c>
      <c r="J584" s="42" t="s">
        <v>39</v>
      </c>
      <c r="K584" t="s">
        <v>621</v>
      </c>
    </row>
    <row r="585" spans="1:11" x14ac:dyDescent="0.25">
      <c r="A585" s="42" t="s">
        <v>236</v>
      </c>
      <c r="B585" s="43">
        <v>42136</v>
      </c>
      <c r="C585" s="42" t="s">
        <v>412</v>
      </c>
      <c r="D585" s="42" t="str">
        <f t="shared" si="20"/>
        <v>Interest</v>
      </c>
      <c r="E585" s="42" t="s">
        <v>200</v>
      </c>
      <c r="F585" s="42" t="s">
        <v>238</v>
      </c>
      <c r="G585" s="42">
        <v>0.35</v>
      </c>
      <c r="H585" s="42">
        <f t="shared" si="21"/>
        <v>201505</v>
      </c>
      <c r="I585" s="42" t="e">
        <f>MATCH(D585,$O:$O,0)</f>
        <v>#N/A</v>
      </c>
      <c r="J585" s="42" t="s">
        <v>39</v>
      </c>
      <c r="K585" t="s">
        <v>628</v>
      </c>
    </row>
    <row r="586" spans="1:11" x14ac:dyDescent="0.25">
      <c r="A586" s="42" t="s">
        <v>236</v>
      </c>
      <c r="B586" s="43">
        <v>42138</v>
      </c>
      <c r="C586" s="42" t="s">
        <v>636</v>
      </c>
      <c r="D586" s="42" t="str">
        <f t="shared" si="20"/>
        <v>D-Travel</v>
      </c>
      <c r="E586" s="42" t="s">
        <v>161</v>
      </c>
      <c r="F586" s="42" t="s">
        <v>238</v>
      </c>
      <c r="G586" s="42">
        <v>-479.2</v>
      </c>
      <c r="H586" s="42">
        <f t="shared" si="21"/>
        <v>201505</v>
      </c>
      <c r="I586" s="42">
        <f>MATCH(D586,$O:$O,0)</f>
        <v>10</v>
      </c>
      <c r="J586" s="42" t="s">
        <v>39</v>
      </c>
      <c r="K586" t="s">
        <v>630</v>
      </c>
    </row>
    <row r="587" spans="1:11" x14ac:dyDescent="0.25">
      <c r="A587" s="42" t="s">
        <v>236</v>
      </c>
      <c r="B587" s="43">
        <v>42138</v>
      </c>
      <c r="C587" s="42" t="s">
        <v>637</v>
      </c>
      <c r="D587" s="42" t="str">
        <f t="shared" si="20"/>
        <v>D-Travel</v>
      </c>
      <c r="E587" s="42" t="s">
        <v>161</v>
      </c>
      <c r="F587" s="42" t="s">
        <v>238</v>
      </c>
      <c r="G587" s="42">
        <v>-479.2</v>
      </c>
      <c r="H587" s="42">
        <f t="shared" si="21"/>
        <v>201505</v>
      </c>
      <c r="I587" s="42">
        <f>MATCH(D587,$O:$O,0)</f>
        <v>10</v>
      </c>
      <c r="J587" s="42" t="s">
        <v>39</v>
      </c>
      <c r="K587" t="s">
        <v>630</v>
      </c>
    </row>
    <row r="588" spans="1:11" x14ac:dyDescent="0.25">
      <c r="A588" s="42" t="s">
        <v>236</v>
      </c>
      <c r="B588" s="43">
        <v>42139</v>
      </c>
      <c r="C588" s="42" t="s">
        <v>634</v>
      </c>
      <c r="D588" s="42" t="str">
        <f t="shared" si="20"/>
        <v>Utility</v>
      </c>
      <c r="E588" s="42" t="s">
        <v>19</v>
      </c>
      <c r="F588" s="42" t="s">
        <v>238</v>
      </c>
      <c r="G588" s="42">
        <v>-25.45</v>
      </c>
      <c r="H588" s="42">
        <f t="shared" si="21"/>
        <v>201505</v>
      </c>
      <c r="I588" s="42">
        <f>MATCH(D588,$O:$O,0)</f>
        <v>34</v>
      </c>
      <c r="J588" s="42" t="s">
        <v>39</v>
      </c>
      <c r="K588" t="s">
        <v>621</v>
      </c>
    </row>
    <row r="589" spans="1:11" x14ac:dyDescent="0.25">
      <c r="A589" s="42" t="s">
        <v>236</v>
      </c>
      <c r="B589" s="43">
        <v>42139</v>
      </c>
      <c r="C589" s="42" t="s">
        <v>635</v>
      </c>
      <c r="D589" s="42" t="str">
        <f t="shared" si="20"/>
        <v>Paychecks/Salary</v>
      </c>
      <c r="E589" s="42" t="s">
        <v>375</v>
      </c>
      <c r="F589" s="42" t="s">
        <v>238</v>
      </c>
      <c r="G589" s="44">
        <v>2717.15</v>
      </c>
      <c r="H589" s="42">
        <f t="shared" si="21"/>
        <v>201505</v>
      </c>
      <c r="I589" s="42">
        <f>MATCH(D589,$O:$O,0)</f>
        <v>40</v>
      </c>
      <c r="J589" s="42" t="s">
        <v>39</v>
      </c>
      <c r="K589" t="s">
        <v>621</v>
      </c>
    </row>
    <row r="590" spans="1:11" x14ac:dyDescent="0.25">
      <c r="A590" s="42" t="s">
        <v>236</v>
      </c>
      <c r="B590" s="43">
        <v>42143</v>
      </c>
      <c r="C590" s="42" t="s">
        <v>633</v>
      </c>
      <c r="D590" s="42" t="str">
        <f t="shared" si="20"/>
        <v>Credit Card Payments</v>
      </c>
      <c r="E590" s="42" t="s">
        <v>242</v>
      </c>
      <c r="F590" s="42" t="s">
        <v>238</v>
      </c>
      <c r="G590" s="44">
        <v>-6619</v>
      </c>
      <c r="H590" s="42">
        <f t="shared" si="21"/>
        <v>201505</v>
      </c>
      <c r="I590" s="42">
        <f>MATCH(D590,$O:$O,0)</f>
        <v>38</v>
      </c>
      <c r="J590" s="42" t="s">
        <v>39</v>
      </c>
      <c r="K590" t="s">
        <v>621</v>
      </c>
    </row>
    <row r="591" spans="1:11" x14ac:dyDescent="0.25">
      <c r="A591" s="42" t="s">
        <v>236</v>
      </c>
      <c r="B591" s="43">
        <v>42143</v>
      </c>
      <c r="C591" s="42" t="s">
        <v>595</v>
      </c>
      <c r="D591" s="42" t="str">
        <f t="shared" si="20"/>
        <v>Other Income</v>
      </c>
      <c r="E591" s="42" t="s">
        <v>250</v>
      </c>
      <c r="F591" s="42" t="s">
        <v>238</v>
      </c>
      <c r="G591" s="42">
        <v>0</v>
      </c>
      <c r="H591" s="42">
        <f t="shared" si="21"/>
        <v>201505</v>
      </c>
      <c r="I591" s="42" t="e">
        <f>MATCH(D591,$O:$O,0)</f>
        <v>#N/A</v>
      </c>
      <c r="J591" s="42" t="s">
        <v>39</v>
      </c>
      <c r="K591" t="s">
        <v>621</v>
      </c>
    </row>
    <row r="592" spans="1:11" x14ac:dyDescent="0.25">
      <c r="A592" s="42" t="s">
        <v>236</v>
      </c>
      <c r="B592" s="43">
        <v>42143</v>
      </c>
      <c r="C592" s="42" t="s">
        <v>557</v>
      </c>
      <c r="D592" s="42" t="str">
        <f t="shared" si="20"/>
        <v>Credit Card Payments</v>
      </c>
      <c r="E592" s="42" t="s">
        <v>242</v>
      </c>
      <c r="F592" s="42" t="s">
        <v>238</v>
      </c>
      <c r="G592" s="44">
        <v>6619</v>
      </c>
      <c r="H592" s="42">
        <f t="shared" si="21"/>
        <v>201505</v>
      </c>
      <c r="I592" s="42">
        <f>MATCH(D592,$O:$O,0)</f>
        <v>38</v>
      </c>
      <c r="J592" s="42" t="s">
        <v>39</v>
      </c>
      <c r="K592" t="s">
        <v>630</v>
      </c>
    </row>
    <row r="593" spans="1:11" x14ac:dyDescent="0.25">
      <c r="A593" s="42" t="s">
        <v>236</v>
      </c>
      <c r="B593" s="43">
        <v>42144</v>
      </c>
      <c r="C593" s="42" t="s">
        <v>528</v>
      </c>
      <c r="D593" s="42" t="str">
        <f t="shared" si="20"/>
        <v>Utility</v>
      </c>
      <c r="E593" s="42" t="s">
        <v>19</v>
      </c>
      <c r="F593" s="42" t="s">
        <v>238</v>
      </c>
      <c r="G593" s="42">
        <v>-265.48</v>
      </c>
      <c r="H593" s="42">
        <f t="shared" si="21"/>
        <v>201505</v>
      </c>
      <c r="I593" s="42">
        <f>MATCH(D593,$O:$O,0)</f>
        <v>34</v>
      </c>
      <c r="J593" s="42" t="s">
        <v>39</v>
      </c>
      <c r="K593" t="s">
        <v>631</v>
      </c>
    </row>
    <row r="594" spans="1:11" x14ac:dyDescent="0.25">
      <c r="A594" s="42" t="s">
        <v>236</v>
      </c>
      <c r="B594" s="43">
        <v>42144</v>
      </c>
      <c r="C594" s="42" t="s">
        <v>249</v>
      </c>
      <c r="D594" s="42" t="str">
        <f t="shared" si="20"/>
        <v>Retirement Contributions</v>
      </c>
      <c r="E594" s="42" t="s">
        <v>263</v>
      </c>
      <c r="F594" s="42" t="s">
        <v>238</v>
      </c>
      <c r="G594" s="42">
        <v>731.25</v>
      </c>
      <c r="H594" s="42">
        <f t="shared" si="21"/>
        <v>201505</v>
      </c>
      <c r="I594" s="42">
        <f>MATCH(D594,$O:$O,0)</f>
        <v>39</v>
      </c>
      <c r="J594" s="42" t="s">
        <v>39</v>
      </c>
      <c r="K594" t="s">
        <v>632</v>
      </c>
    </row>
    <row r="595" spans="1:11" x14ac:dyDescent="0.25">
      <c r="A595" s="42" t="s">
        <v>236</v>
      </c>
      <c r="B595" s="43">
        <v>42145</v>
      </c>
      <c r="C595" s="42" t="s">
        <v>629</v>
      </c>
      <c r="D595" s="42" t="str">
        <f t="shared" si="20"/>
        <v>Home Insurance</v>
      </c>
      <c r="E595" s="42" t="s">
        <v>199</v>
      </c>
      <c r="F595" s="42" t="s">
        <v>238</v>
      </c>
      <c r="G595" s="42">
        <v>-681.71</v>
      </c>
      <c r="H595" s="42">
        <f t="shared" si="21"/>
        <v>201505</v>
      </c>
      <c r="I595" s="42">
        <f>MATCH(D595,$O:$O,0)</f>
        <v>17</v>
      </c>
      <c r="J595" s="42" t="s">
        <v>39</v>
      </c>
      <c r="K595" t="s">
        <v>630</v>
      </c>
    </row>
    <row r="596" spans="1:11" x14ac:dyDescent="0.25">
      <c r="A596" s="42" t="s">
        <v>236</v>
      </c>
      <c r="B596" s="43">
        <v>42145</v>
      </c>
      <c r="C596" s="42" t="s">
        <v>629</v>
      </c>
      <c r="D596" s="42" t="str">
        <f t="shared" si="20"/>
        <v>Home Insurance</v>
      </c>
      <c r="E596" s="42" t="s">
        <v>199</v>
      </c>
      <c r="F596" s="42" t="s">
        <v>238</v>
      </c>
      <c r="G596" s="42">
        <v>-215.38</v>
      </c>
      <c r="H596" s="42">
        <f t="shared" si="21"/>
        <v>201505</v>
      </c>
      <c r="I596" s="42">
        <f>MATCH(D596,$O:$O,0)</f>
        <v>17</v>
      </c>
      <c r="J596" s="42" t="s">
        <v>39</v>
      </c>
      <c r="K596" t="s">
        <v>630</v>
      </c>
    </row>
    <row r="597" spans="1:11" x14ac:dyDescent="0.25">
      <c r="A597" s="42" t="s">
        <v>236</v>
      </c>
      <c r="B597" s="43">
        <v>42145</v>
      </c>
      <c r="C597" s="42" t="s">
        <v>626</v>
      </c>
      <c r="D597" s="42" t="str">
        <f t="shared" si="20"/>
        <v>Other Income</v>
      </c>
      <c r="E597" s="42" t="s">
        <v>250</v>
      </c>
      <c r="F597" s="42" t="s">
        <v>238</v>
      </c>
      <c r="G597" s="42">
        <v>0</v>
      </c>
      <c r="H597" s="42">
        <f t="shared" si="21"/>
        <v>201505</v>
      </c>
      <c r="I597" s="42" t="e">
        <f>MATCH(D597,$O:$O,0)</f>
        <v>#N/A</v>
      </c>
      <c r="J597" s="42" t="s">
        <v>39</v>
      </c>
      <c r="K597" t="s">
        <v>621</v>
      </c>
    </row>
    <row r="598" spans="1:11" x14ac:dyDescent="0.25">
      <c r="A598" s="42" t="s">
        <v>236</v>
      </c>
      <c r="B598" s="43">
        <v>42149</v>
      </c>
      <c r="C598" s="42" t="s">
        <v>627</v>
      </c>
      <c r="D598" s="42" t="str">
        <f t="shared" si="20"/>
        <v>Cell Phone</v>
      </c>
      <c r="E598" s="42" t="s">
        <v>224</v>
      </c>
      <c r="F598" s="42" t="s">
        <v>238</v>
      </c>
      <c r="G598" s="42">
        <v>-66.84</v>
      </c>
      <c r="H598" s="42">
        <f t="shared" si="21"/>
        <v>201505</v>
      </c>
      <c r="I598" s="42">
        <f>MATCH(D598,$O:$O,0)</f>
        <v>4</v>
      </c>
      <c r="J598" s="42" t="s">
        <v>39</v>
      </c>
      <c r="K598" t="s">
        <v>619</v>
      </c>
    </row>
    <row r="599" spans="1:11" x14ac:dyDescent="0.25">
      <c r="A599" s="42" t="s">
        <v>236</v>
      </c>
      <c r="B599" s="43">
        <v>42150</v>
      </c>
      <c r="C599" s="42" t="s">
        <v>626</v>
      </c>
      <c r="D599" s="42" t="str">
        <f t="shared" si="20"/>
        <v>Other Income</v>
      </c>
      <c r="E599" s="42" t="s">
        <v>250</v>
      </c>
      <c r="F599" s="42" t="s">
        <v>238</v>
      </c>
      <c r="G599" s="42">
        <v>0</v>
      </c>
      <c r="H599" s="42">
        <f t="shared" si="21"/>
        <v>201505</v>
      </c>
      <c r="I599" s="42" t="e">
        <f>MATCH(D599,$O:$O,0)</f>
        <v>#N/A</v>
      </c>
      <c r="J599" s="42" t="s">
        <v>39</v>
      </c>
      <c r="K599" t="s">
        <v>621</v>
      </c>
    </row>
    <row r="600" spans="1:11" x14ac:dyDescent="0.25">
      <c r="A600" s="42" t="s">
        <v>236</v>
      </c>
      <c r="B600" s="43">
        <v>42151</v>
      </c>
      <c r="C600" s="42" t="s">
        <v>625</v>
      </c>
      <c r="D600" s="42" t="str">
        <f t="shared" si="20"/>
        <v>Parent Support</v>
      </c>
      <c r="E600" s="42" t="s">
        <v>61</v>
      </c>
      <c r="F600" s="42" t="s">
        <v>238</v>
      </c>
      <c r="G600" s="42">
        <v>-647.37</v>
      </c>
      <c r="H600" s="42">
        <f t="shared" si="21"/>
        <v>201505</v>
      </c>
      <c r="I600" s="42">
        <f>MATCH(D600,$O:$O,0)</f>
        <v>24</v>
      </c>
      <c r="J600" s="42" t="s">
        <v>39</v>
      </c>
      <c r="K600" t="s">
        <v>621</v>
      </c>
    </row>
    <row r="601" spans="1:11" x14ac:dyDescent="0.25">
      <c r="A601" s="42" t="s">
        <v>236</v>
      </c>
      <c r="B601" s="43">
        <v>42152</v>
      </c>
      <c r="C601" s="42" t="s">
        <v>595</v>
      </c>
      <c r="D601" s="42" t="str">
        <f t="shared" si="20"/>
        <v>Other Income</v>
      </c>
      <c r="E601" s="42" t="s">
        <v>250</v>
      </c>
      <c r="F601" s="42" t="s">
        <v>238</v>
      </c>
      <c r="G601" s="42">
        <v>0</v>
      </c>
      <c r="H601" s="42">
        <f t="shared" si="21"/>
        <v>201505</v>
      </c>
      <c r="I601" s="42" t="e">
        <f>MATCH(D601,$O:$O,0)</f>
        <v>#N/A</v>
      </c>
      <c r="J601" s="42" t="s">
        <v>39</v>
      </c>
      <c r="K601" t="s">
        <v>621</v>
      </c>
    </row>
    <row r="602" spans="1:11" x14ac:dyDescent="0.25">
      <c r="A602" s="42" t="s">
        <v>236</v>
      </c>
      <c r="B602" s="43">
        <v>42153</v>
      </c>
      <c r="C602" s="42" t="s">
        <v>624</v>
      </c>
      <c r="D602" s="42" t="str">
        <f t="shared" si="20"/>
        <v>Books</v>
      </c>
      <c r="E602" s="42" t="s">
        <v>42</v>
      </c>
      <c r="F602" s="42" t="s">
        <v>238</v>
      </c>
      <c r="G602" s="42">
        <v>-16.489999999999998</v>
      </c>
      <c r="H602" s="42">
        <f t="shared" si="21"/>
        <v>201505</v>
      </c>
      <c r="I602" s="42">
        <f>MATCH(D602,$O:$O,0)</f>
        <v>2</v>
      </c>
      <c r="J602" s="42" t="s">
        <v>39</v>
      </c>
      <c r="K602" t="s">
        <v>619</v>
      </c>
    </row>
    <row r="603" spans="1:11" x14ac:dyDescent="0.25">
      <c r="A603" s="42" t="s">
        <v>236</v>
      </c>
      <c r="B603" s="43">
        <v>42153</v>
      </c>
      <c r="C603" s="42" t="s">
        <v>622</v>
      </c>
      <c r="D603" s="42" t="str">
        <f t="shared" si="20"/>
        <v>Other Bills</v>
      </c>
      <c r="E603" s="42" t="s">
        <v>623</v>
      </c>
      <c r="F603" s="42" t="s">
        <v>238</v>
      </c>
      <c r="G603" s="42">
        <v>0.32</v>
      </c>
      <c r="H603" s="42">
        <f t="shared" si="21"/>
        <v>201505</v>
      </c>
      <c r="I603" s="42" t="e">
        <f>MATCH(D603,$O:$O,0)</f>
        <v>#N/A</v>
      </c>
      <c r="J603" s="42" t="s">
        <v>39</v>
      </c>
      <c r="K603" t="s">
        <v>619</v>
      </c>
    </row>
    <row r="604" spans="1:11" x14ac:dyDescent="0.25">
      <c r="A604" s="42" t="s">
        <v>236</v>
      </c>
      <c r="B604" s="43">
        <v>42153</v>
      </c>
      <c r="C604" s="42" t="s">
        <v>620</v>
      </c>
      <c r="D604" s="42" t="str">
        <f t="shared" si="20"/>
        <v>Paychecks/Salary</v>
      </c>
      <c r="E604" s="42" t="s">
        <v>375</v>
      </c>
      <c r="F604" s="42" t="s">
        <v>238</v>
      </c>
      <c r="G604" s="44">
        <v>2790.24</v>
      </c>
      <c r="H604" s="42">
        <f t="shared" si="21"/>
        <v>201505</v>
      </c>
      <c r="I604" s="42">
        <f>MATCH(D604,$O:$O,0)</f>
        <v>40</v>
      </c>
      <c r="J604" s="42" t="s">
        <v>39</v>
      </c>
      <c r="K604" t="s">
        <v>621</v>
      </c>
    </row>
    <row r="605" spans="1:11" x14ac:dyDescent="0.25">
      <c r="A605" s="42" t="s">
        <v>236</v>
      </c>
      <c r="B605" s="43">
        <v>42155</v>
      </c>
      <c r="C605" s="42" t="s">
        <v>618</v>
      </c>
      <c r="D605" s="42" t="str">
        <f t="shared" si="20"/>
        <v>Books</v>
      </c>
      <c r="E605" s="42" t="s">
        <v>42</v>
      </c>
      <c r="F605" s="42" t="s">
        <v>238</v>
      </c>
      <c r="G605" s="42">
        <v>-9.99</v>
      </c>
      <c r="H605" s="42">
        <f t="shared" si="21"/>
        <v>201505</v>
      </c>
      <c r="I605" s="42">
        <f>MATCH(D605,$O:$O,0)</f>
        <v>2</v>
      </c>
      <c r="J605" s="42" t="s">
        <v>39</v>
      </c>
      <c r="K605" s="42" t="s">
        <v>619</v>
      </c>
    </row>
    <row r="606" spans="1:11" x14ac:dyDescent="0.25">
      <c r="A606" s="42" t="s">
        <v>236</v>
      </c>
      <c r="B606" s="43">
        <v>42156</v>
      </c>
      <c r="C606" s="42" t="s">
        <v>591</v>
      </c>
      <c r="D606" s="42" t="str">
        <f t="shared" si="20"/>
        <v>Mortgage/Rent</v>
      </c>
      <c r="E606" s="42" t="s">
        <v>202</v>
      </c>
      <c r="F606" s="42" t="s">
        <v>238</v>
      </c>
      <c r="G606" s="44">
        <v>-3116.77</v>
      </c>
      <c r="H606" s="42">
        <f t="shared" si="21"/>
        <v>201506</v>
      </c>
      <c r="I606" s="42">
        <f>MATCH(D606,$O:$O,0)</f>
        <v>21</v>
      </c>
      <c r="J606" s="42" t="s">
        <v>39</v>
      </c>
      <c r="K606" s="42"/>
    </row>
    <row r="607" spans="1:11" x14ac:dyDescent="0.25">
      <c r="A607" s="42" t="s">
        <v>236</v>
      </c>
      <c r="B607" s="43">
        <v>42156</v>
      </c>
      <c r="C607" s="42" t="s">
        <v>438</v>
      </c>
      <c r="D607" s="42" t="str">
        <f t="shared" si="20"/>
        <v>Cell Phone</v>
      </c>
      <c r="E607" s="42" t="s">
        <v>224</v>
      </c>
      <c r="F607" s="42" t="s">
        <v>238</v>
      </c>
      <c r="G607" s="42">
        <v>-161.77000000000001</v>
      </c>
      <c r="H607" s="42">
        <f t="shared" si="21"/>
        <v>201506</v>
      </c>
      <c r="I607" s="42">
        <f>MATCH(D607,$O:$O,0)</f>
        <v>4</v>
      </c>
      <c r="J607" s="42" t="s">
        <v>39</v>
      </c>
      <c r="K607" s="42"/>
    </row>
    <row r="608" spans="1:11" x14ac:dyDescent="0.25">
      <c r="A608" s="42" t="s">
        <v>236</v>
      </c>
      <c r="B608" s="43">
        <v>42156</v>
      </c>
      <c r="C608" s="42" t="s">
        <v>615</v>
      </c>
      <c r="D608" s="42" t="str">
        <f t="shared" si="20"/>
        <v>D-Restaurant</v>
      </c>
      <c r="E608" s="42" t="s">
        <v>204</v>
      </c>
      <c r="F608" s="42" t="s">
        <v>238</v>
      </c>
      <c r="G608" s="42">
        <v>-3.69</v>
      </c>
      <c r="H608" s="42">
        <f t="shared" si="21"/>
        <v>201506</v>
      </c>
      <c r="I608" s="42">
        <f>MATCH(D608,$O:$O,0)</f>
        <v>9</v>
      </c>
      <c r="J608" s="42" t="s">
        <v>39</v>
      </c>
      <c r="K608" s="42"/>
    </row>
    <row r="609" spans="1:12" x14ac:dyDescent="0.25">
      <c r="A609" s="42" t="s">
        <v>236</v>
      </c>
      <c r="B609" s="43">
        <v>42157</v>
      </c>
      <c r="C609" s="42" t="s">
        <v>614</v>
      </c>
      <c r="D609" s="42" t="str">
        <f t="shared" si="20"/>
        <v>Credit Card Payments</v>
      </c>
      <c r="E609" s="42" t="s">
        <v>242</v>
      </c>
      <c r="F609" s="42" t="s">
        <v>238</v>
      </c>
      <c r="G609" s="42">
        <v>-302.13</v>
      </c>
      <c r="H609" s="42">
        <f t="shared" si="21"/>
        <v>201506</v>
      </c>
      <c r="I609" s="42">
        <f>MATCH(D609,$O:$O,0)</f>
        <v>38</v>
      </c>
      <c r="J609" s="42" t="s">
        <v>39</v>
      </c>
      <c r="K609" s="42"/>
      <c r="L609" s="42"/>
    </row>
    <row r="610" spans="1:12" x14ac:dyDescent="0.25">
      <c r="A610" s="42" t="s">
        <v>236</v>
      </c>
      <c r="B610" s="43">
        <v>42157</v>
      </c>
      <c r="C610" s="42" t="s">
        <v>435</v>
      </c>
      <c r="D610" s="42" t="str">
        <f t="shared" si="20"/>
        <v>Credit Card Payments</v>
      </c>
      <c r="E610" s="42" t="s">
        <v>242</v>
      </c>
      <c r="F610" s="42" t="s">
        <v>238</v>
      </c>
      <c r="G610" s="42">
        <v>302.13</v>
      </c>
      <c r="H610" s="42">
        <f t="shared" si="21"/>
        <v>201506</v>
      </c>
      <c r="I610" s="42">
        <f>MATCH(D610,$O:$O,0)</f>
        <v>38</v>
      </c>
      <c r="J610" s="42" t="s">
        <v>39</v>
      </c>
      <c r="K610" s="42"/>
      <c r="L610" s="42"/>
    </row>
    <row r="611" spans="1:12" x14ac:dyDescent="0.25">
      <c r="A611" s="42" t="s">
        <v>236</v>
      </c>
      <c r="B611" s="43">
        <v>42157</v>
      </c>
      <c r="C611" s="42" t="s">
        <v>249</v>
      </c>
      <c r="D611" s="42" t="str">
        <f t="shared" si="20"/>
        <v>Retirement Contributions</v>
      </c>
      <c r="E611" s="42" t="s">
        <v>263</v>
      </c>
      <c r="F611" s="42" t="s">
        <v>238</v>
      </c>
      <c r="G611" s="42">
        <v>731.25</v>
      </c>
      <c r="H611" s="42">
        <f t="shared" si="21"/>
        <v>201506</v>
      </c>
      <c r="I611" s="42">
        <f>MATCH(D611,$O:$O,0)</f>
        <v>39</v>
      </c>
      <c r="J611" s="42" t="s">
        <v>39</v>
      </c>
      <c r="K611" s="42"/>
      <c r="L611" s="42"/>
    </row>
    <row r="612" spans="1:12" x14ac:dyDescent="0.25">
      <c r="A612" s="42" t="s">
        <v>236</v>
      </c>
      <c r="B612" s="43">
        <v>42158</v>
      </c>
      <c r="C612" s="42" t="s">
        <v>613</v>
      </c>
      <c r="D612" s="42" t="str">
        <f t="shared" ref="D612:D675" si="22">IF(ISNA(VLOOKUP(E612,$L$2:$M$26,2,FALSE)),E612,VLOOKUP(E612,$L$2:$M$26,2,FALSE))</f>
        <v>Credit Card Payments</v>
      </c>
      <c r="E612" s="42" t="s">
        <v>242</v>
      </c>
      <c r="F612" s="42" t="s">
        <v>238</v>
      </c>
      <c r="G612" s="42">
        <v>-245.23</v>
      </c>
      <c r="H612" s="42">
        <f t="shared" si="21"/>
        <v>201506</v>
      </c>
      <c r="I612" s="42">
        <f>MATCH(D612,$O:$O,0)</f>
        <v>38</v>
      </c>
      <c r="J612" s="42" t="s">
        <v>39</v>
      </c>
      <c r="K612" s="42"/>
      <c r="L612" s="42"/>
    </row>
    <row r="613" spans="1:12" x14ac:dyDescent="0.25">
      <c r="A613" s="42" t="s">
        <v>236</v>
      </c>
      <c r="B613" s="43">
        <v>42158</v>
      </c>
      <c r="C613" s="42" t="s">
        <v>557</v>
      </c>
      <c r="D613" s="42" t="str">
        <f t="shared" si="22"/>
        <v>Credit Card Payments</v>
      </c>
      <c r="E613" s="42" t="s">
        <v>242</v>
      </c>
      <c r="F613" s="42" t="s">
        <v>238</v>
      </c>
      <c r="G613" s="42">
        <v>245.23</v>
      </c>
      <c r="H613" s="42">
        <f t="shared" si="21"/>
        <v>201506</v>
      </c>
      <c r="I613" s="42">
        <f>MATCH(D613,$O:$O,0)</f>
        <v>38</v>
      </c>
      <c r="J613" s="42" t="s">
        <v>39</v>
      </c>
      <c r="K613" s="42"/>
      <c r="L613" s="42"/>
    </row>
    <row r="614" spans="1:12" x14ac:dyDescent="0.25">
      <c r="A614" s="42" t="s">
        <v>236</v>
      </c>
      <c r="B614" s="43">
        <v>42164</v>
      </c>
      <c r="C614" s="42" t="s">
        <v>610</v>
      </c>
      <c r="D614" s="42" t="str">
        <f t="shared" si="22"/>
        <v>Car Related</v>
      </c>
      <c r="E614" s="42" t="s">
        <v>185</v>
      </c>
      <c r="F614" s="42" t="s">
        <v>238</v>
      </c>
      <c r="G614" s="42">
        <v>-35</v>
      </c>
      <c r="H614" s="42">
        <f t="shared" si="21"/>
        <v>201506</v>
      </c>
      <c r="I614" s="42">
        <f>MATCH(D614,$O:$O,0)</f>
        <v>31</v>
      </c>
      <c r="J614" s="42" t="s">
        <v>39</v>
      </c>
      <c r="K614" s="42"/>
      <c r="L614" s="42"/>
    </row>
    <row r="615" spans="1:12" x14ac:dyDescent="0.25">
      <c r="A615" s="42" t="s">
        <v>236</v>
      </c>
      <c r="B615" s="43">
        <v>42164</v>
      </c>
      <c r="C615" s="42" t="s">
        <v>611</v>
      </c>
      <c r="D615" s="42" t="str">
        <f t="shared" si="22"/>
        <v>Newspapers</v>
      </c>
      <c r="E615" s="42" t="s">
        <v>35</v>
      </c>
      <c r="F615" s="42" t="s">
        <v>238</v>
      </c>
      <c r="G615" s="42">
        <v>-14.99</v>
      </c>
      <c r="H615" s="42">
        <f t="shared" si="21"/>
        <v>201506</v>
      </c>
      <c r="I615" s="42">
        <f>MATCH(D615,$O:$O,0)</f>
        <v>23</v>
      </c>
      <c r="J615" s="42" t="s">
        <v>39</v>
      </c>
      <c r="K615" s="42"/>
      <c r="L615" s="42"/>
    </row>
    <row r="616" spans="1:12" x14ac:dyDescent="0.25">
      <c r="A616" s="42" t="s">
        <v>236</v>
      </c>
      <c r="B616" s="43">
        <v>42164</v>
      </c>
      <c r="C616" s="42" t="s">
        <v>612</v>
      </c>
      <c r="D616" s="42" t="str">
        <f t="shared" si="22"/>
        <v>D-Restaurant</v>
      </c>
      <c r="E616" s="42" t="s">
        <v>129</v>
      </c>
      <c r="F616" s="42" t="s">
        <v>238</v>
      </c>
      <c r="G616" s="42">
        <v>-126.41</v>
      </c>
      <c r="H616" s="42">
        <f t="shared" si="21"/>
        <v>201506</v>
      </c>
      <c r="I616" s="42">
        <f>MATCH(D616,$O:$O,0)</f>
        <v>9</v>
      </c>
      <c r="J616" s="42" t="s">
        <v>39</v>
      </c>
      <c r="K616" s="42"/>
      <c r="L616" s="42"/>
    </row>
    <row r="617" spans="1:12" x14ac:dyDescent="0.25">
      <c r="A617" s="42" t="s">
        <v>236</v>
      </c>
      <c r="B617" s="43">
        <v>42165</v>
      </c>
      <c r="C617" s="42" t="s">
        <v>609</v>
      </c>
      <c r="D617" s="42" t="str">
        <f t="shared" si="22"/>
        <v>Grocery</v>
      </c>
      <c r="E617" s="42" t="s">
        <v>192</v>
      </c>
      <c r="F617" s="42" t="s">
        <v>238</v>
      </c>
      <c r="G617" s="42">
        <v>-18.5</v>
      </c>
      <c r="H617" s="42">
        <f t="shared" si="21"/>
        <v>201506</v>
      </c>
      <c r="I617" s="42">
        <f>MATCH(D617,$O:$O,0)</f>
        <v>12</v>
      </c>
      <c r="J617" s="42" t="s">
        <v>39</v>
      </c>
      <c r="K617" s="42"/>
      <c r="L617" s="42"/>
    </row>
    <row r="618" spans="1:12" x14ac:dyDescent="0.25">
      <c r="A618" s="42" t="s">
        <v>236</v>
      </c>
      <c r="B618" s="43">
        <v>42167</v>
      </c>
      <c r="C618" s="42" t="s">
        <v>412</v>
      </c>
      <c r="D618" s="42" t="str">
        <f t="shared" si="22"/>
        <v>Interest</v>
      </c>
      <c r="E618" s="42" t="s">
        <v>200</v>
      </c>
      <c r="F618" s="42" t="s">
        <v>238</v>
      </c>
      <c r="G618" s="42">
        <v>0.57999999999999996</v>
      </c>
      <c r="H618" s="42">
        <f t="shared" si="21"/>
        <v>201506</v>
      </c>
      <c r="I618" s="42" t="e">
        <f>MATCH(D618,$O:$O,0)</f>
        <v>#N/A</v>
      </c>
      <c r="J618" s="42" t="s">
        <v>39</v>
      </c>
      <c r="K618" s="42"/>
      <c r="L618" s="42"/>
    </row>
    <row r="619" spans="1:12" x14ac:dyDescent="0.25">
      <c r="A619" s="42" t="s">
        <v>236</v>
      </c>
      <c r="B619" s="43">
        <v>42167</v>
      </c>
      <c r="C619" s="42" t="s">
        <v>412</v>
      </c>
      <c r="D619" s="42" t="str">
        <f t="shared" si="22"/>
        <v>Interest</v>
      </c>
      <c r="E619" s="42" t="s">
        <v>200</v>
      </c>
      <c r="F619" s="42" t="s">
        <v>238</v>
      </c>
      <c r="G619" s="42">
        <v>0.4</v>
      </c>
      <c r="H619" s="42">
        <f t="shared" si="21"/>
        <v>201506</v>
      </c>
      <c r="I619" s="42" t="e">
        <f>MATCH(D619,$O:$O,0)</f>
        <v>#N/A</v>
      </c>
      <c r="J619" s="42" t="s">
        <v>39</v>
      </c>
      <c r="K619" s="42"/>
      <c r="L619" s="42"/>
    </row>
    <row r="620" spans="1:12" x14ac:dyDescent="0.25">
      <c r="A620" s="42" t="s">
        <v>236</v>
      </c>
      <c r="B620" s="43">
        <v>42167</v>
      </c>
      <c r="C620" s="42" t="s">
        <v>221</v>
      </c>
      <c r="D620" s="42" t="str">
        <f t="shared" si="22"/>
        <v>Tax</v>
      </c>
      <c r="E620" s="42" t="s">
        <v>222</v>
      </c>
      <c r="F620" s="42" t="s">
        <v>238</v>
      </c>
      <c r="G620" s="42">
        <v>-0.16</v>
      </c>
      <c r="H620" s="42">
        <f t="shared" si="21"/>
        <v>201506</v>
      </c>
      <c r="I620" s="42">
        <f>MATCH(D620,$O:$O,0)</f>
        <v>29</v>
      </c>
      <c r="J620" s="42" t="s">
        <v>39</v>
      </c>
      <c r="K620" s="42"/>
      <c r="L620" s="42"/>
    </row>
    <row r="621" spans="1:12" x14ac:dyDescent="0.25">
      <c r="A621" s="42" t="s">
        <v>236</v>
      </c>
      <c r="B621" s="43">
        <v>42167</v>
      </c>
      <c r="C621" s="42" t="s">
        <v>221</v>
      </c>
      <c r="D621" s="42" t="str">
        <f t="shared" si="22"/>
        <v>Tax</v>
      </c>
      <c r="E621" s="42" t="s">
        <v>222</v>
      </c>
      <c r="F621" s="42" t="s">
        <v>238</v>
      </c>
      <c r="G621" s="42">
        <v>-0.11</v>
      </c>
      <c r="H621" s="42">
        <f t="shared" si="21"/>
        <v>201506</v>
      </c>
      <c r="I621" s="42">
        <f>MATCH(D621,$O:$O,0)</f>
        <v>29</v>
      </c>
      <c r="J621" s="42" t="s">
        <v>39</v>
      </c>
      <c r="K621" s="42"/>
      <c r="L621" s="42"/>
    </row>
    <row r="622" spans="1:12" x14ac:dyDescent="0.25">
      <c r="A622" s="42" t="s">
        <v>236</v>
      </c>
      <c r="B622" s="43">
        <v>42168</v>
      </c>
      <c r="C622" s="42" t="s">
        <v>607</v>
      </c>
      <c r="D622" s="42" t="str">
        <f t="shared" si="22"/>
        <v>Grocery</v>
      </c>
      <c r="E622" s="42" t="s">
        <v>192</v>
      </c>
      <c r="F622" s="42" t="s">
        <v>238</v>
      </c>
      <c r="G622" s="42">
        <v>-14.91</v>
      </c>
      <c r="H622" s="42">
        <f t="shared" si="21"/>
        <v>201506</v>
      </c>
      <c r="I622" s="42">
        <f>MATCH(D622,$O:$O,0)</f>
        <v>12</v>
      </c>
      <c r="J622" s="42" t="s">
        <v>39</v>
      </c>
      <c r="K622" s="42"/>
      <c r="L622" s="42"/>
    </row>
    <row r="623" spans="1:12" x14ac:dyDescent="0.25">
      <c r="A623" s="42" t="s">
        <v>236</v>
      </c>
      <c r="B623" s="43">
        <v>42170</v>
      </c>
      <c r="C623" s="42" t="s">
        <v>606</v>
      </c>
      <c r="D623" s="42" t="str">
        <f t="shared" si="22"/>
        <v>Paychecks/Salary</v>
      </c>
      <c r="E623" s="42" t="s">
        <v>375</v>
      </c>
      <c r="F623" s="42" t="s">
        <v>238</v>
      </c>
      <c r="G623" s="44">
        <v>2717.96</v>
      </c>
      <c r="H623" s="42">
        <f t="shared" si="21"/>
        <v>201506</v>
      </c>
      <c r="I623" s="42">
        <f>MATCH(D623,$O:$O,0)</f>
        <v>40</v>
      </c>
      <c r="J623" s="42" t="s">
        <v>39</v>
      </c>
      <c r="K623" s="42"/>
      <c r="L623" s="42"/>
    </row>
    <row r="624" spans="1:12" x14ac:dyDescent="0.25">
      <c r="A624" s="42" t="s">
        <v>236</v>
      </c>
      <c r="B624" s="43">
        <v>42170</v>
      </c>
      <c r="C624" s="42" t="s">
        <v>607</v>
      </c>
      <c r="D624" s="42" t="str">
        <f t="shared" si="22"/>
        <v>Grocery</v>
      </c>
      <c r="E624" s="42" t="s">
        <v>192</v>
      </c>
      <c r="F624" s="42" t="s">
        <v>238</v>
      </c>
      <c r="G624" s="42">
        <v>-2.15</v>
      </c>
      <c r="H624" s="42">
        <f t="shared" si="21"/>
        <v>201506</v>
      </c>
      <c r="I624" s="42">
        <f>MATCH(D624,$O:$O,0)</f>
        <v>12</v>
      </c>
      <c r="J624" s="42" t="s">
        <v>39</v>
      </c>
      <c r="K624" s="42"/>
      <c r="L624" s="42"/>
    </row>
    <row r="625" spans="1:12" x14ac:dyDescent="0.25">
      <c r="A625" s="42" t="s">
        <v>236</v>
      </c>
      <c r="B625" s="43">
        <v>42170</v>
      </c>
      <c r="C625" s="42" t="s">
        <v>608</v>
      </c>
      <c r="D625" s="42" t="str">
        <f t="shared" si="22"/>
        <v>D-Coffee</v>
      </c>
      <c r="E625" s="42" t="s">
        <v>215</v>
      </c>
      <c r="F625" s="42" t="s">
        <v>238</v>
      </c>
      <c r="G625" s="42">
        <v>-10.26</v>
      </c>
      <c r="H625" s="42">
        <f t="shared" si="21"/>
        <v>201506</v>
      </c>
      <c r="I625" s="42">
        <f>MATCH(D625,$O:$O,0)</f>
        <v>7</v>
      </c>
      <c r="J625" s="42" t="s">
        <v>39</v>
      </c>
      <c r="K625" s="42"/>
      <c r="L625" s="42"/>
    </row>
    <row r="626" spans="1:12" x14ac:dyDescent="0.25">
      <c r="A626" s="42" t="s">
        <v>236</v>
      </c>
      <c r="B626" s="43">
        <v>42171</v>
      </c>
      <c r="C626" s="42" t="s">
        <v>605</v>
      </c>
      <c r="D626" s="42" t="str">
        <f t="shared" si="22"/>
        <v>Utility</v>
      </c>
      <c r="E626" s="42" t="s">
        <v>19</v>
      </c>
      <c r="F626" s="42" t="s">
        <v>238</v>
      </c>
      <c r="G626" s="42">
        <v>-21.94</v>
      </c>
      <c r="H626" s="42">
        <f t="shared" si="21"/>
        <v>201506</v>
      </c>
      <c r="I626" s="42">
        <f>MATCH(D626,$O:$O,0)</f>
        <v>34</v>
      </c>
      <c r="J626" s="42" t="s">
        <v>39</v>
      </c>
      <c r="K626" s="42"/>
      <c r="L626" s="42"/>
    </row>
    <row r="627" spans="1:12" x14ac:dyDescent="0.25">
      <c r="A627" s="42" t="s">
        <v>236</v>
      </c>
      <c r="B627" s="43">
        <v>42172</v>
      </c>
      <c r="C627" s="42" t="s">
        <v>604</v>
      </c>
      <c r="D627" s="42" t="str">
        <f t="shared" si="22"/>
        <v>D-Travel</v>
      </c>
      <c r="E627" s="42" t="s">
        <v>161</v>
      </c>
      <c r="F627" s="42" t="s">
        <v>238</v>
      </c>
      <c r="G627" s="42">
        <v>-77.39</v>
      </c>
      <c r="H627" s="42">
        <f t="shared" si="21"/>
        <v>201506</v>
      </c>
      <c r="I627" s="42">
        <f>MATCH(D627,$O:$O,0)</f>
        <v>10</v>
      </c>
      <c r="J627" s="42" t="s">
        <v>39</v>
      </c>
      <c r="K627" s="42"/>
      <c r="L627" s="42"/>
    </row>
    <row r="628" spans="1:12" x14ac:dyDescent="0.25">
      <c r="A628" s="42" t="s">
        <v>236</v>
      </c>
      <c r="B628" s="43">
        <v>42172</v>
      </c>
      <c r="C628" s="42" t="s">
        <v>249</v>
      </c>
      <c r="D628" s="42" t="str">
        <f t="shared" si="22"/>
        <v>Retirement Contributions</v>
      </c>
      <c r="E628" s="42" t="s">
        <v>263</v>
      </c>
      <c r="F628" s="42" t="s">
        <v>238</v>
      </c>
      <c r="G628" s="42">
        <v>731.25</v>
      </c>
      <c r="H628" s="42">
        <f t="shared" si="21"/>
        <v>201506</v>
      </c>
      <c r="I628" s="42">
        <f>MATCH(D628,$O:$O,0)</f>
        <v>39</v>
      </c>
      <c r="J628" s="42" t="s">
        <v>39</v>
      </c>
      <c r="K628" s="42"/>
      <c r="L628" s="42"/>
    </row>
    <row r="629" spans="1:12" x14ac:dyDescent="0.25">
      <c r="A629" s="42" t="s">
        <v>236</v>
      </c>
      <c r="B629" s="43">
        <v>42173</v>
      </c>
      <c r="C629" s="42" t="s">
        <v>603</v>
      </c>
      <c r="D629" s="42" t="str">
        <f t="shared" si="22"/>
        <v>Wedding</v>
      </c>
      <c r="E629" s="42" t="s">
        <v>6</v>
      </c>
      <c r="F629" s="42" t="s">
        <v>238</v>
      </c>
      <c r="G629" s="44">
        <v>-1935.09</v>
      </c>
      <c r="H629" s="42">
        <f t="shared" si="21"/>
        <v>201506</v>
      </c>
      <c r="I629" s="42">
        <f>MATCH(D629,$O:$O,0)</f>
        <v>41</v>
      </c>
      <c r="J629" s="42" t="s">
        <v>39</v>
      </c>
      <c r="K629" s="42"/>
      <c r="L629" s="42"/>
    </row>
    <row r="630" spans="1:12" x14ac:dyDescent="0.25">
      <c r="A630" s="42" t="s">
        <v>236</v>
      </c>
      <c r="B630" s="43">
        <v>42179</v>
      </c>
      <c r="C630" s="42" t="s">
        <v>602</v>
      </c>
      <c r="D630" s="42" t="str">
        <f t="shared" si="22"/>
        <v>Cell Phone</v>
      </c>
      <c r="E630" s="42" t="s">
        <v>224</v>
      </c>
      <c r="F630" s="42" t="s">
        <v>238</v>
      </c>
      <c r="G630" s="42">
        <v>-129.74</v>
      </c>
      <c r="H630" s="42">
        <f t="shared" si="21"/>
        <v>201506</v>
      </c>
      <c r="I630" s="42">
        <f>MATCH(D630,$O:$O,0)</f>
        <v>4</v>
      </c>
      <c r="J630" s="42" t="s">
        <v>39</v>
      </c>
      <c r="K630" s="42"/>
      <c r="L630" s="42"/>
    </row>
    <row r="631" spans="1:12" x14ac:dyDescent="0.25">
      <c r="A631" s="42" t="s">
        <v>236</v>
      </c>
      <c r="B631" s="43">
        <v>42184</v>
      </c>
      <c r="C631" s="42" t="s">
        <v>601</v>
      </c>
      <c r="D631" s="42" t="str">
        <f t="shared" si="22"/>
        <v>Wedding</v>
      </c>
      <c r="E631" s="42" t="s">
        <v>6</v>
      </c>
      <c r="F631" s="42" t="s">
        <v>238</v>
      </c>
      <c r="G631" s="42">
        <v>-125.15</v>
      </c>
      <c r="H631" s="42">
        <f t="shared" si="21"/>
        <v>201506</v>
      </c>
      <c r="I631" s="42">
        <f>MATCH(D631,$O:$O,0)</f>
        <v>41</v>
      </c>
      <c r="J631" s="42" t="s">
        <v>39</v>
      </c>
      <c r="K631" s="42"/>
      <c r="L631" s="42"/>
    </row>
    <row r="632" spans="1:12" x14ac:dyDescent="0.25">
      <c r="A632" s="42" t="s">
        <v>236</v>
      </c>
      <c r="B632" s="43">
        <v>42185</v>
      </c>
      <c r="C632" s="42" t="s">
        <v>596</v>
      </c>
      <c r="D632" s="42" t="str">
        <f t="shared" si="22"/>
        <v>Transfers</v>
      </c>
      <c r="E632" s="42" t="s">
        <v>226</v>
      </c>
      <c r="F632" s="42" t="s">
        <v>238</v>
      </c>
      <c r="G632" s="42">
        <v>-0.85</v>
      </c>
      <c r="H632" s="42">
        <f t="shared" si="21"/>
        <v>201506</v>
      </c>
      <c r="I632" s="42">
        <f>MATCH(D632,$O:$O,0)</f>
        <v>37</v>
      </c>
      <c r="J632" s="42" t="s">
        <v>39</v>
      </c>
      <c r="K632" s="42"/>
      <c r="L632" s="42"/>
    </row>
    <row r="633" spans="1:12" x14ac:dyDescent="0.25">
      <c r="A633" s="42" t="s">
        <v>236</v>
      </c>
      <c r="B633" s="43">
        <v>42185</v>
      </c>
      <c r="C633" s="42" t="s">
        <v>597</v>
      </c>
      <c r="D633" s="42" t="str">
        <f t="shared" si="22"/>
        <v>Gas</v>
      </c>
      <c r="E633" s="42" t="s">
        <v>311</v>
      </c>
      <c r="F633" s="42" t="s">
        <v>238</v>
      </c>
      <c r="G633" s="42">
        <v>-4.1500000000000004</v>
      </c>
      <c r="H633" s="42">
        <f t="shared" si="21"/>
        <v>201506</v>
      </c>
      <c r="I633" s="42">
        <f>MATCH(D633,$O:$O,0)</f>
        <v>30</v>
      </c>
      <c r="J633" s="42" t="s">
        <v>39</v>
      </c>
      <c r="K633" s="42"/>
      <c r="L633" s="42"/>
    </row>
    <row r="634" spans="1:12" x14ac:dyDescent="0.25">
      <c r="A634" s="42" t="s">
        <v>236</v>
      </c>
      <c r="B634" s="43">
        <v>42185</v>
      </c>
      <c r="C634" s="42" t="s">
        <v>598</v>
      </c>
      <c r="D634" s="42" t="str">
        <f t="shared" si="22"/>
        <v>Paychecks/Salary</v>
      </c>
      <c r="E634" s="42" t="s">
        <v>375</v>
      </c>
      <c r="F634" s="42" t="s">
        <v>238</v>
      </c>
      <c r="G634" s="44">
        <v>2832.53</v>
      </c>
      <c r="H634" s="42">
        <f t="shared" si="21"/>
        <v>201506</v>
      </c>
      <c r="I634" s="42">
        <f>MATCH(D634,$O:$O,0)</f>
        <v>40</v>
      </c>
      <c r="J634" s="42" t="s">
        <v>39</v>
      </c>
      <c r="K634" s="42"/>
      <c r="L634" s="42"/>
    </row>
    <row r="635" spans="1:12" x14ac:dyDescent="0.25">
      <c r="A635" s="42" t="s">
        <v>236</v>
      </c>
      <c r="B635" s="43">
        <v>42185</v>
      </c>
      <c r="C635" s="42" t="s">
        <v>599</v>
      </c>
      <c r="D635" s="42" t="str">
        <f t="shared" si="22"/>
        <v>Books</v>
      </c>
      <c r="E635" s="42" t="s">
        <v>42</v>
      </c>
      <c r="F635" s="42" t="s">
        <v>238</v>
      </c>
      <c r="G635" s="42">
        <v>-9.99</v>
      </c>
      <c r="H635" s="42">
        <f t="shared" si="21"/>
        <v>201506</v>
      </c>
      <c r="I635" s="42">
        <f>MATCH(D635,$O:$O,0)</f>
        <v>2</v>
      </c>
      <c r="J635" s="42" t="s">
        <v>39</v>
      </c>
      <c r="K635" s="42"/>
      <c r="L635" s="42"/>
    </row>
    <row r="636" spans="1:12" x14ac:dyDescent="0.25">
      <c r="A636" s="42" t="s">
        <v>236</v>
      </c>
      <c r="B636" s="43">
        <v>42185</v>
      </c>
      <c r="C636" s="42" t="s">
        <v>600</v>
      </c>
      <c r="D636" s="42" t="str">
        <f t="shared" si="22"/>
        <v>D-Restaurant</v>
      </c>
      <c r="E636" s="42" t="s">
        <v>204</v>
      </c>
      <c r="F636" s="42" t="s">
        <v>238</v>
      </c>
      <c r="G636" s="42">
        <v>-8.65</v>
      </c>
      <c r="H636" s="42">
        <f t="shared" si="21"/>
        <v>201506</v>
      </c>
      <c r="I636" s="42">
        <f>MATCH(D636,$O:$O,0)</f>
        <v>9</v>
      </c>
      <c r="J636" s="42" t="s">
        <v>39</v>
      </c>
      <c r="K636" s="42"/>
      <c r="L636" s="42"/>
    </row>
    <row r="637" spans="1:12" x14ac:dyDescent="0.25">
      <c r="A637" s="42" t="s">
        <v>236</v>
      </c>
      <c r="B637" s="43">
        <v>42186</v>
      </c>
      <c r="C637" s="42" t="s">
        <v>591</v>
      </c>
      <c r="D637" s="42" t="str">
        <f t="shared" si="22"/>
        <v>Mortgage/Rent</v>
      </c>
      <c r="E637" s="42" t="s">
        <v>202</v>
      </c>
      <c r="F637" s="42" t="s">
        <v>238</v>
      </c>
      <c r="G637" s="44">
        <v>-3116.77</v>
      </c>
      <c r="H637" s="42">
        <f t="shared" si="21"/>
        <v>201507</v>
      </c>
      <c r="I637" s="42">
        <f>MATCH(D637,$O:$O,0)</f>
        <v>21</v>
      </c>
      <c r="J637" s="42" t="s">
        <v>39</v>
      </c>
      <c r="K637" s="42" t="s">
        <v>621</v>
      </c>
      <c r="L637" s="42"/>
    </row>
    <row r="638" spans="1:12" x14ac:dyDescent="0.25">
      <c r="A638" s="42" t="s">
        <v>236</v>
      </c>
      <c r="B638" s="43">
        <v>42186</v>
      </c>
      <c r="C638" s="42" t="s">
        <v>724</v>
      </c>
      <c r="D638" s="42" t="str">
        <f t="shared" si="22"/>
        <v>Deposits</v>
      </c>
      <c r="E638" s="42" t="s">
        <v>271</v>
      </c>
      <c r="F638" s="42" t="s">
        <v>238</v>
      </c>
      <c r="G638" s="42">
        <v>0.85</v>
      </c>
      <c r="H638" s="42">
        <f t="shared" si="21"/>
        <v>201507</v>
      </c>
      <c r="I638" s="42" t="e">
        <f>MATCH(D638,$O:$O,0)</f>
        <v>#N/A</v>
      </c>
      <c r="J638" s="42" t="s">
        <v>39</v>
      </c>
      <c r="K638" s="42" t="s">
        <v>628</v>
      </c>
      <c r="L638" s="42"/>
    </row>
    <row r="639" spans="1:12" x14ac:dyDescent="0.25">
      <c r="A639" s="42" t="s">
        <v>236</v>
      </c>
      <c r="B639" s="43">
        <v>42186</v>
      </c>
      <c r="C639" s="42" t="s">
        <v>438</v>
      </c>
      <c r="D639" s="42" t="str">
        <f t="shared" si="22"/>
        <v>Cell Phone</v>
      </c>
      <c r="E639" s="42" t="s">
        <v>224</v>
      </c>
      <c r="F639" s="42" t="s">
        <v>238</v>
      </c>
      <c r="G639" s="42">
        <v>-164.48</v>
      </c>
      <c r="H639" s="42">
        <f t="shared" si="21"/>
        <v>201507</v>
      </c>
      <c r="I639" s="42">
        <f>MATCH(D639,$O:$O,0)</f>
        <v>4</v>
      </c>
      <c r="J639" s="42" t="s">
        <v>39</v>
      </c>
      <c r="K639" s="42" t="s">
        <v>619</v>
      </c>
      <c r="L639" s="42"/>
    </row>
    <row r="640" spans="1:12" x14ac:dyDescent="0.25">
      <c r="A640" s="42" t="s">
        <v>236</v>
      </c>
      <c r="B640" s="43">
        <v>42186</v>
      </c>
      <c r="C640" s="42" t="s">
        <v>384</v>
      </c>
      <c r="D640" s="42" t="str">
        <f t="shared" si="22"/>
        <v>Grocery</v>
      </c>
      <c r="E640" s="42" t="s">
        <v>385</v>
      </c>
      <c r="F640" s="42" t="s">
        <v>238</v>
      </c>
      <c r="G640" s="42">
        <v>-229.91</v>
      </c>
      <c r="H640" s="42">
        <f t="shared" si="21"/>
        <v>201507</v>
      </c>
      <c r="I640" s="42">
        <f>MATCH(D640,$O:$O,0)</f>
        <v>12</v>
      </c>
      <c r="J640" s="42" t="s">
        <v>39</v>
      </c>
      <c r="K640" s="42" t="s">
        <v>619</v>
      </c>
      <c r="L640" s="42"/>
    </row>
    <row r="641" spans="1:12" x14ac:dyDescent="0.25">
      <c r="A641" s="42" t="s">
        <v>236</v>
      </c>
      <c r="B641" s="43">
        <v>42186</v>
      </c>
      <c r="C641" s="42" t="s">
        <v>424</v>
      </c>
      <c r="D641" s="42" t="str">
        <f t="shared" si="22"/>
        <v>Gas</v>
      </c>
      <c r="E641" s="42" t="s">
        <v>311</v>
      </c>
      <c r="F641" s="42" t="s">
        <v>238</v>
      </c>
      <c r="G641" s="42">
        <v>-20.49</v>
      </c>
      <c r="H641" s="42">
        <f t="shared" si="21"/>
        <v>201507</v>
      </c>
      <c r="I641" s="42">
        <f>MATCH(D641,$O:$O,0)</f>
        <v>30</v>
      </c>
      <c r="J641" s="42" t="s">
        <v>39</v>
      </c>
      <c r="K641" s="42" t="s">
        <v>619</v>
      </c>
      <c r="L641" s="42"/>
    </row>
    <row r="642" spans="1:12" x14ac:dyDescent="0.25">
      <c r="A642" s="42" t="s">
        <v>236</v>
      </c>
      <c r="B642" s="43">
        <v>42186</v>
      </c>
      <c r="C642" s="42" t="s">
        <v>725</v>
      </c>
      <c r="D642" s="42" t="str">
        <f t="shared" si="22"/>
        <v>Parent Support</v>
      </c>
      <c r="E642" s="42" t="s">
        <v>61</v>
      </c>
      <c r="F642" s="42" t="s">
        <v>238</v>
      </c>
      <c r="G642" s="42">
        <v>-157.51</v>
      </c>
      <c r="H642" s="42">
        <f t="shared" ref="H642:H705" si="23">YEAR(B642)*100+MONTH(B642)</f>
        <v>201507</v>
      </c>
      <c r="I642" s="42">
        <f>MATCH(D642,$O:$O,0)</f>
        <v>24</v>
      </c>
      <c r="J642" s="42" t="s">
        <v>39</v>
      </c>
      <c r="K642" s="42" t="s">
        <v>630</v>
      </c>
      <c r="L642" s="42"/>
    </row>
    <row r="643" spans="1:12" x14ac:dyDescent="0.25">
      <c r="A643" s="42" t="s">
        <v>236</v>
      </c>
      <c r="B643" s="43">
        <v>42186</v>
      </c>
      <c r="C643" s="42" t="s">
        <v>726</v>
      </c>
      <c r="D643" s="42" t="str">
        <f t="shared" si="22"/>
        <v>Gas</v>
      </c>
      <c r="E643" s="42" t="s">
        <v>311</v>
      </c>
      <c r="F643" s="42" t="s">
        <v>238</v>
      </c>
      <c r="G643" s="42">
        <v>-47.25</v>
      </c>
      <c r="H643" s="42">
        <f t="shared" si="23"/>
        <v>201507</v>
      </c>
      <c r="I643" s="42">
        <f>MATCH(D643,$O:$O,0)</f>
        <v>30</v>
      </c>
      <c r="J643" s="42" t="s">
        <v>39</v>
      </c>
      <c r="K643" s="42" t="s">
        <v>630</v>
      </c>
      <c r="L643" s="42"/>
    </row>
    <row r="644" spans="1:12" x14ac:dyDescent="0.25">
      <c r="A644" s="42" t="s">
        <v>236</v>
      </c>
      <c r="B644" s="43">
        <v>42186</v>
      </c>
      <c r="C644" s="42" t="s">
        <v>728</v>
      </c>
      <c r="D644" s="42" t="str">
        <f t="shared" si="22"/>
        <v>Gas</v>
      </c>
      <c r="E644" s="42" t="s">
        <v>311</v>
      </c>
      <c r="F644" s="42" t="s">
        <v>238</v>
      </c>
      <c r="G644" s="42">
        <v>-17.12</v>
      </c>
      <c r="H644" s="42">
        <f t="shared" si="23"/>
        <v>201507</v>
      </c>
      <c r="I644" s="42">
        <f>MATCH(D644,$O:$O,0)</f>
        <v>30</v>
      </c>
      <c r="J644" s="42" t="s">
        <v>39</v>
      </c>
      <c r="K644" s="42" t="s">
        <v>630</v>
      </c>
      <c r="L644" s="42"/>
    </row>
    <row r="645" spans="1:12" x14ac:dyDescent="0.25">
      <c r="A645" s="42" t="s">
        <v>236</v>
      </c>
      <c r="B645" s="43">
        <v>42186</v>
      </c>
      <c r="C645" s="42" t="s">
        <v>696</v>
      </c>
      <c r="D645" s="42" t="str">
        <f t="shared" si="22"/>
        <v>Wedding</v>
      </c>
      <c r="E645" s="42" t="s">
        <v>6</v>
      </c>
      <c r="F645" s="42" t="s">
        <v>238</v>
      </c>
      <c r="G645" s="42">
        <v>-103</v>
      </c>
      <c r="H645" s="42">
        <f t="shared" si="23"/>
        <v>201507</v>
      </c>
      <c r="I645" s="42">
        <f>MATCH(D645,$O:$O,0)</f>
        <v>41</v>
      </c>
      <c r="J645" s="42" t="s">
        <v>39</v>
      </c>
      <c r="K645" s="42" t="s">
        <v>630</v>
      </c>
      <c r="L645" s="42"/>
    </row>
    <row r="646" spans="1:12" x14ac:dyDescent="0.25">
      <c r="A646" s="42" t="s">
        <v>236</v>
      </c>
      <c r="B646" s="43">
        <v>42186</v>
      </c>
      <c r="C646" s="42" t="s">
        <v>729</v>
      </c>
      <c r="D646" s="42" t="str">
        <f t="shared" si="22"/>
        <v>D-Coffee</v>
      </c>
      <c r="E646" s="42" t="s">
        <v>215</v>
      </c>
      <c r="F646" s="42" t="s">
        <v>238</v>
      </c>
      <c r="G646" s="42">
        <v>-3.65</v>
      </c>
      <c r="H646" s="42">
        <f t="shared" si="23"/>
        <v>201507</v>
      </c>
      <c r="I646" s="42">
        <f>MATCH(D646,$O:$O,0)</f>
        <v>7</v>
      </c>
      <c r="J646" s="42" t="s">
        <v>39</v>
      </c>
      <c r="K646" s="42" t="s">
        <v>630</v>
      </c>
      <c r="L646" s="42"/>
    </row>
    <row r="647" spans="1:12" x14ac:dyDescent="0.25">
      <c r="A647" s="42" t="s">
        <v>236</v>
      </c>
      <c r="B647" s="43">
        <v>42186</v>
      </c>
      <c r="C647" s="42" t="s">
        <v>730</v>
      </c>
      <c r="D647" s="42" t="str">
        <f t="shared" si="22"/>
        <v>Parent Support</v>
      </c>
      <c r="E647" s="42" t="s">
        <v>61</v>
      </c>
      <c r="F647" s="42" t="s">
        <v>238</v>
      </c>
      <c r="G647" s="42">
        <v>-59.77</v>
      </c>
      <c r="H647" s="42">
        <f t="shared" si="23"/>
        <v>201507</v>
      </c>
      <c r="I647" s="42">
        <f>MATCH(D647,$O:$O,0)</f>
        <v>24</v>
      </c>
      <c r="J647" s="42" t="s">
        <v>39</v>
      </c>
      <c r="K647" s="42" t="s">
        <v>630</v>
      </c>
      <c r="L647" s="42"/>
    </row>
    <row r="648" spans="1:12" x14ac:dyDescent="0.25">
      <c r="A648" s="42" t="s">
        <v>236</v>
      </c>
      <c r="B648" s="43">
        <v>42187</v>
      </c>
      <c r="C648" s="42" t="s">
        <v>720</v>
      </c>
      <c r="D648" s="42" t="str">
        <f t="shared" si="22"/>
        <v>Credit Card Payments</v>
      </c>
      <c r="E648" s="42" t="s">
        <v>242</v>
      </c>
      <c r="F648" s="42" t="s">
        <v>238</v>
      </c>
      <c r="G648" s="42">
        <v>-347.47</v>
      </c>
      <c r="H648" s="42">
        <f t="shared" si="23"/>
        <v>201507</v>
      </c>
      <c r="I648" s="42">
        <f>MATCH(D648,$O:$O,0)</f>
        <v>38</v>
      </c>
      <c r="J648" s="42" t="s">
        <v>39</v>
      </c>
      <c r="K648" s="42" t="s">
        <v>621</v>
      </c>
      <c r="L648" s="42"/>
    </row>
    <row r="649" spans="1:12" x14ac:dyDescent="0.25">
      <c r="A649" s="42" t="s">
        <v>236</v>
      </c>
      <c r="B649" s="43">
        <v>42187</v>
      </c>
      <c r="C649" s="42" t="s">
        <v>435</v>
      </c>
      <c r="D649" s="42" t="str">
        <f t="shared" si="22"/>
        <v>Credit Card Payments</v>
      </c>
      <c r="E649" s="42" t="s">
        <v>242</v>
      </c>
      <c r="F649" s="42" t="s">
        <v>238</v>
      </c>
      <c r="G649" s="42">
        <v>347.47</v>
      </c>
      <c r="H649" s="42">
        <f t="shared" si="23"/>
        <v>201507</v>
      </c>
      <c r="I649" s="42">
        <f>MATCH(D649,$O:$O,0)</f>
        <v>38</v>
      </c>
      <c r="J649" s="42" t="s">
        <v>39</v>
      </c>
      <c r="K649" s="42" t="s">
        <v>619</v>
      </c>
      <c r="L649" s="42"/>
    </row>
    <row r="650" spans="1:12" x14ac:dyDescent="0.25">
      <c r="A650" s="42" t="s">
        <v>236</v>
      </c>
      <c r="B650" s="43">
        <v>42187</v>
      </c>
      <c r="C650" s="42" t="s">
        <v>721</v>
      </c>
      <c r="D650" s="42" t="str">
        <f t="shared" si="22"/>
        <v>D-Restaurant</v>
      </c>
      <c r="E650" s="42" t="s">
        <v>204</v>
      </c>
      <c r="F650" s="42" t="s">
        <v>238</v>
      </c>
      <c r="G650" s="42">
        <v>-31.34</v>
      </c>
      <c r="H650" s="42">
        <f t="shared" si="23"/>
        <v>201507</v>
      </c>
      <c r="I650" s="42">
        <f>MATCH(D650,$O:$O,0)</f>
        <v>9</v>
      </c>
      <c r="J650" s="42" t="s">
        <v>39</v>
      </c>
      <c r="K650" s="42" t="s">
        <v>630</v>
      </c>
      <c r="L650" s="42"/>
    </row>
    <row r="651" spans="1:12" x14ac:dyDescent="0.25">
      <c r="A651" s="42" t="s">
        <v>236</v>
      </c>
      <c r="B651" s="43">
        <v>42187</v>
      </c>
      <c r="C651" s="42" t="s">
        <v>695</v>
      </c>
      <c r="D651" s="42" t="str">
        <f t="shared" si="22"/>
        <v>Parent Support</v>
      </c>
      <c r="E651" s="42" t="s">
        <v>61</v>
      </c>
      <c r="F651" s="42" t="s">
        <v>238</v>
      </c>
      <c r="G651" s="44">
        <v>-2500</v>
      </c>
      <c r="H651" s="42">
        <f t="shared" si="23"/>
        <v>201507</v>
      </c>
      <c r="I651" s="42">
        <f>MATCH(D651,$O:$O,0)</f>
        <v>24</v>
      </c>
      <c r="J651" s="42" t="s">
        <v>39</v>
      </c>
      <c r="K651" s="42" t="s">
        <v>630</v>
      </c>
      <c r="L651" s="42"/>
    </row>
    <row r="652" spans="1:12" x14ac:dyDescent="0.25">
      <c r="A652" s="42" t="s">
        <v>236</v>
      </c>
      <c r="B652" s="43">
        <v>42188</v>
      </c>
      <c r="C652" s="42" t="s">
        <v>717</v>
      </c>
      <c r="D652" s="42" t="str">
        <f t="shared" si="22"/>
        <v>Transfers</v>
      </c>
      <c r="E652" s="42" t="s">
        <v>226</v>
      </c>
      <c r="F652" s="42" t="s">
        <v>238</v>
      </c>
      <c r="G652" s="42">
        <v>-0.15</v>
      </c>
      <c r="H652" s="42">
        <f t="shared" si="23"/>
        <v>201507</v>
      </c>
      <c r="I652" s="42">
        <f>MATCH(D652,$O:$O,0)</f>
        <v>37</v>
      </c>
      <c r="J652" s="42" t="s">
        <v>39</v>
      </c>
      <c r="K652" s="42" t="s">
        <v>621</v>
      </c>
      <c r="L652" s="42"/>
    </row>
    <row r="653" spans="1:12" x14ac:dyDescent="0.25">
      <c r="A653" s="42" t="s">
        <v>236</v>
      </c>
      <c r="B653" s="43">
        <v>42188</v>
      </c>
      <c r="C653" s="42" t="s">
        <v>718</v>
      </c>
      <c r="D653" s="42" t="str">
        <f t="shared" si="22"/>
        <v>Gas</v>
      </c>
      <c r="E653" s="42" t="s">
        <v>311</v>
      </c>
      <c r="F653" s="42" t="s">
        <v>238</v>
      </c>
      <c r="G653" s="42">
        <v>-11.85</v>
      </c>
      <c r="H653" s="42">
        <f t="shared" si="23"/>
        <v>201507</v>
      </c>
      <c r="I653" s="42">
        <f>MATCH(D653,$O:$O,0)</f>
        <v>30</v>
      </c>
      <c r="J653" s="42" t="s">
        <v>39</v>
      </c>
      <c r="K653" s="42" t="s">
        <v>621</v>
      </c>
      <c r="L653" s="42"/>
    </row>
    <row r="654" spans="1:12" x14ac:dyDescent="0.25">
      <c r="A654" s="42" t="s">
        <v>236</v>
      </c>
      <c r="B654" s="43">
        <v>42189</v>
      </c>
      <c r="C654" s="42" t="s">
        <v>647</v>
      </c>
      <c r="D654" s="42" t="str">
        <f t="shared" si="22"/>
        <v>Parent Support</v>
      </c>
      <c r="E654" s="42" t="s">
        <v>61</v>
      </c>
      <c r="F654" s="42" t="s">
        <v>238</v>
      </c>
      <c r="G654" s="42">
        <v>-128.9</v>
      </c>
      <c r="H654" s="42">
        <f t="shared" si="23"/>
        <v>201507</v>
      </c>
      <c r="I654" s="42">
        <f>MATCH(D654,$O:$O,0)</f>
        <v>24</v>
      </c>
      <c r="J654" s="42" t="s">
        <v>39</v>
      </c>
      <c r="K654" s="42" t="s">
        <v>630</v>
      </c>
      <c r="L654" s="42"/>
    </row>
    <row r="655" spans="1:12" x14ac:dyDescent="0.25">
      <c r="A655" s="42" t="s">
        <v>236</v>
      </c>
      <c r="B655" s="43">
        <v>42189</v>
      </c>
      <c r="C655" s="42" t="s">
        <v>716</v>
      </c>
      <c r="D655" s="42" t="str">
        <f t="shared" si="22"/>
        <v>Finance Charges</v>
      </c>
      <c r="E655" s="42" t="s">
        <v>220</v>
      </c>
      <c r="F655" s="42" t="s">
        <v>238</v>
      </c>
      <c r="G655" s="42">
        <v>-25</v>
      </c>
      <c r="H655" s="42">
        <f t="shared" si="23"/>
        <v>201507</v>
      </c>
      <c r="I655" s="42">
        <f>MATCH(D655,$O:$O,0)</f>
        <v>35</v>
      </c>
      <c r="J655" s="42" t="s">
        <v>39</v>
      </c>
      <c r="K655" s="42" t="s">
        <v>630</v>
      </c>
      <c r="L655" s="42"/>
    </row>
    <row r="656" spans="1:12" x14ac:dyDescent="0.25">
      <c r="A656" s="42" t="s">
        <v>236</v>
      </c>
      <c r="B656" s="43">
        <v>42191</v>
      </c>
      <c r="C656" s="42" t="s">
        <v>710</v>
      </c>
      <c r="D656" s="42" t="str">
        <f t="shared" si="22"/>
        <v>Deposits</v>
      </c>
      <c r="E656" s="42" t="s">
        <v>271</v>
      </c>
      <c r="F656" s="42" t="s">
        <v>238</v>
      </c>
      <c r="G656" s="42">
        <v>0.15</v>
      </c>
      <c r="H656" s="42">
        <f t="shared" si="23"/>
        <v>201507</v>
      </c>
      <c r="I656" s="42" t="e">
        <f>MATCH(D656,$O:$O,0)</f>
        <v>#N/A</v>
      </c>
      <c r="J656" s="42" t="s">
        <v>39</v>
      </c>
      <c r="K656" s="42" t="s">
        <v>628</v>
      </c>
      <c r="L656" s="42"/>
    </row>
    <row r="657" spans="1:12" x14ac:dyDescent="0.25">
      <c r="A657" s="42" t="s">
        <v>236</v>
      </c>
      <c r="B657" s="43">
        <v>42191</v>
      </c>
      <c r="C657" s="42" t="s">
        <v>711</v>
      </c>
      <c r="D657" s="42" t="str">
        <f t="shared" si="22"/>
        <v>Grocery</v>
      </c>
      <c r="E657" s="42" t="s">
        <v>192</v>
      </c>
      <c r="F657" s="42" t="s">
        <v>238</v>
      </c>
      <c r="G657" s="42">
        <v>-5.42</v>
      </c>
      <c r="H657" s="42">
        <f t="shared" si="23"/>
        <v>201507</v>
      </c>
      <c r="I657" s="42">
        <f>MATCH(D657,$O:$O,0)</f>
        <v>12</v>
      </c>
      <c r="J657" s="42" t="s">
        <v>39</v>
      </c>
      <c r="K657" s="42" t="s">
        <v>630</v>
      </c>
      <c r="L657" s="42"/>
    </row>
    <row r="658" spans="1:12" x14ac:dyDescent="0.25">
      <c r="A658" s="42" t="s">
        <v>236</v>
      </c>
      <c r="B658" s="43">
        <v>42191</v>
      </c>
      <c r="C658" s="42" t="s">
        <v>712</v>
      </c>
      <c r="D658" s="42" t="str">
        <f t="shared" si="22"/>
        <v>Gifts</v>
      </c>
      <c r="E658" s="42" t="s">
        <v>40</v>
      </c>
      <c r="F658" s="42" t="s">
        <v>238</v>
      </c>
      <c r="G658" s="42">
        <v>-136.1</v>
      </c>
      <c r="H658" s="42">
        <f t="shared" si="23"/>
        <v>201507</v>
      </c>
      <c r="I658" s="42">
        <f>MATCH(D658,$O:$O,0)</f>
        <v>11</v>
      </c>
      <c r="J658" s="42" t="s">
        <v>39</v>
      </c>
      <c r="K658" s="42" t="s">
        <v>630</v>
      </c>
      <c r="L658" s="42"/>
    </row>
    <row r="659" spans="1:12" x14ac:dyDescent="0.25">
      <c r="A659" s="42" t="s">
        <v>236</v>
      </c>
      <c r="B659" s="43">
        <v>42191</v>
      </c>
      <c r="C659" s="42" t="s">
        <v>714</v>
      </c>
      <c r="D659" s="42" t="str">
        <f t="shared" si="22"/>
        <v>Gifts</v>
      </c>
      <c r="E659" s="42" t="s">
        <v>40</v>
      </c>
      <c r="F659" s="42" t="s">
        <v>238</v>
      </c>
      <c r="G659" s="42">
        <v>-136.1</v>
      </c>
      <c r="H659" s="42">
        <f t="shared" si="23"/>
        <v>201507</v>
      </c>
      <c r="I659" s="42">
        <f>MATCH(D659,$O:$O,0)</f>
        <v>11</v>
      </c>
      <c r="J659" s="42" t="s">
        <v>39</v>
      </c>
      <c r="K659" s="42" t="s">
        <v>630</v>
      </c>
      <c r="L659" s="42"/>
    </row>
    <row r="660" spans="1:12" x14ac:dyDescent="0.25">
      <c r="A660" s="42" t="s">
        <v>236</v>
      </c>
      <c r="B660" s="43">
        <v>42191</v>
      </c>
      <c r="C660" s="42" t="s">
        <v>249</v>
      </c>
      <c r="D660" s="42" t="str">
        <f t="shared" si="22"/>
        <v>Retirement Contributions</v>
      </c>
      <c r="E660" s="42" t="s">
        <v>263</v>
      </c>
      <c r="F660" s="42" t="s">
        <v>238</v>
      </c>
      <c r="G660" s="42">
        <v>731.25</v>
      </c>
      <c r="H660" s="42">
        <f t="shared" si="23"/>
        <v>201507</v>
      </c>
      <c r="I660" s="42">
        <f>MATCH(D660,$O:$O,0)</f>
        <v>39</v>
      </c>
      <c r="J660" s="42" t="s">
        <v>39</v>
      </c>
      <c r="K660" s="42" t="s">
        <v>632</v>
      </c>
      <c r="L660" s="42"/>
    </row>
    <row r="661" spans="1:12" x14ac:dyDescent="0.25">
      <c r="A661" s="42" t="s">
        <v>236</v>
      </c>
      <c r="B661" s="43">
        <v>42192</v>
      </c>
      <c r="C661" s="42" t="s">
        <v>708</v>
      </c>
      <c r="D661" s="42" t="str">
        <f t="shared" si="22"/>
        <v>Gifts</v>
      </c>
      <c r="E661" s="42" t="s">
        <v>40</v>
      </c>
      <c r="F661" s="42" t="s">
        <v>238</v>
      </c>
      <c r="G661" s="42">
        <v>-141.46</v>
      </c>
      <c r="H661" s="42">
        <f t="shared" si="23"/>
        <v>201507</v>
      </c>
      <c r="I661" s="42">
        <f>MATCH(D661,$O:$O,0)</f>
        <v>11</v>
      </c>
      <c r="J661" s="42" t="s">
        <v>39</v>
      </c>
      <c r="K661" s="42" t="s">
        <v>630</v>
      </c>
      <c r="L661" s="42"/>
    </row>
    <row r="662" spans="1:12" x14ac:dyDescent="0.25">
      <c r="A662" s="42" t="s">
        <v>236</v>
      </c>
      <c r="B662" s="43">
        <v>42192</v>
      </c>
      <c r="C662" s="42" t="s">
        <v>707</v>
      </c>
      <c r="D662" s="42" t="str">
        <f t="shared" si="22"/>
        <v>D-Restaurant</v>
      </c>
      <c r="E662" s="42" t="s">
        <v>204</v>
      </c>
      <c r="F662" s="42" t="s">
        <v>238</v>
      </c>
      <c r="G662" s="42">
        <v>-21.96</v>
      </c>
      <c r="H662" s="42">
        <f t="shared" si="23"/>
        <v>201507</v>
      </c>
      <c r="I662" s="42">
        <f>MATCH(D662,$O:$O,0)</f>
        <v>9</v>
      </c>
      <c r="J662" s="42" t="s">
        <v>39</v>
      </c>
      <c r="K662" s="42" t="s">
        <v>630</v>
      </c>
      <c r="L662" s="42"/>
    </row>
    <row r="663" spans="1:12" x14ac:dyDescent="0.25">
      <c r="A663" s="42" t="s">
        <v>236</v>
      </c>
      <c r="B663" s="43">
        <v>42192</v>
      </c>
      <c r="C663" s="42" t="s">
        <v>424</v>
      </c>
      <c r="D663" s="42" t="str">
        <f t="shared" si="22"/>
        <v>Gas</v>
      </c>
      <c r="E663" s="42" t="s">
        <v>311</v>
      </c>
      <c r="F663" s="42" t="s">
        <v>238</v>
      </c>
      <c r="G663" s="42">
        <v>-3.03</v>
      </c>
      <c r="H663" s="42">
        <f t="shared" si="23"/>
        <v>201507</v>
      </c>
      <c r="I663" s="42">
        <f>MATCH(D663,$O:$O,0)</f>
        <v>30</v>
      </c>
      <c r="J663" s="42" t="s">
        <v>39</v>
      </c>
      <c r="K663" s="42" t="s">
        <v>619</v>
      </c>
      <c r="L663" s="42"/>
    </row>
    <row r="664" spans="1:12" x14ac:dyDescent="0.25">
      <c r="A664" s="42" t="s">
        <v>236</v>
      </c>
      <c r="B664" s="43">
        <v>42193</v>
      </c>
      <c r="C664" s="42" t="s">
        <v>707</v>
      </c>
      <c r="D664" s="42" t="str">
        <f t="shared" si="22"/>
        <v>D-Restaurant</v>
      </c>
      <c r="E664" s="42" t="s">
        <v>204</v>
      </c>
      <c r="F664" s="42" t="s">
        <v>238</v>
      </c>
      <c r="G664" s="42">
        <v>-8.42</v>
      </c>
      <c r="H664" s="42">
        <f t="shared" si="23"/>
        <v>201507</v>
      </c>
      <c r="I664" s="42">
        <f>MATCH(D664,$O:$O,0)</f>
        <v>9</v>
      </c>
      <c r="J664" s="42" t="s">
        <v>39</v>
      </c>
      <c r="K664" s="42" t="s">
        <v>630</v>
      </c>
      <c r="L664" s="42"/>
    </row>
    <row r="665" spans="1:12" x14ac:dyDescent="0.25">
      <c r="A665" s="42" t="s">
        <v>236</v>
      </c>
      <c r="B665" s="43">
        <v>42194</v>
      </c>
      <c r="C665" s="42" t="s">
        <v>565</v>
      </c>
      <c r="D665" s="42" t="str">
        <f t="shared" si="22"/>
        <v>Grocery</v>
      </c>
      <c r="E665" s="42" t="s">
        <v>192</v>
      </c>
      <c r="F665" s="42" t="s">
        <v>238</v>
      </c>
      <c r="G665" s="42">
        <v>-5</v>
      </c>
      <c r="H665" s="42">
        <f t="shared" si="23"/>
        <v>201507</v>
      </c>
      <c r="I665" s="42">
        <f>MATCH(D665,$O:$O,0)</f>
        <v>12</v>
      </c>
      <c r="J665" s="42" t="s">
        <v>39</v>
      </c>
      <c r="K665" s="42" t="s">
        <v>630</v>
      </c>
      <c r="L665" s="42"/>
    </row>
    <row r="666" spans="1:12" x14ac:dyDescent="0.25">
      <c r="A666" s="42" t="s">
        <v>236</v>
      </c>
      <c r="B666" s="43">
        <v>42194</v>
      </c>
      <c r="C666" s="42" t="s">
        <v>565</v>
      </c>
      <c r="D666" s="42" t="str">
        <f t="shared" si="22"/>
        <v>Grocery</v>
      </c>
      <c r="E666" s="42" t="s">
        <v>192</v>
      </c>
      <c r="F666" s="42" t="s">
        <v>238</v>
      </c>
      <c r="G666" s="42">
        <v>-30.78</v>
      </c>
      <c r="H666" s="42">
        <f t="shared" si="23"/>
        <v>201507</v>
      </c>
      <c r="I666" s="42">
        <f>MATCH(D666,$O:$O,0)</f>
        <v>12</v>
      </c>
      <c r="J666" s="42" t="s">
        <v>39</v>
      </c>
      <c r="K666" s="42" t="s">
        <v>630</v>
      </c>
      <c r="L666" s="42"/>
    </row>
    <row r="667" spans="1:12" x14ac:dyDescent="0.25">
      <c r="A667" s="42" t="s">
        <v>236</v>
      </c>
      <c r="B667" s="43">
        <v>42194</v>
      </c>
      <c r="C667" s="42" t="s">
        <v>509</v>
      </c>
      <c r="D667" s="42" t="str">
        <f t="shared" si="22"/>
        <v>D-Coffee</v>
      </c>
      <c r="E667" s="42" t="s">
        <v>215</v>
      </c>
      <c r="F667" s="42" t="s">
        <v>238</v>
      </c>
      <c r="G667" s="42">
        <v>-3.75</v>
      </c>
      <c r="H667" s="42">
        <f t="shared" si="23"/>
        <v>201507</v>
      </c>
      <c r="I667" s="42">
        <f>MATCH(D667,$O:$O,0)</f>
        <v>7</v>
      </c>
      <c r="J667" s="42" t="s">
        <v>39</v>
      </c>
      <c r="K667" s="42" t="s">
        <v>630</v>
      </c>
      <c r="L667" s="42"/>
    </row>
    <row r="668" spans="1:12" x14ac:dyDescent="0.25">
      <c r="A668" s="42" t="s">
        <v>236</v>
      </c>
      <c r="B668" s="43">
        <v>42194</v>
      </c>
      <c r="C668" s="42" t="s">
        <v>706</v>
      </c>
      <c r="D668" s="42" t="str">
        <f t="shared" si="22"/>
        <v>Newspapers</v>
      </c>
      <c r="E668" s="42" t="s">
        <v>35</v>
      </c>
      <c r="F668" s="42" t="s">
        <v>238</v>
      </c>
      <c r="G668" s="42">
        <v>-14.99</v>
      </c>
      <c r="H668" s="42">
        <f t="shared" si="23"/>
        <v>201507</v>
      </c>
      <c r="I668" s="42">
        <f>MATCH(D668,$O:$O,0)</f>
        <v>23</v>
      </c>
      <c r="J668" s="42" t="s">
        <v>39</v>
      </c>
      <c r="K668" s="42" t="s">
        <v>619</v>
      </c>
      <c r="L668" s="42"/>
    </row>
    <row r="669" spans="1:12" x14ac:dyDescent="0.25">
      <c r="A669" s="42" t="s">
        <v>236</v>
      </c>
      <c r="B669" s="43">
        <v>42195</v>
      </c>
      <c r="C669" s="42" t="s">
        <v>384</v>
      </c>
      <c r="D669" s="42" t="str">
        <f t="shared" si="22"/>
        <v>Grocery</v>
      </c>
      <c r="E669" s="42" t="s">
        <v>385</v>
      </c>
      <c r="F669" s="42" t="s">
        <v>238</v>
      </c>
      <c r="G669" s="42">
        <v>-94.73</v>
      </c>
      <c r="H669" s="42">
        <f t="shared" si="23"/>
        <v>201507</v>
      </c>
      <c r="I669" s="42">
        <f>MATCH(D669,$O:$O,0)</f>
        <v>12</v>
      </c>
      <c r="J669" s="42" t="s">
        <v>39</v>
      </c>
      <c r="K669" s="42" t="s">
        <v>619</v>
      </c>
      <c r="L669" s="42"/>
    </row>
    <row r="670" spans="1:12" x14ac:dyDescent="0.25">
      <c r="A670" s="42" t="s">
        <v>236</v>
      </c>
      <c r="B670" s="43">
        <v>42195</v>
      </c>
      <c r="C670" s="42" t="s">
        <v>584</v>
      </c>
      <c r="D670" s="42" t="str">
        <f t="shared" si="22"/>
        <v>Parking</v>
      </c>
      <c r="E670" s="42" t="s">
        <v>170</v>
      </c>
      <c r="F670" s="42" t="s">
        <v>238</v>
      </c>
      <c r="G670" s="42">
        <v>-5.5</v>
      </c>
      <c r="H670" s="42">
        <f t="shared" si="23"/>
        <v>201507</v>
      </c>
      <c r="I670" s="42">
        <f>MATCH(D670,$O:$O,0)</f>
        <v>32</v>
      </c>
      <c r="J670" s="42" t="s">
        <v>39</v>
      </c>
      <c r="K670" s="42" t="s">
        <v>630</v>
      </c>
      <c r="L670" s="42"/>
    </row>
    <row r="671" spans="1:12" x14ac:dyDescent="0.25">
      <c r="A671" s="42" t="s">
        <v>236</v>
      </c>
      <c r="B671" s="43">
        <v>42195</v>
      </c>
      <c r="C671" s="42" t="s">
        <v>704</v>
      </c>
      <c r="D671" s="42" t="str">
        <f t="shared" si="22"/>
        <v>Cell Phone</v>
      </c>
      <c r="E671" s="42" t="s">
        <v>224</v>
      </c>
      <c r="F671" s="42" t="s">
        <v>238</v>
      </c>
      <c r="G671" s="42">
        <v>-65.400000000000006</v>
      </c>
      <c r="H671" s="42">
        <f t="shared" si="23"/>
        <v>201507</v>
      </c>
      <c r="I671" s="42">
        <f>MATCH(D671,$O:$O,0)</f>
        <v>4</v>
      </c>
      <c r="J671" s="42" t="s">
        <v>39</v>
      </c>
      <c r="K671" s="42" t="s">
        <v>630</v>
      </c>
      <c r="L671" s="42"/>
    </row>
    <row r="672" spans="1:12" x14ac:dyDescent="0.25">
      <c r="A672" s="42" t="s">
        <v>236</v>
      </c>
      <c r="B672" s="43">
        <v>42195</v>
      </c>
      <c r="C672" s="42" t="s">
        <v>705</v>
      </c>
      <c r="D672" s="42" t="str">
        <f t="shared" si="22"/>
        <v>Parent Support</v>
      </c>
      <c r="E672" s="42" t="s">
        <v>61</v>
      </c>
      <c r="F672" s="42" t="s">
        <v>238</v>
      </c>
      <c r="G672" s="42">
        <v>-120.82</v>
      </c>
      <c r="H672" s="42">
        <f t="shared" si="23"/>
        <v>201507</v>
      </c>
      <c r="I672" s="42">
        <f>MATCH(D672,$O:$O,0)</f>
        <v>24</v>
      </c>
      <c r="J672" s="42" t="s">
        <v>39</v>
      </c>
      <c r="K672" s="42" t="s">
        <v>630</v>
      </c>
      <c r="L672" s="42"/>
    </row>
    <row r="673" spans="1:12" x14ac:dyDescent="0.25">
      <c r="A673" s="42" t="s">
        <v>236</v>
      </c>
      <c r="B673" s="43">
        <v>42196</v>
      </c>
      <c r="C673" s="42" t="s">
        <v>424</v>
      </c>
      <c r="D673" s="42" t="str">
        <f t="shared" si="22"/>
        <v>Gas</v>
      </c>
      <c r="E673" s="42" t="s">
        <v>311</v>
      </c>
      <c r="F673" s="42" t="s">
        <v>238</v>
      </c>
      <c r="G673" s="42">
        <v>-12.21</v>
      </c>
      <c r="H673" s="42">
        <f t="shared" si="23"/>
        <v>201507</v>
      </c>
      <c r="I673" s="42">
        <f>MATCH(D673,$O:$O,0)</f>
        <v>30</v>
      </c>
      <c r="J673" s="42" t="s">
        <v>39</v>
      </c>
      <c r="K673" s="42" t="s">
        <v>619</v>
      </c>
      <c r="L673" s="42"/>
    </row>
    <row r="674" spans="1:12" x14ac:dyDescent="0.25">
      <c r="A674" s="42" t="s">
        <v>236</v>
      </c>
      <c r="B674" s="43">
        <v>42196</v>
      </c>
      <c r="C674" s="42" t="s">
        <v>681</v>
      </c>
      <c r="D674" s="42" t="str">
        <f t="shared" si="22"/>
        <v>D-Restaurant</v>
      </c>
      <c r="E674" s="42" t="s">
        <v>204</v>
      </c>
      <c r="F674" s="42" t="s">
        <v>238</v>
      </c>
      <c r="G674" s="42">
        <v>-10.06</v>
      </c>
      <c r="H674" s="42">
        <f t="shared" si="23"/>
        <v>201507</v>
      </c>
      <c r="I674" s="42">
        <f>MATCH(D674,$O:$O,0)</f>
        <v>9</v>
      </c>
      <c r="J674" s="42" t="s">
        <v>39</v>
      </c>
      <c r="K674" s="42" t="s">
        <v>630</v>
      </c>
      <c r="L674" s="42"/>
    </row>
    <row r="675" spans="1:12" x14ac:dyDescent="0.25">
      <c r="A675" s="42" t="s">
        <v>236</v>
      </c>
      <c r="B675" s="43">
        <v>42196</v>
      </c>
      <c r="C675" s="42" t="s">
        <v>647</v>
      </c>
      <c r="D675" s="42" t="str">
        <f t="shared" si="22"/>
        <v>Parent Support</v>
      </c>
      <c r="E675" s="42" t="s">
        <v>61</v>
      </c>
      <c r="F675" s="42" t="s">
        <v>238</v>
      </c>
      <c r="G675" s="42">
        <v>-252.73</v>
      </c>
      <c r="H675" s="42">
        <f t="shared" si="23"/>
        <v>201507</v>
      </c>
      <c r="I675" s="42">
        <f>MATCH(D675,$O:$O,0)</f>
        <v>24</v>
      </c>
      <c r="J675" s="42" t="s">
        <v>39</v>
      </c>
      <c r="K675" s="42" t="s">
        <v>630</v>
      </c>
      <c r="L675" s="42"/>
    </row>
    <row r="676" spans="1:12" x14ac:dyDescent="0.25">
      <c r="A676" s="42" t="s">
        <v>236</v>
      </c>
      <c r="B676" s="43">
        <v>42196</v>
      </c>
      <c r="C676" s="42" t="s">
        <v>557</v>
      </c>
      <c r="D676" s="42" t="str">
        <f t="shared" ref="D676:D739" si="24">IF(ISNA(VLOOKUP(E676,$L$2:$M$26,2,FALSE)),E676,VLOOKUP(E676,$L$2:$M$26,2,FALSE))</f>
        <v>Credit Card Payments</v>
      </c>
      <c r="E676" s="42" t="s">
        <v>242</v>
      </c>
      <c r="F676" s="42" t="s">
        <v>238</v>
      </c>
      <c r="G676" s="44">
        <v>6656.58</v>
      </c>
      <c r="H676" s="42">
        <f t="shared" si="23"/>
        <v>201507</v>
      </c>
      <c r="I676" s="42">
        <f>MATCH(D676,$O:$O,0)</f>
        <v>38</v>
      </c>
      <c r="J676" s="42" t="s">
        <v>39</v>
      </c>
      <c r="K676" s="42" t="s">
        <v>630</v>
      </c>
      <c r="L676" s="42"/>
    </row>
    <row r="677" spans="1:12" x14ac:dyDescent="0.25">
      <c r="A677" s="42" t="s">
        <v>236</v>
      </c>
      <c r="B677" s="43">
        <v>42196</v>
      </c>
      <c r="C677" s="42" t="s">
        <v>703</v>
      </c>
      <c r="D677" s="42" t="str">
        <f t="shared" si="24"/>
        <v>D-Travel</v>
      </c>
      <c r="E677" s="42" t="s">
        <v>161</v>
      </c>
      <c r="F677" s="42" t="s">
        <v>238</v>
      </c>
      <c r="G677" s="42">
        <v>493.02</v>
      </c>
      <c r="H677" s="42">
        <f t="shared" si="23"/>
        <v>201507</v>
      </c>
      <c r="I677" s="42">
        <f>MATCH(D677,$O:$O,0)</f>
        <v>10</v>
      </c>
      <c r="J677" s="42" t="s">
        <v>39</v>
      </c>
      <c r="K677" s="42" t="s">
        <v>630</v>
      </c>
      <c r="L677" s="42"/>
    </row>
    <row r="678" spans="1:12" x14ac:dyDescent="0.25">
      <c r="A678" s="42" t="s">
        <v>236</v>
      </c>
      <c r="B678" s="43">
        <v>42197</v>
      </c>
      <c r="C678" s="42" t="s">
        <v>700</v>
      </c>
      <c r="D678" s="42" t="str">
        <f t="shared" si="24"/>
        <v>Gas</v>
      </c>
      <c r="E678" s="42" t="s">
        <v>311</v>
      </c>
      <c r="F678" s="42" t="s">
        <v>238</v>
      </c>
      <c r="G678" s="42">
        <v>-42.48</v>
      </c>
      <c r="H678" s="42">
        <f t="shared" si="23"/>
        <v>201507</v>
      </c>
      <c r="I678" s="42">
        <f>MATCH(D678,$O:$O,0)</f>
        <v>30</v>
      </c>
      <c r="J678" s="42" t="s">
        <v>39</v>
      </c>
      <c r="K678" s="42" t="s">
        <v>619</v>
      </c>
      <c r="L678" s="42"/>
    </row>
    <row r="679" spans="1:12" x14ac:dyDescent="0.25">
      <c r="A679" s="42" t="s">
        <v>236</v>
      </c>
      <c r="B679" s="43">
        <v>42197</v>
      </c>
      <c r="C679" s="42" t="s">
        <v>701</v>
      </c>
      <c r="D679" s="42" t="str">
        <f t="shared" si="24"/>
        <v>Gas</v>
      </c>
      <c r="E679" s="42" t="s">
        <v>311</v>
      </c>
      <c r="F679" s="42" t="s">
        <v>238</v>
      </c>
      <c r="G679" s="42">
        <v>-31.39</v>
      </c>
      <c r="H679" s="42">
        <f t="shared" si="23"/>
        <v>201507</v>
      </c>
      <c r="I679" s="42">
        <f>MATCH(D679,$O:$O,0)</f>
        <v>30</v>
      </c>
      <c r="J679" s="42" t="s">
        <v>39</v>
      </c>
      <c r="K679" s="42" t="s">
        <v>619</v>
      </c>
      <c r="L679" s="42"/>
    </row>
    <row r="680" spans="1:12" x14ac:dyDescent="0.25">
      <c r="A680" s="42" t="s">
        <v>236</v>
      </c>
      <c r="B680" s="43">
        <v>42197</v>
      </c>
      <c r="C680" s="42" t="s">
        <v>702</v>
      </c>
      <c r="D680" s="42" t="str">
        <f t="shared" si="24"/>
        <v>Grocery</v>
      </c>
      <c r="E680" s="42" t="s">
        <v>385</v>
      </c>
      <c r="F680" s="42" t="s">
        <v>238</v>
      </c>
      <c r="G680" s="42">
        <v>-23.1</v>
      </c>
      <c r="H680" s="42">
        <f t="shared" si="23"/>
        <v>201507</v>
      </c>
      <c r="I680" s="42">
        <f>MATCH(D680,$O:$O,0)</f>
        <v>12</v>
      </c>
      <c r="J680" s="42" t="s">
        <v>39</v>
      </c>
      <c r="K680" s="42" t="s">
        <v>619</v>
      </c>
      <c r="L680" s="42"/>
    </row>
    <row r="681" spans="1:12" x14ac:dyDescent="0.25">
      <c r="A681" s="42" t="s">
        <v>236</v>
      </c>
      <c r="B681" s="43">
        <v>42198</v>
      </c>
      <c r="C681" s="42" t="s">
        <v>692</v>
      </c>
      <c r="D681" s="42" t="str">
        <f t="shared" si="24"/>
        <v>Credit Card Payments</v>
      </c>
      <c r="E681" s="42" t="s">
        <v>242</v>
      </c>
      <c r="F681" s="42" t="s">
        <v>238</v>
      </c>
      <c r="G681" s="44">
        <v>-6656.58</v>
      </c>
      <c r="H681" s="42">
        <f t="shared" si="23"/>
        <v>201507</v>
      </c>
      <c r="I681" s="42">
        <f>MATCH(D681,$O:$O,0)</f>
        <v>38</v>
      </c>
      <c r="J681" s="42" t="s">
        <v>39</v>
      </c>
      <c r="K681" s="42" t="s">
        <v>621</v>
      </c>
      <c r="L681" s="42"/>
    </row>
    <row r="682" spans="1:12" x14ac:dyDescent="0.25">
      <c r="A682" s="42" t="s">
        <v>236</v>
      </c>
      <c r="B682" s="43">
        <v>42198</v>
      </c>
      <c r="C682" s="42" t="s">
        <v>693</v>
      </c>
      <c r="D682" s="42" t="str">
        <f t="shared" si="24"/>
        <v>Grocery</v>
      </c>
      <c r="E682" s="42" t="s">
        <v>192</v>
      </c>
      <c r="F682" s="42" t="s">
        <v>238</v>
      </c>
      <c r="G682" s="42">
        <v>-37.76</v>
      </c>
      <c r="H682" s="42">
        <f t="shared" si="23"/>
        <v>201507</v>
      </c>
      <c r="I682" s="42">
        <f>MATCH(D682,$O:$O,0)</f>
        <v>12</v>
      </c>
      <c r="J682" s="42" t="s">
        <v>39</v>
      </c>
      <c r="K682" s="42" t="s">
        <v>631</v>
      </c>
      <c r="L682" s="42"/>
    </row>
    <row r="683" spans="1:12" x14ac:dyDescent="0.25">
      <c r="A683" s="42" t="s">
        <v>236</v>
      </c>
      <c r="B683" s="43">
        <v>42198</v>
      </c>
      <c r="C683" s="42" t="s">
        <v>694</v>
      </c>
      <c r="D683" s="42" t="str">
        <f t="shared" si="24"/>
        <v>Grocery</v>
      </c>
      <c r="E683" s="42" t="s">
        <v>192</v>
      </c>
      <c r="F683" s="42" t="s">
        <v>238</v>
      </c>
      <c r="G683" s="42">
        <v>-12.1</v>
      </c>
      <c r="H683" s="42">
        <f t="shared" si="23"/>
        <v>201507</v>
      </c>
      <c r="I683" s="42">
        <f>MATCH(D683,$O:$O,0)</f>
        <v>12</v>
      </c>
      <c r="J683" s="42" t="s">
        <v>39</v>
      </c>
      <c r="K683" s="42" t="s">
        <v>631</v>
      </c>
      <c r="L683" s="42"/>
    </row>
    <row r="684" spans="1:12" x14ac:dyDescent="0.25">
      <c r="A684" s="42" t="s">
        <v>236</v>
      </c>
      <c r="B684" s="43">
        <v>42198</v>
      </c>
      <c r="C684" s="42" t="s">
        <v>583</v>
      </c>
      <c r="D684" s="42" t="str">
        <f t="shared" si="24"/>
        <v>Grocery</v>
      </c>
      <c r="E684" s="42" t="s">
        <v>192</v>
      </c>
      <c r="F684" s="42" t="s">
        <v>238</v>
      </c>
      <c r="G684" s="42">
        <v>-64.98</v>
      </c>
      <c r="H684" s="42">
        <f t="shared" si="23"/>
        <v>201507</v>
      </c>
      <c r="I684" s="42">
        <f>MATCH(D684,$O:$O,0)</f>
        <v>12</v>
      </c>
      <c r="J684" s="42" t="s">
        <v>39</v>
      </c>
      <c r="K684" s="42" t="s">
        <v>630</v>
      </c>
      <c r="L684" s="42"/>
    </row>
    <row r="685" spans="1:12" x14ac:dyDescent="0.25">
      <c r="A685" s="42" t="s">
        <v>236</v>
      </c>
      <c r="B685" s="43">
        <v>42198</v>
      </c>
      <c r="C685" s="42" t="s">
        <v>695</v>
      </c>
      <c r="D685" s="42" t="str">
        <f t="shared" si="24"/>
        <v>Parent Support</v>
      </c>
      <c r="E685" s="42" t="s">
        <v>61</v>
      </c>
      <c r="F685" s="42" t="s">
        <v>238</v>
      </c>
      <c r="G685" s="44">
        <v>-1149.79</v>
      </c>
      <c r="H685" s="42">
        <f t="shared" si="23"/>
        <v>201507</v>
      </c>
      <c r="I685" s="42">
        <f>MATCH(D685,$O:$O,0)</f>
        <v>24</v>
      </c>
      <c r="J685" s="42" t="s">
        <v>39</v>
      </c>
      <c r="K685" s="42" t="s">
        <v>630</v>
      </c>
      <c r="L685" s="42"/>
    </row>
    <row r="686" spans="1:12" x14ac:dyDescent="0.25">
      <c r="A686" s="42" t="s">
        <v>236</v>
      </c>
      <c r="B686" s="43">
        <v>42198</v>
      </c>
      <c r="C686" s="42" t="s">
        <v>696</v>
      </c>
      <c r="D686" s="42" t="str">
        <f t="shared" si="24"/>
        <v>Wedding</v>
      </c>
      <c r="E686" s="42" t="s">
        <v>6</v>
      </c>
      <c r="F686" s="42" t="s">
        <v>238</v>
      </c>
      <c r="G686" s="42">
        <v>-78</v>
      </c>
      <c r="H686" s="42">
        <f t="shared" si="23"/>
        <v>201507</v>
      </c>
      <c r="I686" s="42">
        <f>MATCH(D686,$O:$O,0)</f>
        <v>41</v>
      </c>
      <c r="J686" s="42" t="s">
        <v>39</v>
      </c>
      <c r="K686" s="42" t="s">
        <v>630</v>
      </c>
      <c r="L686" s="42"/>
    </row>
    <row r="687" spans="1:12" x14ac:dyDescent="0.25">
      <c r="A687" s="42" t="s">
        <v>236</v>
      </c>
      <c r="B687" s="43">
        <v>42198</v>
      </c>
      <c r="C687" s="42" t="s">
        <v>697</v>
      </c>
      <c r="D687" s="42" t="str">
        <f t="shared" si="24"/>
        <v>D-Restaurant</v>
      </c>
      <c r="E687" s="42" t="s">
        <v>204</v>
      </c>
      <c r="F687" s="42" t="s">
        <v>238</v>
      </c>
      <c r="G687" s="42">
        <v>-34.81</v>
      </c>
      <c r="H687" s="42">
        <f t="shared" si="23"/>
        <v>201507</v>
      </c>
      <c r="I687" s="42">
        <f>MATCH(D687,$O:$O,0)</f>
        <v>9</v>
      </c>
      <c r="J687" s="42" t="s">
        <v>39</v>
      </c>
      <c r="K687" s="42" t="s">
        <v>630</v>
      </c>
      <c r="L687" s="42"/>
    </row>
    <row r="688" spans="1:12" x14ac:dyDescent="0.25">
      <c r="A688" s="42" t="s">
        <v>236</v>
      </c>
      <c r="B688" s="43">
        <v>42198</v>
      </c>
      <c r="C688" s="42" t="s">
        <v>698</v>
      </c>
      <c r="D688" s="42" t="str">
        <f t="shared" si="24"/>
        <v>Home Maintainence/Improvement</v>
      </c>
      <c r="E688" s="42" t="s">
        <v>342</v>
      </c>
      <c r="F688" s="42" t="s">
        <v>238</v>
      </c>
      <c r="G688" s="42">
        <v>-12.49</v>
      </c>
      <c r="H688" s="42">
        <f t="shared" si="23"/>
        <v>201507</v>
      </c>
      <c r="I688" s="42">
        <f>MATCH(D688,$O:$O,0)</f>
        <v>16</v>
      </c>
      <c r="J688" s="42" t="s">
        <v>39</v>
      </c>
      <c r="K688" s="42" t="s">
        <v>630</v>
      </c>
      <c r="L688" s="42"/>
    </row>
    <row r="689" spans="1:12" x14ac:dyDescent="0.25">
      <c r="A689" s="42" t="s">
        <v>236</v>
      </c>
      <c r="B689" s="43">
        <v>42198</v>
      </c>
      <c r="C689" s="42" t="s">
        <v>699</v>
      </c>
      <c r="D689" s="42" t="str">
        <f t="shared" si="24"/>
        <v>Taxi and rental</v>
      </c>
      <c r="E689" s="42" t="s">
        <v>92</v>
      </c>
      <c r="F689" s="42" t="s">
        <v>238</v>
      </c>
      <c r="G689" s="42">
        <v>-8.0299999999999994</v>
      </c>
      <c r="H689" s="42">
        <f t="shared" si="23"/>
        <v>201507</v>
      </c>
      <c r="I689" s="42">
        <f>MATCH(D689,$O:$O,0)</f>
        <v>28</v>
      </c>
      <c r="J689" s="42" t="s">
        <v>39</v>
      </c>
      <c r="K689" s="42" t="s">
        <v>619</v>
      </c>
      <c r="L689" s="42"/>
    </row>
    <row r="690" spans="1:12" x14ac:dyDescent="0.25">
      <c r="A690" s="42" t="s">
        <v>236</v>
      </c>
      <c r="B690" s="43">
        <v>42199</v>
      </c>
      <c r="C690" s="42" t="s">
        <v>562</v>
      </c>
      <c r="D690" s="42" t="str">
        <f t="shared" si="24"/>
        <v>Utility</v>
      </c>
      <c r="E690" s="42" t="s">
        <v>19</v>
      </c>
      <c r="F690" s="42" t="s">
        <v>238</v>
      </c>
      <c r="G690" s="42">
        <v>-55.51</v>
      </c>
      <c r="H690" s="42">
        <f t="shared" si="23"/>
        <v>201507</v>
      </c>
      <c r="I690" s="42">
        <f>MATCH(D690,$O:$O,0)</f>
        <v>34</v>
      </c>
      <c r="J690" s="42" t="s">
        <v>39</v>
      </c>
      <c r="K690" s="42" t="s">
        <v>621</v>
      </c>
      <c r="L690" s="42"/>
    </row>
    <row r="691" spans="1:12" x14ac:dyDescent="0.25">
      <c r="A691" s="42" t="s">
        <v>236</v>
      </c>
      <c r="B691" s="43">
        <v>42199</v>
      </c>
      <c r="C691" s="42" t="s">
        <v>686</v>
      </c>
      <c r="D691" s="42" t="str">
        <f t="shared" si="24"/>
        <v>Finance Charges</v>
      </c>
      <c r="E691" s="42" t="s">
        <v>220</v>
      </c>
      <c r="F691" s="42" t="s">
        <v>238</v>
      </c>
      <c r="G691" s="42">
        <v>37.76</v>
      </c>
      <c r="H691" s="42">
        <f t="shared" si="23"/>
        <v>201507</v>
      </c>
      <c r="I691" s="42">
        <f>MATCH(D691,$O:$O,0)</f>
        <v>35</v>
      </c>
      <c r="J691" s="42" t="s">
        <v>39</v>
      </c>
      <c r="K691" s="42" t="s">
        <v>631</v>
      </c>
      <c r="L691" s="42"/>
    </row>
    <row r="692" spans="1:12" x14ac:dyDescent="0.25">
      <c r="A692" s="42" t="s">
        <v>236</v>
      </c>
      <c r="B692" s="43">
        <v>42199</v>
      </c>
      <c r="C692" s="42" t="s">
        <v>686</v>
      </c>
      <c r="D692" s="42" t="str">
        <f t="shared" si="24"/>
        <v>Finance Charges</v>
      </c>
      <c r="E692" s="42" t="s">
        <v>220</v>
      </c>
      <c r="F692" s="42" t="s">
        <v>238</v>
      </c>
      <c r="G692" s="42">
        <v>12.1</v>
      </c>
      <c r="H692" s="42">
        <f t="shared" si="23"/>
        <v>201507</v>
      </c>
      <c r="I692" s="42">
        <f>MATCH(D692,$O:$O,0)</f>
        <v>35</v>
      </c>
      <c r="J692" s="42" t="s">
        <v>39</v>
      </c>
      <c r="K692" s="42" t="s">
        <v>631</v>
      </c>
      <c r="L692" s="42"/>
    </row>
    <row r="693" spans="1:12" x14ac:dyDescent="0.25">
      <c r="A693" s="42" t="s">
        <v>236</v>
      </c>
      <c r="B693" s="43">
        <v>42199</v>
      </c>
      <c r="C693" s="42" t="s">
        <v>687</v>
      </c>
      <c r="D693" s="42" t="str">
        <f t="shared" si="24"/>
        <v>Home Maintainence/Improvement</v>
      </c>
      <c r="E693" s="42" t="s">
        <v>342</v>
      </c>
      <c r="F693" s="42" t="s">
        <v>238</v>
      </c>
      <c r="G693" s="42">
        <v>-81.66</v>
      </c>
      <c r="H693" s="42">
        <f t="shared" si="23"/>
        <v>201507</v>
      </c>
      <c r="I693" s="42">
        <f>MATCH(D693,$O:$O,0)</f>
        <v>16</v>
      </c>
      <c r="J693" s="42" t="s">
        <v>39</v>
      </c>
      <c r="K693" s="42" t="s">
        <v>630</v>
      </c>
      <c r="L693" s="42"/>
    </row>
    <row r="694" spans="1:12" x14ac:dyDescent="0.25">
      <c r="A694" s="42" t="s">
        <v>236</v>
      </c>
      <c r="B694" s="43">
        <v>42199</v>
      </c>
      <c r="C694" s="42" t="s">
        <v>687</v>
      </c>
      <c r="D694" s="42" t="str">
        <f t="shared" si="24"/>
        <v>Home Maintainence/Improvement</v>
      </c>
      <c r="E694" s="42" t="s">
        <v>342</v>
      </c>
      <c r="F694" s="42" t="s">
        <v>238</v>
      </c>
      <c r="G694" s="42">
        <v>-219.06</v>
      </c>
      <c r="H694" s="42">
        <f t="shared" si="23"/>
        <v>201507</v>
      </c>
      <c r="I694" s="42">
        <f>MATCH(D694,$O:$O,0)</f>
        <v>16</v>
      </c>
      <c r="J694" s="42" t="s">
        <v>39</v>
      </c>
      <c r="K694" s="42" t="s">
        <v>630</v>
      </c>
      <c r="L694" s="42"/>
    </row>
    <row r="695" spans="1:12" x14ac:dyDescent="0.25">
      <c r="A695" s="42" t="s">
        <v>236</v>
      </c>
      <c r="B695" s="43">
        <v>42199</v>
      </c>
      <c r="C695" s="42" t="s">
        <v>688</v>
      </c>
      <c r="D695" s="42" t="str">
        <f t="shared" si="24"/>
        <v>Parent Support</v>
      </c>
      <c r="E695" s="42" t="s">
        <v>61</v>
      </c>
      <c r="F695" s="42" t="s">
        <v>238</v>
      </c>
      <c r="G695" s="42">
        <v>-208.07</v>
      </c>
      <c r="H695" s="42">
        <f t="shared" si="23"/>
        <v>201507</v>
      </c>
      <c r="I695" s="42">
        <f>MATCH(D695,$O:$O,0)</f>
        <v>24</v>
      </c>
      <c r="J695" s="42" t="s">
        <v>39</v>
      </c>
      <c r="K695" s="42" t="s">
        <v>630</v>
      </c>
      <c r="L695" s="42"/>
    </row>
    <row r="696" spans="1:12" x14ac:dyDescent="0.25">
      <c r="A696" s="42" t="s">
        <v>236</v>
      </c>
      <c r="B696" s="43">
        <v>42199</v>
      </c>
      <c r="C696" s="42" t="s">
        <v>689</v>
      </c>
      <c r="D696" s="42" t="str">
        <f t="shared" si="24"/>
        <v>Parent Support</v>
      </c>
      <c r="E696" s="42" t="s">
        <v>61</v>
      </c>
      <c r="F696" s="42" t="s">
        <v>238</v>
      </c>
      <c r="G696" s="42">
        <v>-254.66</v>
      </c>
      <c r="H696" s="42">
        <f t="shared" si="23"/>
        <v>201507</v>
      </c>
      <c r="I696" s="42">
        <f>MATCH(D696,$O:$O,0)</f>
        <v>24</v>
      </c>
      <c r="J696" s="42" t="s">
        <v>39</v>
      </c>
      <c r="K696" s="42" t="s">
        <v>630</v>
      </c>
      <c r="L696" s="42"/>
    </row>
    <row r="697" spans="1:12" x14ac:dyDescent="0.25">
      <c r="A697" s="42" t="s">
        <v>236</v>
      </c>
      <c r="B697" s="43">
        <v>42199</v>
      </c>
      <c r="C697" s="42" t="s">
        <v>688</v>
      </c>
      <c r="D697" s="42" t="str">
        <f t="shared" si="24"/>
        <v>Parent Support</v>
      </c>
      <c r="E697" s="42" t="s">
        <v>61</v>
      </c>
      <c r="F697" s="42" t="s">
        <v>238</v>
      </c>
      <c r="G697" s="42">
        <v>208.07</v>
      </c>
      <c r="H697" s="42">
        <f t="shared" si="23"/>
        <v>201507</v>
      </c>
      <c r="I697" s="42">
        <f>MATCH(D697,$O:$O,0)</f>
        <v>24</v>
      </c>
      <c r="J697" s="42" t="s">
        <v>39</v>
      </c>
      <c r="K697" s="42" t="s">
        <v>630</v>
      </c>
      <c r="L697" s="42"/>
    </row>
    <row r="698" spans="1:12" x14ac:dyDescent="0.25">
      <c r="A698" s="42" t="s">
        <v>236</v>
      </c>
      <c r="B698" s="43">
        <v>42199</v>
      </c>
      <c r="C698" s="42" t="s">
        <v>690</v>
      </c>
      <c r="D698" s="42" t="str">
        <f t="shared" si="24"/>
        <v>Taxi and rental</v>
      </c>
      <c r="E698" s="42" t="s">
        <v>92</v>
      </c>
      <c r="F698" s="42" t="s">
        <v>238</v>
      </c>
      <c r="G698" s="42">
        <v>-8.7799999999999994</v>
      </c>
      <c r="H698" s="42">
        <f t="shared" si="23"/>
        <v>201507</v>
      </c>
      <c r="I698" s="42">
        <f>MATCH(D698,$O:$O,0)</f>
        <v>28</v>
      </c>
      <c r="J698" s="42" t="s">
        <v>39</v>
      </c>
      <c r="K698" s="42" t="s">
        <v>619</v>
      </c>
      <c r="L698" s="42"/>
    </row>
    <row r="699" spans="1:12" x14ac:dyDescent="0.25">
      <c r="A699" s="42" t="s">
        <v>236</v>
      </c>
      <c r="B699" s="43">
        <v>42199</v>
      </c>
      <c r="C699" s="42" t="s">
        <v>691</v>
      </c>
      <c r="D699" s="42" t="str">
        <f t="shared" si="24"/>
        <v>Books</v>
      </c>
      <c r="E699" s="42" t="s">
        <v>42</v>
      </c>
      <c r="F699" s="42" t="s">
        <v>238</v>
      </c>
      <c r="G699" s="42">
        <v>-10.99</v>
      </c>
      <c r="H699" s="42">
        <f t="shared" si="23"/>
        <v>201507</v>
      </c>
      <c r="I699" s="42">
        <f>MATCH(D699,$O:$O,0)</f>
        <v>2</v>
      </c>
      <c r="J699" s="42" t="s">
        <v>39</v>
      </c>
      <c r="K699" s="42" t="s">
        <v>619</v>
      </c>
      <c r="L699" s="42"/>
    </row>
    <row r="700" spans="1:12" x14ac:dyDescent="0.25">
      <c r="A700" s="42" t="s">
        <v>236</v>
      </c>
      <c r="B700" s="43">
        <v>42200</v>
      </c>
      <c r="C700" s="42" t="s">
        <v>412</v>
      </c>
      <c r="D700" s="42" t="str">
        <f t="shared" si="24"/>
        <v>Interest</v>
      </c>
      <c r="E700" s="42" t="s">
        <v>200</v>
      </c>
      <c r="F700" s="42" t="s">
        <v>238</v>
      </c>
      <c r="G700" s="42">
        <v>0.34</v>
      </c>
      <c r="H700" s="42">
        <f t="shared" si="23"/>
        <v>201507</v>
      </c>
      <c r="I700" s="42" t="e">
        <f>MATCH(D700,$O:$O,0)</f>
        <v>#N/A</v>
      </c>
      <c r="J700" s="42" t="s">
        <v>39</v>
      </c>
      <c r="K700" s="42" t="s">
        <v>621</v>
      </c>
      <c r="L700" s="42"/>
    </row>
    <row r="701" spans="1:12" x14ac:dyDescent="0.25">
      <c r="A701" s="42" t="s">
        <v>236</v>
      </c>
      <c r="B701" s="43">
        <v>42200</v>
      </c>
      <c r="C701" s="42" t="s">
        <v>221</v>
      </c>
      <c r="D701" s="42" t="str">
        <f t="shared" si="24"/>
        <v>Tax</v>
      </c>
      <c r="E701" s="42" t="s">
        <v>222</v>
      </c>
      <c r="F701" s="42" t="s">
        <v>238</v>
      </c>
      <c r="G701" s="42">
        <v>-0.1</v>
      </c>
      <c r="H701" s="42">
        <f t="shared" si="23"/>
        <v>201507</v>
      </c>
      <c r="I701" s="42">
        <f>MATCH(D701,$O:$O,0)</f>
        <v>29</v>
      </c>
      <c r="J701" s="42" t="s">
        <v>39</v>
      </c>
      <c r="K701" s="42" t="s">
        <v>621</v>
      </c>
      <c r="L701" s="42"/>
    </row>
    <row r="702" spans="1:12" x14ac:dyDescent="0.25">
      <c r="A702" s="42" t="s">
        <v>236</v>
      </c>
      <c r="B702" s="43">
        <v>42200</v>
      </c>
      <c r="C702" s="42" t="s">
        <v>412</v>
      </c>
      <c r="D702" s="42" t="str">
        <f t="shared" si="24"/>
        <v>Interest</v>
      </c>
      <c r="E702" s="42" t="s">
        <v>200</v>
      </c>
      <c r="F702" s="42" t="s">
        <v>238</v>
      </c>
      <c r="G702" s="42">
        <v>0.41</v>
      </c>
      <c r="H702" s="42">
        <f t="shared" si="23"/>
        <v>201507</v>
      </c>
      <c r="I702" s="42" t="e">
        <f>MATCH(D702,$O:$O,0)</f>
        <v>#N/A</v>
      </c>
      <c r="J702" s="42" t="s">
        <v>39</v>
      </c>
      <c r="K702" s="42" t="s">
        <v>628</v>
      </c>
      <c r="L702" s="42"/>
    </row>
    <row r="703" spans="1:12" x14ac:dyDescent="0.25">
      <c r="A703" s="42" t="s">
        <v>236</v>
      </c>
      <c r="B703" s="43">
        <v>42200</v>
      </c>
      <c r="C703" s="42" t="s">
        <v>684</v>
      </c>
      <c r="D703" s="42" t="str">
        <f t="shared" si="24"/>
        <v>Paychecks/Salary</v>
      </c>
      <c r="E703" s="42" t="s">
        <v>375</v>
      </c>
      <c r="F703" s="42" t="s">
        <v>238</v>
      </c>
      <c r="G703" s="44">
        <v>2999.16</v>
      </c>
      <c r="H703" s="42">
        <f t="shared" si="23"/>
        <v>201507</v>
      </c>
      <c r="I703" s="42">
        <f>MATCH(D703,$O:$O,0)</f>
        <v>40</v>
      </c>
      <c r="J703" s="42" t="s">
        <v>39</v>
      </c>
      <c r="K703" s="42" t="s">
        <v>621</v>
      </c>
      <c r="L703" s="42"/>
    </row>
    <row r="704" spans="1:12" x14ac:dyDescent="0.25">
      <c r="A704" s="42" t="s">
        <v>236</v>
      </c>
      <c r="B704" s="43">
        <v>42200</v>
      </c>
      <c r="C704" s="42" t="s">
        <v>221</v>
      </c>
      <c r="D704" s="42" t="str">
        <f t="shared" si="24"/>
        <v>Tax</v>
      </c>
      <c r="E704" s="42" t="s">
        <v>222</v>
      </c>
      <c r="F704" s="42" t="s">
        <v>238</v>
      </c>
      <c r="G704" s="42">
        <v>-0.11</v>
      </c>
      <c r="H704" s="42">
        <f t="shared" si="23"/>
        <v>201507</v>
      </c>
      <c r="I704" s="42">
        <f>MATCH(D704,$O:$O,0)</f>
        <v>29</v>
      </c>
      <c r="J704" s="42" t="s">
        <v>39</v>
      </c>
      <c r="K704" s="42" t="s">
        <v>628</v>
      </c>
      <c r="L704" s="42"/>
    </row>
    <row r="705" spans="1:12" x14ac:dyDescent="0.25">
      <c r="A705" s="42" t="s">
        <v>236</v>
      </c>
      <c r="B705" s="43">
        <v>42200</v>
      </c>
      <c r="C705" s="42" t="s">
        <v>685</v>
      </c>
      <c r="D705" s="42" t="str">
        <f t="shared" si="24"/>
        <v>D-Restaurant</v>
      </c>
      <c r="E705" s="42" t="s">
        <v>204</v>
      </c>
      <c r="F705" s="42" t="s">
        <v>238</v>
      </c>
      <c r="G705" s="42">
        <v>-6.85</v>
      </c>
      <c r="H705" s="42">
        <f t="shared" si="23"/>
        <v>201507</v>
      </c>
      <c r="I705" s="42">
        <f>MATCH(D705,$O:$O,0)</f>
        <v>9</v>
      </c>
      <c r="J705" s="42" t="s">
        <v>39</v>
      </c>
      <c r="K705" s="42" t="s">
        <v>630</v>
      </c>
      <c r="L705" s="42"/>
    </row>
    <row r="706" spans="1:12" x14ac:dyDescent="0.25">
      <c r="A706" s="42" t="s">
        <v>236</v>
      </c>
      <c r="B706" s="43">
        <v>42201</v>
      </c>
      <c r="C706" s="42" t="s">
        <v>364</v>
      </c>
      <c r="D706" s="42" t="str">
        <f t="shared" si="24"/>
        <v>Wedding</v>
      </c>
      <c r="E706" s="42" t="s">
        <v>6</v>
      </c>
      <c r="F706" s="42" t="s">
        <v>238</v>
      </c>
      <c r="G706" s="42">
        <v>600</v>
      </c>
      <c r="H706" s="42">
        <f t="shared" ref="H706:H769" si="25">YEAR(B706)*100+MONTH(B706)</f>
        <v>201507</v>
      </c>
      <c r="I706" s="42">
        <f>MATCH(D706,$O:$O,0)</f>
        <v>41</v>
      </c>
      <c r="J706" s="42" t="s">
        <v>39</v>
      </c>
      <c r="K706" s="42" t="s">
        <v>621</v>
      </c>
      <c r="L706" s="42"/>
    </row>
    <row r="707" spans="1:12" x14ac:dyDescent="0.25">
      <c r="A707" s="42" t="s">
        <v>236</v>
      </c>
      <c r="B707" s="43">
        <v>42201</v>
      </c>
      <c r="C707" s="42" t="s">
        <v>479</v>
      </c>
      <c r="D707" s="42" t="str">
        <f t="shared" si="24"/>
        <v>D-Restaurant</v>
      </c>
      <c r="E707" s="42" t="s">
        <v>204</v>
      </c>
      <c r="F707" s="42" t="s">
        <v>238</v>
      </c>
      <c r="G707" s="42">
        <v>-90</v>
      </c>
      <c r="H707" s="42">
        <f t="shared" si="25"/>
        <v>201507</v>
      </c>
      <c r="I707" s="42">
        <f>MATCH(D707,$O:$O,0)</f>
        <v>9</v>
      </c>
      <c r="J707" s="42" t="s">
        <v>39</v>
      </c>
      <c r="K707" s="42" t="s">
        <v>630</v>
      </c>
      <c r="L707" s="42"/>
    </row>
    <row r="708" spans="1:12" x14ac:dyDescent="0.25">
      <c r="A708" s="42" t="s">
        <v>236</v>
      </c>
      <c r="B708" s="43">
        <v>42201</v>
      </c>
      <c r="C708" s="42" t="s">
        <v>683</v>
      </c>
      <c r="D708" s="42" t="str">
        <f t="shared" si="24"/>
        <v>Gifts</v>
      </c>
      <c r="E708" s="42" t="s">
        <v>40</v>
      </c>
      <c r="F708" s="42" t="s">
        <v>238</v>
      </c>
      <c r="G708" s="42">
        <v>-4</v>
      </c>
      <c r="H708" s="42">
        <f t="shared" si="25"/>
        <v>201507</v>
      </c>
      <c r="I708" s="42">
        <f>MATCH(D708,$O:$O,0)</f>
        <v>11</v>
      </c>
      <c r="J708" s="42" t="s">
        <v>39</v>
      </c>
      <c r="K708" s="42" t="s">
        <v>630</v>
      </c>
      <c r="L708" s="42"/>
    </row>
    <row r="709" spans="1:12" x14ac:dyDescent="0.25">
      <c r="A709" s="42" t="s">
        <v>236</v>
      </c>
      <c r="B709" s="43">
        <v>42201</v>
      </c>
      <c r="C709" s="42" t="s">
        <v>384</v>
      </c>
      <c r="D709" s="42" t="str">
        <f t="shared" si="24"/>
        <v>Grocery</v>
      </c>
      <c r="E709" s="42" t="s">
        <v>385</v>
      </c>
      <c r="F709" s="42" t="s">
        <v>238</v>
      </c>
      <c r="G709" s="42">
        <v>-95.58</v>
      </c>
      <c r="H709" s="42">
        <f t="shared" si="25"/>
        <v>201507</v>
      </c>
      <c r="I709" s="42">
        <f>MATCH(D709,$O:$O,0)</f>
        <v>12</v>
      </c>
      <c r="J709" s="42" t="s">
        <v>39</v>
      </c>
      <c r="K709" s="42" t="s">
        <v>619</v>
      </c>
      <c r="L709" s="42"/>
    </row>
    <row r="710" spans="1:12" x14ac:dyDescent="0.25">
      <c r="A710" s="42" t="s">
        <v>236</v>
      </c>
      <c r="B710" s="43">
        <v>42202</v>
      </c>
      <c r="C710" s="42" t="s">
        <v>647</v>
      </c>
      <c r="D710" s="42" t="str">
        <f t="shared" si="24"/>
        <v>Parent Support</v>
      </c>
      <c r="E710" s="42" t="s">
        <v>61</v>
      </c>
      <c r="F710" s="42" t="s">
        <v>238</v>
      </c>
      <c r="G710" s="42">
        <v>-30.02</v>
      </c>
      <c r="H710" s="42">
        <f t="shared" si="25"/>
        <v>201507</v>
      </c>
      <c r="I710" s="42">
        <f>MATCH(D710,$O:$O,0)</f>
        <v>24</v>
      </c>
      <c r="J710" s="42" t="s">
        <v>39</v>
      </c>
      <c r="K710" s="42" t="s">
        <v>630</v>
      </c>
      <c r="L710" s="42"/>
    </row>
    <row r="711" spans="1:12" x14ac:dyDescent="0.25">
      <c r="A711" s="42" t="s">
        <v>236</v>
      </c>
      <c r="B711" s="43">
        <v>42202</v>
      </c>
      <c r="C711" s="42" t="s">
        <v>682</v>
      </c>
      <c r="D711" s="42" t="str">
        <f t="shared" si="24"/>
        <v>Taxi and rental</v>
      </c>
      <c r="E711" s="42" t="s">
        <v>92</v>
      </c>
      <c r="F711" s="42" t="s">
        <v>238</v>
      </c>
      <c r="G711" s="42">
        <v>-4</v>
      </c>
      <c r="H711" s="42">
        <f t="shared" si="25"/>
        <v>201507</v>
      </c>
      <c r="I711" s="42">
        <f>MATCH(D711,$O:$O,0)</f>
        <v>28</v>
      </c>
      <c r="J711" s="42" t="s">
        <v>39</v>
      </c>
      <c r="K711" s="42" t="s">
        <v>630</v>
      </c>
      <c r="L711" s="42"/>
    </row>
    <row r="712" spans="1:12" x14ac:dyDescent="0.25">
      <c r="A712" s="42" t="s">
        <v>236</v>
      </c>
      <c r="B712" s="43">
        <v>42203</v>
      </c>
      <c r="C712" s="42" t="s">
        <v>681</v>
      </c>
      <c r="D712" s="42" t="str">
        <f t="shared" si="24"/>
        <v>D-Restaurant</v>
      </c>
      <c r="E712" s="42" t="s">
        <v>204</v>
      </c>
      <c r="F712" s="42" t="s">
        <v>238</v>
      </c>
      <c r="G712" s="42">
        <v>-10.82</v>
      </c>
      <c r="H712" s="42">
        <f t="shared" si="25"/>
        <v>201507</v>
      </c>
      <c r="I712" s="42">
        <f>MATCH(D712,$O:$O,0)</f>
        <v>9</v>
      </c>
      <c r="J712" s="42" t="s">
        <v>39</v>
      </c>
      <c r="K712" s="42" t="s">
        <v>630</v>
      </c>
      <c r="L712" s="42"/>
    </row>
    <row r="713" spans="1:12" x14ac:dyDescent="0.25">
      <c r="A713" s="42" t="s">
        <v>236</v>
      </c>
      <c r="B713" s="43">
        <v>42203</v>
      </c>
      <c r="C713" s="42" t="s">
        <v>509</v>
      </c>
      <c r="D713" s="42" t="str">
        <f t="shared" si="24"/>
        <v>D-Coffee</v>
      </c>
      <c r="E713" s="42" t="s">
        <v>215</v>
      </c>
      <c r="F713" s="42" t="s">
        <v>238</v>
      </c>
      <c r="G713" s="42">
        <v>-3.25</v>
      </c>
      <c r="H713" s="42">
        <f t="shared" si="25"/>
        <v>201507</v>
      </c>
      <c r="I713" s="42">
        <f>MATCH(D713,$O:$O,0)</f>
        <v>7</v>
      </c>
      <c r="J713" s="42" t="s">
        <v>39</v>
      </c>
      <c r="K713" s="42" t="s">
        <v>630</v>
      </c>
      <c r="L713" s="42"/>
    </row>
    <row r="714" spans="1:12" x14ac:dyDescent="0.25">
      <c r="A714" s="42" t="s">
        <v>236</v>
      </c>
      <c r="B714" s="43">
        <v>42205</v>
      </c>
      <c r="C714" s="42" t="s">
        <v>674</v>
      </c>
      <c r="D714" s="42" t="str">
        <f t="shared" si="24"/>
        <v>Transfers</v>
      </c>
      <c r="E714" s="42" t="s">
        <v>226</v>
      </c>
      <c r="F714" s="42" t="s">
        <v>238</v>
      </c>
      <c r="G714" s="44">
        <v>-10000</v>
      </c>
      <c r="H714" s="42">
        <f t="shared" si="25"/>
        <v>201507</v>
      </c>
      <c r="I714" s="42">
        <f>MATCH(D714,$O:$O,0)</f>
        <v>37</v>
      </c>
      <c r="J714" s="42" t="s">
        <v>39</v>
      </c>
      <c r="K714" s="42" t="s">
        <v>675</v>
      </c>
      <c r="L714" s="42"/>
    </row>
    <row r="715" spans="1:12" x14ac:dyDescent="0.25">
      <c r="A715" s="42" t="s">
        <v>236</v>
      </c>
      <c r="B715" s="43">
        <v>42205</v>
      </c>
      <c r="C715" s="42" t="s">
        <v>364</v>
      </c>
      <c r="D715" s="42" t="str">
        <f t="shared" si="24"/>
        <v>Paychecks/Salary</v>
      </c>
      <c r="E715" s="42" t="s">
        <v>261</v>
      </c>
      <c r="F715" s="42" t="s">
        <v>238</v>
      </c>
      <c r="G715" s="42">
        <v>100</v>
      </c>
      <c r="H715" s="42">
        <f t="shared" si="25"/>
        <v>201507</v>
      </c>
      <c r="I715" s="42">
        <f>MATCH(D715,$O:$O,0)</f>
        <v>40</v>
      </c>
      <c r="J715" s="42" t="s">
        <v>39</v>
      </c>
      <c r="K715" s="42" t="s">
        <v>676</v>
      </c>
      <c r="L715" s="42"/>
    </row>
    <row r="716" spans="1:12" x14ac:dyDescent="0.25">
      <c r="A716" s="42" t="s">
        <v>236</v>
      </c>
      <c r="B716" s="43">
        <v>42205</v>
      </c>
      <c r="C716" s="42" t="s">
        <v>677</v>
      </c>
      <c r="D716" s="42" t="str">
        <f t="shared" si="24"/>
        <v>Deposits</v>
      </c>
      <c r="E716" s="42" t="s">
        <v>271</v>
      </c>
      <c r="F716" s="42" t="s">
        <v>238</v>
      </c>
      <c r="G716" s="42">
        <v>800</v>
      </c>
      <c r="H716" s="42">
        <f t="shared" si="25"/>
        <v>201507</v>
      </c>
      <c r="I716" s="42" t="e">
        <f>MATCH(D716,$O:$O,0)</f>
        <v>#N/A</v>
      </c>
      <c r="J716" s="42" t="s">
        <v>39</v>
      </c>
      <c r="K716" s="42" t="s">
        <v>675</v>
      </c>
      <c r="L716" s="42"/>
    </row>
    <row r="717" spans="1:12" x14ac:dyDescent="0.25">
      <c r="A717" s="42" t="s">
        <v>236</v>
      </c>
      <c r="B717" s="43">
        <v>42205</v>
      </c>
      <c r="C717" s="42" t="s">
        <v>678</v>
      </c>
      <c r="D717" s="42" t="str">
        <f t="shared" si="24"/>
        <v>Transfers</v>
      </c>
      <c r="E717" s="42" t="s">
        <v>226</v>
      </c>
      <c r="F717" s="42" t="s">
        <v>238</v>
      </c>
      <c r="G717" s="44">
        <v>10000</v>
      </c>
      <c r="H717" s="42">
        <f t="shared" si="25"/>
        <v>201507</v>
      </c>
      <c r="I717" s="42">
        <f>MATCH(D717,$O:$O,0)</f>
        <v>37</v>
      </c>
      <c r="J717" s="42" t="s">
        <v>39</v>
      </c>
      <c r="K717" s="42" t="s">
        <v>676</v>
      </c>
      <c r="L717" s="42"/>
    </row>
    <row r="718" spans="1:12" x14ac:dyDescent="0.25">
      <c r="A718" s="42" t="s">
        <v>236</v>
      </c>
      <c r="B718" s="43">
        <v>42205</v>
      </c>
      <c r="C718" s="42" t="s">
        <v>364</v>
      </c>
      <c r="D718" s="42" t="str">
        <f t="shared" si="24"/>
        <v>Wedding</v>
      </c>
      <c r="E718" s="42" t="s">
        <v>6</v>
      </c>
      <c r="F718" s="42" t="s">
        <v>238</v>
      </c>
      <c r="G718" s="44">
        <v>10000</v>
      </c>
      <c r="H718" s="42">
        <f t="shared" si="25"/>
        <v>201507</v>
      </c>
      <c r="I718" s="42">
        <f>MATCH(D718,$O:$O,0)</f>
        <v>41</v>
      </c>
      <c r="J718" s="42" t="s">
        <v>39</v>
      </c>
      <c r="K718" s="42" t="s">
        <v>675</v>
      </c>
      <c r="L718" s="42"/>
    </row>
    <row r="719" spans="1:12" x14ac:dyDescent="0.25">
      <c r="A719" s="42" t="s">
        <v>236</v>
      </c>
      <c r="B719" s="43">
        <v>42205</v>
      </c>
      <c r="C719" s="42" t="s">
        <v>364</v>
      </c>
      <c r="D719" s="42" t="str">
        <f t="shared" si="24"/>
        <v>Wedding</v>
      </c>
      <c r="E719" s="42" t="s">
        <v>6</v>
      </c>
      <c r="F719" s="42" t="s">
        <v>238</v>
      </c>
      <c r="G719" s="44">
        <v>4000</v>
      </c>
      <c r="H719" s="42">
        <f t="shared" si="25"/>
        <v>201507</v>
      </c>
      <c r="I719" s="42">
        <f>MATCH(D719,$O:$O,0)</f>
        <v>41</v>
      </c>
      <c r="J719" s="42" t="s">
        <v>39</v>
      </c>
      <c r="K719" s="42" t="s">
        <v>621</v>
      </c>
      <c r="L719" s="42"/>
    </row>
    <row r="720" spans="1:12" x14ac:dyDescent="0.25">
      <c r="A720" s="42" t="s">
        <v>236</v>
      </c>
      <c r="B720" s="43">
        <v>42205</v>
      </c>
      <c r="C720" s="42" t="s">
        <v>479</v>
      </c>
      <c r="D720" s="42" t="str">
        <f t="shared" si="24"/>
        <v>D-Restaurant</v>
      </c>
      <c r="E720" s="42" t="s">
        <v>204</v>
      </c>
      <c r="F720" s="42" t="s">
        <v>238</v>
      </c>
      <c r="G720" s="42">
        <v>-70</v>
      </c>
      <c r="H720" s="42">
        <f t="shared" si="25"/>
        <v>201507</v>
      </c>
      <c r="I720" s="42">
        <f>MATCH(D720,$O:$O,0)</f>
        <v>9</v>
      </c>
      <c r="J720" s="42" t="s">
        <v>39</v>
      </c>
      <c r="K720" s="42" t="s">
        <v>630</v>
      </c>
      <c r="L720" s="42"/>
    </row>
    <row r="721" spans="1:12" x14ac:dyDescent="0.25">
      <c r="A721" s="42" t="s">
        <v>236</v>
      </c>
      <c r="B721" s="43">
        <v>42205</v>
      </c>
      <c r="C721" s="42" t="s">
        <v>679</v>
      </c>
      <c r="D721" s="42" t="str">
        <f t="shared" si="24"/>
        <v>Gifts</v>
      </c>
      <c r="E721" s="42" t="s">
        <v>40</v>
      </c>
      <c r="F721" s="42" t="s">
        <v>238</v>
      </c>
      <c r="G721" s="42">
        <v>-5</v>
      </c>
      <c r="H721" s="42">
        <f t="shared" si="25"/>
        <v>201507</v>
      </c>
      <c r="I721" s="42">
        <f>MATCH(D721,$O:$O,0)</f>
        <v>11</v>
      </c>
      <c r="J721" s="42" t="s">
        <v>39</v>
      </c>
      <c r="K721" s="42" t="s">
        <v>630</v>
      </c>
      <c r="L721" s="42"/>
    </row>
    <row r="722" spans="1:12" x14ac:dyDescent="0.25">
      <c r="A722" s="42" t="s">
        <v>236</v>
      </c>
      <c r="B722" s="43">
        <v>42205</v>
      </c>
      <c r="C722" s="42" t="s">
        <v>680</v>
      </c>
      <c r="D722" s="42" t="str">
        <f t="shared" si="24"/>
        <v>Parent Support</v>
      </c>
      <c r="E722" s="42" t="s">
        <v>61</v>
      </c>
      <c r="F722" s="42" t="s">
        <v>238</v>
      </c>
      <c r="G722" s="42">
        <v>-129.19999999999999</v>
      </c>
      <c r="H722" s="42">
        <f t="shared" si="25"/>
        <v>201507</v>
      </c>
      <c r="I722" s="42">
        <f>MATCH(D722,$O:$O,0)</f>
        <v>24</v>
      </c>
      <c r="J722" s="42" t="s">
        <v>39</v>
      </c>
      <c r="K722" s="42" t="s">
        <v>630</v>
      </c>
      <c r="L722" s="42"/>
    </row>
    <row r="723" spans="1:12" x14ac:dyDescent="0.25">
      <c r="A723" s="42" t="s">
        <v>236</v>
      </c>
      <c r="B723" s="43">
        <v>42205</v>
      </c>
      <c r="C723" s="42" t="s">
        <v>424</v>
      </c>
      <c r="D723" s="42" t="str">
        <f t="shared" si="24"/>
        <v>Gas</v>
      </c>
      <c r="E723" s="42" t="s">
        <v>311</v>
      </c>
      <c r="F723" s="42" t="s">
        <v>238</v>
      </c>
      <c r="G723" s="42">
        <v>-46.78</v>
      </c>
      <c r="H723" s="42">
        <f t="shared" si="25"/>
        <v>201507</v>
      </c>
      <c r="I723" s="42">
        <f>MATCH(D723,$O:$O,0)</f>
        <v>30</v>
      </c>
      <c r="J723" s="42" t="s">
        <v>39</v>
      </c>
      <c r="K723" s="42" t="s">
        <v>619</v>
      </c>
      <c r="L723" s="42"/>
    </row>
    <row r="724" spans="1:12" x14ac:dyDescent="0.25">
      <c r="A724" s="42" t="s">
        <v>236</v>
      </c>
      <c r="B724" s="43">
        <v>42206</v>
      </c>
      <c r="C724" s="42" t="s">
        <v>673</v>
      </c>
      <c r="D724" s="42" t="str">
        <f t="shared" si="24"/>
        <v>Utility</v>
      </c>
      <c r="E724" s="42" t="s">
        <v>19</v>
      </c>
      <c r="F724" s="42" t="s">
        <v>238</v>
      </c>
      <c r="G724" s="42">
        <v>-166.68</v>
      </c>
      <c r="H724" s="42">
        <f t="shared" si="25"/>
        <v>201507</v>
      </c>
      <c r="I724" s="42">
        <f>MATCH(D724,$O:$O,0)</f>
        <v>34</v>
      </c>
      <c r="J724" s="42" t="s">
        <v>39</v>
      </c>
      <c r="K724" s="42" t="s">
        <v>621</v>
      </c>
      <c r="L724" s="42"/>
    </row>
    <row r="725" spans="1:12" x14ac:dyDescent="0.25">
      <c r="A725" s="42" t="s">
        <v>236</v>
      </c>
      <c r="B725" s="43">
        <v>42206</v>
      </c>
      <c r="C725" s="42" t="s">
        <v>583</v>
      </c>
      <c r="D725" s="42" t="str">
        <f t="shared" si="24"/>
        <v>Grocery</v>
      </c>
      <c r="E725" s="42" t="s">
        <v>192</v>
      </c>
      <c r="F725" s="42" t="s">
        <v>238</v>
      </c>
      <c r="G725" s="42">
        <v>-31.29</v>
      </c>
      <c r="H725" s="42">
        <f t="shared" si="25"/>
        <v>201507</v>
      </c>
      <c r="I725" s="42">
        <f>MATCH(D725,$O:$O,0)</f>
        <v>12</v>
      </c>
      <c r="J725" s="42" t="s">
        <v>39</v>
      </c>
      <c r="K725" s="42" t="s">
        <v>630</v>
      </c>
      <c r="L725" s="42"/>
    </row>
    <row r="726" spans="1:12" x14ac:dyDescent="0.25">
      <c r="A726" s="42" t="s">
        <v>236</v>
      </c>
      <c r="B726" s="43">
        <v>42206</v>
      </c>
      <c r="C726" s="42" t="s">
        <v>249</v>
      </c>
      <c r="D726" s="42" t="str">
        <f t="shared" si="24"/>
        <v>Retirement Contributions</v>
      </c>
      <c r="E726" s="42" t="s">
        <v>263</v>
      </c>
      <c r="F726" s="42" t="s">
        <v>238</v>
      </c>
      <c r="G726" s="42">
        <v>731.25</v>
      </c>
      <c r="H726" s="42">
        <f t="shared" si="25"/>
        <v>201507</v>
      </c>
      <c r="I726" s="42">
        <f>MATCH(D726,$O:$O,0)</f>
        <v>39</v>
      </c>
      <c r="J726" s="42" t="s">
        <v>39</v>
      </c>
      <c r="K726" s="42" t="s">
        <v>632</v>
      </c>
      <c r="L726" s="42"/>
    </row>
    <row r="727" spans="1:12" x14ac:dyDescent="0.25">
      <c r="A727" s="42" t="s">
        <v>236</v>
      </c>
      <c r="B727" s="43">
        <v>42207</v>
      </c>
      <c r="C727" s="42" t="s">
        <v>670</v>
      </c>
      <c r="D727" s="42" t="str">
        <f t="shared" si="24"/>
        <v>D-Coffee</v>
      </c>
      <c r="E727" s="42" t="s">
        <v>215</v>
      </c>
      <c r="F727" s="42" t="s">
        <v>238</v>
      </c>
      <c r="G727" s="42">
        <v>-3.25</v>
      </c>
      <c r="H727" s="42">
        <f t="shared" si="25"/>
        <v>201507</v>
      </c>
      <c r="I727" s="42">
        <f>MATCH(D727,$O:$O,0)</f>
        <v>7</v>
      </c>
      <c r="J727" s="42" t="s">
        <v>39</v>
      </c>
      <c r="K727" s="42" t="s">
        <v>619</v>
      </c>
      <c r="L727" s="42"/>
    </row>
    <row r="728" spans="1:12" x14ac:dyDescent="0.25">
      <c r="A728" s="42" t="s">
        <v>236</v>
      </c>
      <c r="B728" s="43">
        <v>42207</v>
      </c>
      <c r="C728" s="42" t="s">
        <v>671</v>
      </c>
      <c r="D728" s="42" t="str">
        <f t="shared" si="24"/>
        <v>D-Restaurant</v>
      </c>
      <c r="E728" s="42" t="s">
        <v>204</v>
      </c>
      <c r="F728" s="42" t="s">
        <v>238</v>
      </c>
      <c r="G728" s="42">
        <v>-95.02</v>
      </c>
      <c r="H728" s="42">
        <f t="shared" si="25"/>
        <v>201507</v>
      </c>
      <c r="I728" s="42">
        <f>MATCH(D728,$O:$O,0)</f>
        <v>9</v>
      </c>
      <c r="J728" s="42" t="s">
        <v>39</v>
      </c>
      <c r="K728" s="42" t="s">
        <v>619</v>
      </c>
      <c r="L728" s="42"/>
    </row>
    <row r="729" spans="1:12" x14ac:dyDescent="0.25">
      <c r="A729" s="42" t="s">
        <v>236</v>
      </c>
      <c r="B729" s="43">
        <v>42207</v>
      </c>
      <c r="C729" s="42" t="s">
        <v>672</v>
      </c>
      <c r="D729" s="42" t="str">
        <f t="shared" si="24"/>
        <v>D-Restaurant</v>
      </c>
      <c r="E729" s="42" t="s">
        <v>204</v>
      </c>
      <c r="F729" s="42" t="s">
        <v>238</v>
      </c>
      <c r="G729" s="42">
        <v>-7.75</v>
      </c>
      <c r="H729" s="42">
        <f t="shared" si="25"/>
        <v>201507</v>
      </c>
      <c r="I729" s="42">
        <f>MATCH(D729,$O:$O,0)</f>
        <v>9</v>
      </c>
      <c r="J729" s="42" t="s">
        <v>39</v>
      </c>
      <c r="K729" s="42" t="s">
        <v>619</v>
      </c>
      <c r="L729" s="42"/>
    </row>
    <row r="730" spans="1:12" x14ac:dyDescent="0.25">
      <c r="A730" s="42" t="s">
        <v>236</v>
      </c>
      <c r="B730" s="43">
        <v>42208</v>
      </c>
      <c r="C730" s="42" t="s">
        <v>665</v>
      </c>
      <c r="D730" s="42" t="str">
        <f t="shared" si="24"/>
        <v>Transfers</v>
      </c>
      <c r="E730" s="42" t="s">
        <v>226</v>
      </c>
      <c r="F730" s="42" t="s">
        <v>238</v>
      </c>
      <c r="G730" s="42">
        <v>-0.75</v>
      </c>
      <c r="H730" s="42">
        <f t="shared" si="25"/>
        <v>201507</v>
      </c>
      <c r="I730" s="42">
        <f>MATCH(D730,$O:$O,0)</f>
        <v>37</v>
      </c>
      <c r="J730" s="42" t="s">
        <v>39</v>
      </c>
      <c r="K730" s="42" t="s">
        <v>621</v>
      </c>
      <c r="L730" s="42"/>
    </row>
    <row r="731" spans="1:12" x14ac:dyDescent="0.25">
      <c r="A731" s="42" t="s">
        <v>236</v>
      </c>
      <c r="B731" s="43">
        <v>42208</v>
      </c>
      <c r="C731" s="42" t="s">
        <v>666</v>
      </c>
      <c r="D731" s="42" t="str">
        <f t="shared" si="24"/>
        <v>Wedding</v>
      </c>
      <c r="E731" s="42" t="s">
        <v>6</v>
      </c>
      <c r="F731" s="42" t="s">
        <v>238</v>
      </c>
      <c r="G731" s="42">
        <v>-31.25</v>
      </c>
      <c r="H731" s="42">
        <f t="shared" si="25"/>
        <v>201507</v>
      </c>
      <c r="I731" s="42">
        <f>MATCH(D731,$O:$O,0)</f>
        <v>41</v>
      </c>
      <c r="J731" s="42" t="s">
        <v>39</v>
      </c>
      <c r="K731" s="42" t="s">
        <v>621</v>
      </c>
      <c r="L731" s="42"/>
    </row>
    <row r="732" spans="1:12" x14ac:dyDescent="0.25">
      <c r="A732" s="42" t="s">
        <v>236</v>
      </c>
      <c r="B732" s="43">
        <v>42208</v>
      </c>
      <c r="C732" s="42" t="s">
        <v>667</v>
      </c>
      <c r="D732" s="42" t="str">
        <f t="shared" si="24"/>
        <v>Parent Support</v>
      </c>
      <c r="E732" s="42" t="s">
        <v>61</v>
      </c>
      <c r="F732" s="42" t="s">
        <v>238</v>
      </c>
      <c r="G732" s="42">
        <v>-7.4</v>
      </c>
      <c r="H732" s="42">
        <f t="shared" si="25"/>
        <v>201507</v>
      </c>
      <c r="I732" s="42">
        <f>MATCH(D732,$O:$O,0)</f>
        <v>24</v>
      </c>
      <c r="J732" s="42" t="s">
        <v>39</v>
      </c>
      <c r="K732" s="42" t="s">
        <v>619</v>
      </c>
      <c r="L732" s="42"/>
    </row>
    <row r="733" spans="1:12" x14ac:dyDescent="0.25">
      <c r="A733" s="42" t="s">
        <v>236</v>
      </c>
      <c r="B733" s="43">
        <v>42208</v>
      </c>
      <c r="C733" s="42" t="s">
        <v>668</v>
      </c>
      <c r="D733" s="42" t="str">
        <f t="shared" si="24"/>
        <v>Gifts</v>
      </c>
      <c r="E733" s="42" t="s">
        <v>40</v>
      </c>
      <c r="F733" s="42" t="s">
        <v>238</v>
      </c>
      <c r="G733" s="42">
        <v>-49.95</v>
      </c>
      <c r="H733" s="42">
        <f t="shared" si="25"/>
        <v>201507</v>
      </c>
      <c r="I733" s="42">
        <f>MATCH(D733,$O:$O,0)</f>
        <v>11</v>
      </c>
      <c r="J733" s="42" t="s">
        <v>39</v>
      </c>
      <c r="K733" s="42" t="s">
        <v>619</v>
      </c>
      <c r="L733" s="42"/>
    </row>
    <row r="734" spans="1:12" x14ac:dyDescent="0.25">
      <c r="A734" s="42" t="s">
        <v>236</v>
      </c>
      <c r="B734" s="43">
        <v>42208</v>
      </c>
      <c r="C734" s="42" t="s">
        <v>669</v>
      </c>
      <c r="D734" s="42" t="str">
        <f t="shared" si="24"/>
        <v>D-Restaurant</v>
      </c>
      <c r="E734" s="42" t="s">
        <v>204</v>
      </c>
      <c r="F734" s="42" t="s">
        <v>238</v>
      </c>
      <c r="G734" s="42">
        <v>-8.7899999999999991</v>
      </c>
      <c r="H734" s="42">
        <f t="shared" si="25"/>
        <v>201507</v>
      </c>
      <c r="I734" s="42">
        <f>MATCH(D734,$O:$O,0)</f>
        <v>9</v>
      </c>
      <c r="J734" s="42" t="s">
        <v>39</v>
      </c>
      <c r="K734" s="42" t="s">
        <v>619</v>
      </c>
      <c r="L734" s="42"/>
    </row>
    <row r="735" spans="1:12" x14ac:dyDescent="0.25">
      <c r="A735" s="42" t="s">
        <v>236</v>
      </c>
      <c r="B735" s="43">
        <v>42209</v>
      </c>
      <c r="C735" s="42" t="s">
        <v>661</v>
      </c>
      <c r="D735" s="42" t="str">
        <f t="shared" si="24"/>
        <v>Deposits</v>
      </c>
      <c r="E735" s="42" t="s">
        <v>271</v>
      </c>
      <c r="F735" s="42" t="s">
        <v>238</v>
      </c>
      <c r="G735" s="42">
        <v>0.75</v>
      </c>
      <c r="H735" s="42">
        <f t="shared" si="25"/>
        <v>201507</v>
      </c>
      <c r="I735" s="42" t="e">
        <f>MATCH(D735,$O:$O,0)</f>
        <v>#N/A</v>
      </c>
      <c r="J735" s="42" t="s">
        <v>39</v>
      </c>
      <c r="K735" s="42" t="s">
        <v>628</v>
      </c>
      <c r="L735" s="42"/>
    </row>
    <row r="736" spans="1:12" x14ac:dyDescent="0.25">
      <c r="A736" s="42" t="s">
        <v>236</v>
      </c>
      <c r="B736" s="43">
        <v>42209</v>
      </c>
      <c r="C736" s="42" t="s">
        <v>662</v>
      </c>
      <c r="D736" s="42" t="str">
        <f t="shared" si="24"/>
        <v>D-Restaurant</v>
      </c>
      <c r="E736" s="42" t="s">
        <v>204</v>
      </c>
      <c r="F736" s="42" t="s">
        <v>238</v>
      </c>
      <c r="G736" s="42">
        <v>-7.88</v>
      </c>
      <c r="H736" s="42">
        <f t="shared" si="25"/>
        <v>201507</v>
      </c>
      <c r="I736" s="42">
        <f>MATCH(D736,$O:$O,0)</f>
        <v>9</v>
      </c>
      <c r="J736" s="42" t="s">
        <v>39</v>
      </c>
      <c r="K736" s="42" t="s">
        <v>630</v>
      </c>
      <c r="L736" s="42"/>
    </row>
    <row r="737" spans="1:12" x14ac:dyDescent="0.25">
      <c r="A737" s="42" t="s">
        <v>236</v>
      </c>
      <c r="B737" s="43">
        <v>42209</v>
      </c>
      <c r="C737" s="42" t="s">
        <v>663</v>
      </c>
      <c r="D737" s="42" t="str">
        <f t="shared" si="24"/>
        <v>Wedding</v>
      </c>
      <c r="E737" s="42" t="s">
        <v>6</v>
      </c>
      <c r="F737" s="42" t="s">
        <v>238</v>
      </c>
      <c r="G737" s="42">
        <v>-10</v>
      </c>
      <c r="H737" s="42">
        <f t="shared" si="25"/>
        <v>201507</v>
      </c>
      <c r="I737" s="42">
        <f>MATCH(D737,$O:$O,0)</f>
        <v>41</v>
      </c>
      <c r="J737" s="42" t="s">
        <v>39</v>
      </c>
      <c r="K737" s="42" t="s">
        <v>630</v>
      </c>
      <c r="L737" s="42"/>
    </row>
    <row r="738" spans="1:12" x14ac:dyDescent="0.25">
      <c r="A738" s="42" t="s">
        <v>236</v>
      </c>
      <c r="B738" s="43">
        <v>42209</v>
      </c>
      <c r="C738" s="42" t="s">
        <v>567</v>
      </c>
      <c r="D738" s="42" t="str">
        <f t="shared" si="24"/>
        <v>Wedding</v>
      </c>
      <c r="E738" s="42" t="s">
        <v>6</v>
      </c>
      <c r="F738" s="42" t="s">
        <v>238</v>
      </c>
      <c r="G738" s="42">
        <v>-1.2</v>
      </c>
      <c r="H738" s="42">
        <f t="shared" si="25"/>
        <v>201507</v>
      </c>
      <c r="I738" s="42">
        <f>MATCH(D738,$O:$O,0)</f>
        <v>41</v>
      </c>
      <c r="J738" s="42" t="s">
        <v>39</v>
      </c>
      <c r="K738" s="42" t="s">
        <v>630</v>
      </c>
      <c r="L738" s="42"/>
    </row>
    <row r="739" spans="1:12" x14ac:dyDescent="0.25">
      <c r="A739" s="42" t="s">
        <v>236</v>
      </c>
      <c r="B739" s="43">
        <v>42209</v>
      </c>
      <c r="C739" s="42" t="s">
        <v>384</v>
      </c>
      <c r="D739" s="42" t="str">
        <f t="shared" si="24"/>
        <v>Grocery</v>
      </c>
      <c r="E739" s="42" t="s">
        <v>192</v>
      </c>
      <c r="F739" s="42" t="s">
        <v>238</v>
      </c>
      <c r="G739" s="42">
        <v>31.55</v>
      </c>
      <c r="H739" s="42">
        <f t="shared" si="25"/>
        <v>201507</v>
      </c>
      <c r="I739" s="42">
        <f>MATCH(D739,$O:$O,0)</f>
        <v>12</v>
      </c>
      <c r="J739" s="42" t="s">
        <v>39</v>
      </c>
      <c r="K739" s="42" t="s">
        <v>619</v>
      </c>
      <c r="L739" s="42"/>
    </row>
    <row r="740" spans="1:12" x14ac:dyDescent="0.25">
      <c r="A740" s="42" t="s">
        <v>236</v>
      </c>
      <c r="B740" s="43">
        <v>42209</v>
      </c>
      <c r="C740" s="42" t="s">
        <v>664</v>
      </c>
      <c r="D740" s="42" t="str">
        <f t="shared" ref="D740:D803" si="26">IF(ISNA(VLOOKUP(E740,$L$2:$M$26,2,FALSE)),E740,VLOOKUP(E740,$L$2:$M$26,2,FALSE))</f>
        <v>Cell Phone</v>
      </c>
      <c r="E740" s="42" t="s">
        <v>224</v>
      </c>
      <c r="F740" s="42" t="s">
        <v>238</v>
      </c>
      <c r="G740" s="42">
        <v>-44.25</v>
      </c>
      <c r="H740" s="42">
        <f t="shared" si="25"/>
        <v>201507</v>
      </c>
      <c r="I740" s="42">
        <f>MATCH(D740,$O:$O,0)</f>
        <v>4</v>
      </c>
      <c r="J740" s="42" t="s">
        <v>39</v>
      </c>
      <c r="K740" s="42" t="s">
        <v>619</v>
      </c>
      <c r="L740" s="42" t="s">
        <v>709</v>
      </c>
    </row>
    <row r="741" spans="1:12" x14ac:dyDescent="0.25">
      <c r="A741" s="42" t="s">
        <v>236</v>
      </c>
      <c r="B741" s="43">
        <v>42209</v>
      </c>
      <c r="C741" s="42" t="s">
        <v>384</v>
      </c>
      <c r="D741" s="42" t="str">
        <f t="shared" si="26"/>
        <v>Grocery</v>
      </c>
      <c r="E741" s="42" t="s">
        <v>385</v>
      </c>
      <c r="F741" s="42" t="s">
        <v>238</v>
      </c>
      <c r="G741" s="42">
        <v>-42.99</v>
      </c>
      <c r="H741" s="42">
        <f t="shared" si="25"/>
        <v>201507</v>
      </c>
      <c r="I741" s="42">
        <f>MATCH(D741,$O:$O,0)</f>
        <v>12</v>
      </c>
      <c r="J741" s="42" t="s">
        <v>39</v>
      </c>
      <c r="K741" s="42" t="s">
        <v>619</v>
      </c>
      <c r="L741" s="42" t="s">
        <v>205</v>
      </c>
    </row>
    <row r="742" spans="1:12" x14ac:dyDescent="0.25">
      <c r="A742" s="42" t="s">
        <v>236</v>
      </c>
      <c r="B742" s="43">
        <v>42210</v>
      </c>
      <c r="C742" s="42" t="s">
        <v>647</v>
      </c>
      <c r="D742" s="42" t="str">
        <f t="shared" si="26"/>
        <v>Parent Support</v>
      </c>
      <c r="E742" s="42" t="s">
        <v>61</v>
      </c>
      <c r="F742" s="42" t="s">
        <v>238</v>
      </c>
      <c r="G742" s="42">
        <v>17.37</v>
      </c>
      <c r="H742" s="42">
        <f t="shared" si="25"/>
        <v>201507</v>
      </c>
      <c r="I742" s="42">
        <f>MATCH(D742,$O:$O,0)</f>
        <v>24</v>
      </c>
      <c r="J742" s="42" t="s">
        <v>39</v>
      </c>
      <c r="K742" s="42" t="s">
        <v>630</v>
      </c>
      <c r="L742" s="42" t="s">
        <v>310</v>
      </c>
    </row>
    <row r="743" spans="1:12" x14ac:dyDescent="0.25">
      <c r="A743" s="42" t="s">
        <v>236</v>
      </c>
      <c r="B743" s="43">
        <v>42210</v>
      </c>
      <c r="C743" s="42" t="s">
        <v>658</v>
      </c>
      <c r="D743" s="42" t="str">
        <f t="shared" si="26"/>
        <v>Parent Support</v>
      </c>
      <c r="E743" s="42" t="s">
        <v>61</v>
      </c>
      <c r="F743" s="42" t="s">
        <v>238</v>
      </c>
      <c r="G743" s="42">
        <v>-159.09</v>
      </c>
      <c r="H743" s="42">
        <f t="shared" si="25"/>
        <v>201507</v>
      </c>
      <c r="I743" s="42">
        <f>MATCH(D743,$O:$O,0)</f>
        <v>24</v>
      </c>
      <c r="J743" s="42" t="s">
        <v>39</v>
      </c>
      <c r="K743" s="42" t="s">
        <v>619</v>
      </c>
      <c r="L743" s="42" t="s">
        <v>270</v>
      </c>
    </row>
    <row r="744" spans="1:12" x14ac:dyDescent="0.25">
      <c r="A744" s="42" t="s">
        <v>236</v>
      </c>
      <c r="B744" s="43">
        <v>42210</v>
      </c>
      <c r="C744" s="42" t="s">
        <v>659</v>
      </c>
      <c r="D744" s="42" t="str">
        <f t="shared" si="26"/>
        <v>Parent Support</v>
      </c>
      <c r="E744" s="42" t="s">
        <v>61</v>
      </c>
      <c r="F744" s="42" t="s">
        <v>238</v>
      </c>
      <c r="G744" s="42">
        <v>-8.3800000000000008</v>
      </c>
      <c r="H744" s="42">
        <f t="shared" si="25"/>
        <v>201507</v>
      </c>
      <c r="I744" s="42">
        <f>MATCH(D744,$O:$O,0)</f>
        <v>24</v>
      </c>
      <c r="J744" s="42" t="s">
        <v>39</v>
      </c>
      <c r="K744" s="42" t="s">
        <v>619</v>
      </c>
      <c r="L744" s="42" t="s">
        <v>252</v>
      </c>
    </row>
    <row r="745" spans="1:12" x14ac:dyDescent="0.25">
      <c r="A745" s="42" t="s">
        <v>236</v>
      </c>
      <c r="B745" s="43">
        <v>42210</v>
      </c>
      <c r="C745" s="42" t="s">
        <v>660</v>
      </c>
      <c r="D745" s="42" t="str">
        <f t="shared" si="26"/>
        <v>Movies/Software/Online Service</v>
      </c>
      <c r="E745" s="42" t="s">
        <v>167</v>
      </c>
      <c r="F745" s="42" t="s">
        <v>238</v>
      </c>
      <c r="G745" s="42">
        <v>-2.99</v>
      </c>
      <c r="H745" s="42">
        <f t="shared" si="25"/>
        <v>201507</v>
      </c>
      <c r="I745" s="42">
        <f>MATCH(D745,$O:$O,0)</f>
        <v>22</v>
      </c>
      <c r="J745" s="42" t="s">
        <v>39</v>
      </c>
      <c r="K745" s="42" t="s">
        <v>619</v>
      </c>
      <c r="L745" s="42" t="s">
        <v>713</v>
      </c>
    </row>
    <row r="746" spans="1:12" x14ac:dyDescent="0.25">
      <c r="A746" s="42" t="s">
        <v>236</v>
      </c>
      <c r="B746" s="43">
        <v>42211</v>
      </c>
      <c r="C746" s="42" t="s">
        <v>657</v>
      </c>
      <c r="D746" s="42" t="str">
        <f t="shared" si="26"/>
        <v>Parent Support</v>
      </c>
      <c r="E746" s="42" t="s">
        <v>61</v>
      </c>
      <c r="F746" s="42" t="s">
        <v>238</v>
      </c>
      <c r="G746" s="42">
        <v>-9.02</v>
      </c>
      <c r="H746" s="42">
        <f t="shared" si="25"/>
        <v>201507</v>
      </c>
      <c r="I746" s="42">
        <f>MATCH(D746,$O:$O,0)</f>
        <v>24</v>
      </c>
      <c r="J746" s="42" t="s">
        <v>39</v>
      </c>
      <c r="K746" s="42" t="s">
        <v>619</v>
      </c>
      <c r="L746" s="42" t="s">
        <v>713</v>
      </c>
    </row>
    <row r="747" spans="1:12" x14ac:dyDescent="0.25">
      <c r="A747" s="42" t="s">
        <v>236</v>
      </c>
      <c r="B747" s="43">
        <v>42212</v>
      </c>
      <c r="C747" s="42" t="s">
        <v>653</v>
      </c>
      <c r="D747" s="42" t="str">
        <f t="shared" si="26"/>
        <v>z-New Asset</v>
      </c>
      <c r="E747" s="42" t="s">
        <v>121</v>
      </c>
      <c r="F747" s="42" t="s">
        <v>238</v>
      </c>
      <c r="G747" s="44">
        <v>-3000</v>
      </c>
      <c r="H747" s="42">
        <f t="shared" si="25"/>
        <v>201507</v>
      </c>
      <c r="I747" s="42">
        <f>MATCH(D747,$O:$O,0)</f>
        <v>36</v>
      </c>
      <c r="J747" s="42" t="s">
        <v>39</v>
      </c>
      <c r="K747" s="42" t="s">
        <v>630</v>
      </c>
      <c r="L747" s="42"/>
    </row>
    <row r="748" spans="1:12" x14ac:dyDescent="0.25">
      <c r="A748" s="42" t="s">
        <v>236</v>
      </c>
      <c r="B748" s="43">
        <v>42212</v>
      </c>
      <c r="C748" s="42" t="s">
        <v>654</v>
      </c>
      <c r="D748" s="42">
        <f t="shared" si="26"/>
        <v>0</v>
      </c>
      <c r="E748" s="42"/>
      <c r="F748" s="42" t="s">
        <v>238</v>
      </c>
      <c r="G748" s="42">
        <v>-90</v>
      </c>
      <c r="H748" s="42">
        <f t="shared" si="25"/>
        <v>201507</v>
      </c>
      <c r="I748" s="42" t="e">
        <f>MATCH(D748,$O:$O,0)</f>
        <v>#N/A</v>
      </c>
      <c r="J748" s="42" t="s">
        <v>39</v>
      </c>
      <c r="K748" s="42" t="s">
        <v>630</v>
      </c>
      <c r="L748" s="42" t="s">
        <v>715</v>
      </c>
    </row>
    <row r="749" spans="1:12" x14ac:dyDescent="0.25">
      <c r="A749" s="42" t="s">
        <v>236</v>
      </c>
      <c r="B749" s="43">
        <v>42212</v>
      </c>
      <c r="C749" s="42" t="s">
        <v>655</v>
      </c>
      <c r="D749" s="42" t="str">
        <f t="shared" si="26"/>
        <v>Public Transit</v>
      </c>
      <c r="E749" s="42" t="s">
        <v>90</v>
      </c>
      <c r="F749" s="42" t="s">
        <v>238</v>
      </c>
      <c r="G749" s="42">
        <v>-2</v>
      </c>
      <c r="H749" s="42">
        <f t="shared" si="25"/>
        <v>201507</v>
      </c>
      <c r="I749" s="42">
        <f>MATCH(D749,$O:$O,0)</f>
        <v>25</v>
      </c>
      <c r="J749" s="42" t="s">
        <v>39</v>
      </c>
      <c r="K749" s="42" t="s">
        <v>630</v>
      </c>
      <c r="L749" s="42"/>
    </row>
    <row r="750" spans="1:12" x14ac:dyDescent="0.25">
      <c r="A750" s="42" t="s">
        <v>236</v>
      </c>
      <c r="B750" s="43">
        <v>42212</v>
      </c>
      <c r="C750" s="42" t="s">
        <v>656</v>
      </c>
      <c r="D750" s="42" t="str">
        <f t="shared" si="26"/>
        <v>D-Coffee</v>
      </c>
      <c r="E750" s="42" t="s">
        <v>215</v>
      </c>
      <c r="F750" s="42" t="s">
        <v>238</v>
      </c>
      <c r="G750" s="42">
        <v>-7.25</v>
      </c>
      <c r="H750" s="42">
        <f t="shared" si="25"/>
        <v>201507</v>
      </c>
      <c r="I750" s="42">
        <f>MATCH(D750,$O:$O,0)</f>
        <v>7</v>
      </c>
      <c r="J750" s="42" t="s">
        <v>39</v>
      </c>
      <c r="K750" s="42" t="s">
        <v>630</v>
      </c>
      <c r="L750" s="42" t="s">
        <v>225</v>
      </c>
    </row>
    <row r="751" spans="1:12" x14ac:dyDescent="0.25">
      <c r="A751" s="42" t="s">
        <v>236</v>
      </c>
      <c r="B751" s="43">
        <v>42212</v>
      </c>
      <c r="C751" s="42" t="s">
        <v>438</v>
      </c>
      <c r="D751" s="42" t="str">
        <f t="shared" si="26"/>
        <v>Cell Phone</v>
      </c>
      <c r="E751" s="42" t="s">
        <v>224</v>
      </c>
      <c r="F751" s="42" t="s">
        <v>238</v>
      </c>
      <c r="G751" s="42">
        <v>-144.72999999999999</v>
      </c>
      <c r="H751" s="42">
        <f t="shared" si="25"/>
        <v>201507</v>
      </c>
      <c r="I751" s="42">
        <f>MATCH(D751,$O:$O,0)</f>
        <v>4</v>
      </c>
      <c r="J751" s="42" t="s">
        <v>39</v>
      </c>
      <c r="K751" s="42" t="s">
        <v>619</v>
      </c>
      <c r="L751" s="42" t="s">
        <v>719</v>
      </c>
    </row>
    <row r="752" spans="1:12" x14ac:dyDescent="0.25">
      <c r="A752" s="42" t="s">
        <v>236</v>
      </c>
      <c r="B752" s="43">
        <v>42212</v>
      </c>
      <c r="C752" s="42" t="s">
        <v>425</v>
      </c>
      <c r="D752" s="42" t="str">
        <f t="shared" si="26"/>
        <v>Grocery</v>
      </c>
      <c r="E752" s="42" t="s">
        <v>192</v>
      </c>
      <c r="F752" s="42" t="s">
        <v>238</v>
      </c>
      <c r="G752" s="42">
        <v>-20.39</v>
      </c>
      <c r="H752" s="42">
        <f t="shared" si="25"/>
        <v>201507</v>
      </c>
      <c r="I752" s="42">
        <f>MATCH(D752,$O:$O,0)</f>
        <v>12</v>
      </c>
      <c r="J752" s="42" t="s">
        <v>39</v>
      </c>
      <c r="K752" s="42" t="s">
        <v>619</v>
      </c>
      <c r="L752" s="42" t="s">
        <v>241</v>
      </c>
    </row>
    <row r="753" spans="1:12" x14ac:dyDescent="0.25">
      <c r="A753" s="42" t="s">
        <v>236</v>
      </c>
      <c r="B753" s="43">
        <v>42214</v>
      </c>
      <c r="C753" s="42" t="s">
        <v>651</v>
      </c>
      <c r="D753" s="42" t="str">
        <f t="shared" si="26"/>
        <v>Parent Support</v>
      </c>
      <c r="E753" s="42" t="s">
        <v>61</v>
      </c>
      <c r="F753" s="42" t="s">
        <v>238</v>
      </c>
      <c r="G753" s="42">
        <v>-450</v>
      </c>
      <c r="H753" s="42">
        <f t="shared" si="25"/>
        <v>201507</v>
      </c>
      <c r="I753" s="42">
        <f>MATCH(D753,$O:$O,0)</f>
        <v>24</v>
      </c>
      <c r="J753" s="42" t="s">
        <v>39</v>
      </c>
      <c r="K753" s="42" t="s">
        <v>649</v>
      </c>
      <c r="L753" s="42" t="s">
        <v>248</v>
      </c>
    </row>
    <row r="754" spans="1:12" x14ac:dyDescent="0.25">
      <c r="A754" s="42" t="s">
        <v>236</v>
      </c>
      <c r="B754" s="43">
        <v>42214</v>
      </c>
      <c r="C754" s="42" t="s">
        <v>652</v>
      </c>
      <c r="D754" s="42" t="str">
        <f t="shared" si="26"/>
        <v>Gifts</v>
      </c>
      <c r="E754" s="42" t="s">
        <v>40</v>
      </c>
      <c r="F754" s="42" t="s">
        <v>238</v>
      </c>
      <c r="G754" s="42">
        <v>-44.31</v>
      </c>
      <c r="H754" s="42">
        <f t="shared" si="25"/>
        <v>201507</v>
      </c>
      <c r="I754" s="42">
        <f>MATCH(D754,$O:$O,0)</f>
        <v>11</v>
      </c>
      <c r="J754" s="42" t="s">
        <v>39</v>
      </c>
      <c r="K754" s="42" t="s">
        <v>649</v>
      </c>
      <c r="L754" s="42" t="s">
        <v>722</v>
      </c>
    </row>
    <row r="755" spans="1:12" x14ac:dyDescent="0.25">
      <c r="A755" s="42" t="s">
        <v>236</v>
      </c>
      <c r="B755" s="43">
        <v>42216</v>
      </c>
      <c r="C755" s="42" t="s">
        <v>643</v>
      </c>
      <c r="D755" s="42" t="str">
        <f t="shared" si="26"/>
        <v>D-Restaurant</v>
      </c>
      <c r="E755" s="42" t="s">
        <v>204</v>
      </c>
      <c r="F755" s="42" t="s">
        <v>238</v>
      </c>
      <c r="G755" s="42">
        <v>-15</v>
      </c>
      <c r="H755" s="42">
        <f t="shared" si="25"/>
        <v>201507</v>
      </c>
      <c r="I755" s="42">
        <f>MATCH(D755,$O:$O,0)</f>
        <v>9</v>
      </c>
      <c r="J755" s="42" t="s">
        <v>39</v>
      </c>
      <c r="K755" s="42" t="s">
        <v>621</v>
      </c>
      <c r="L755" s="42"/>
    </row>
    <row r="756" spans="1:12" x14ac:dyDescent="0.25">
      <c r="A756" s="42" t="s">
        <v>236</v>
      </c>
      <c r="B756" s="43">
        <v>42216</v>
      </c>
      <c r="C756" s="42" t="s">
        <v>644</v>
      </c>
      <c r="D756" s="42" t="str">
        <f t="shared" si="26"/>
        <v>Paychecks/Salary</v>
      </c>
      <c r="E756" s="42" t="s">
        <v>375</v>
      </c>
      <c r="F756" s="42" t="s">
        <v>238</v>
      </c>
      <c r="G756" s="44">
        <v>3091.74</v>
      </c>
      <c r="H756" s="42">
        <f t="shared" si="25"/>
        <v>201507</v>
      </c>
      <c r="I756" s="42">
        <f>MATCH(D756,$O:$O,0)</f>
        <v>40</v>
      </c>
      <c r="J756" s="42" t="s">
        <v>39</v>
      </c>
      <c r="K756" s="42" t="s">
        <v>621</v>
      </c>
      <c r="L756" s="42" t="s">
        <v>723</v>
      </c>
    </row>
    <row r="757" spans="1:12" x14ac:dyDescent="0.25">
      <c r="A757" s="42" t="s">
        <v>236</v>
      </c>
      <c r="B757" s="43">
        <v>42216</v>
      </c>
      <c r="C757" s="42" t="s">
        <v>645</v>
      </c>
      <c r="D757" s="42" t="str">
        <f t="shared" si="26"/>
        <v>Books</v>
      </c>
      <c r="E757" s="42" t="s">
        <v>42</v>
      </c>
      <c r="F757" s="42" t="s">
        <v>238</v>
      </c>
      <c r="G757" s="42">
        <v>-9.99</v>
      </c>
      <c r="H757" s="42">
        <f t="shared" si="25"/>
        <v>201507</v>
      </c>
      <c r="I757" s="42">
        <f>MATCH(D757,$O:$O,0)</f>
        <v>2</v>
      </c>
      <c r="J757" s="42" t="s">
        <v>39</v>
      </c>
      <c r="K757" s="42" t="s">
        <v>619</v>
      </c>
      <c r="L757" s="42" t="s">
        <v>270</v>
      </c>
    </row>
    <row r="758" spans="1:12" x14ac:dyDescent="0.25">
      <c r="A758" s="42" t="s">
        <v>236</v>
      </c>
      <c r="B758" s="43">
        <v>42216</v>
      </c>
      <c r="C758" s="42" t="s">
        <v>646</v>
      </c>
      <c r="D758" s="42" t="str">
        <f t="shared" si="26"/>
        <v>Cell Phone</v>
      </c>
      <c r="E758" s="42" t="s">
        <v>224</v>
      </c>
      <c r="F758" s="42" t="s">
        <v>238</v>
      </c>
      <c r="G758" s="42">
        <v>-160.68</v>
      </c>
      <c r="H758" s="42">
        <f t="shared" si="25"/>
        <v>201507</v>
      </c>
      <c r="I758" s="42">
        <f>MATCH(D758,$O:$O,0)</f>
        <v>4</v>
      </c>
      <c r="J758" s="42" t="s">
        <v>39</v>
      </c>
      <c r="K758" s="42" t="s">
        <v>630</v>
      </c>
      <c r="L758" s="42" t="s">
        <v>223</v>
      </c>
    </row>
    <row r="759" spans="1:12" x14ac:dyDescent="0.25">
      <c r="A759" s="42" t="s">
        <v>236</v>
      </c>
      <c r="B759" s="43">
        <v>42216</v>
      </c>
      <c r="C759" s="42" t="s">
        <v>647</v>
      </c>
      <c r="D759" s="42" t="str">
        <f t="shared" si="26"/>
        <v>Parent Support</v>
      </c>
      <c r="E759" s="42" t="s">
        <v>61</v>
      </c>
      <c r="F759" s="42" t="s">
        <v>238</v>
      </c>
      <c r="G759" s="42">
        <v>12.65</v>
      </c>
      <c r="H759" s="42">
        <f t="shared" si="25"/>
        <v>201507</v>
      </c>
      <c r="I759" s="42">
        <f>MATCH(D759,$O:$O,0)</f>
        <v>24</v>
      </c>
      <c r="J759" s="42" t="s">
        <v>39</v>
      </c>
      <c r="K759" s="42" t="s">
        <v>630</v>
      </c>
      <c r="L759" s="42" t="s">
        <v>193</v>
      </c>
    </row>
    <row r="760" spans="1:12" x14ac:dyDescent="0.25">
      <c r="A760" s="42" t="s">
        <v>236</v>
      </c>
      <c r="B760" s="43">
        <v>42216</v>
      </c>
      <c r="C760" s="42" t="s">
        <v>648</v>
      </c>
      <c r="D760" s="42" t="str">
        <f t="shared" si="26"/>
        <v>Grocery</v>
      </c>
      <c r="E760" s="42" t="s">
        <v>192</v>
      </c>
      <c r="F760" s="42" t="s">
        <v>238</v>
      </c>
      <c r="G760" s="42">
        <v>-4.3499999999999996</v>
      </c>
      <c r="H760" s="42">
        <f t="shared" si="25"/>
        <v>201507</v>
      </c>
      <c r="I760" s="42">
        <f>MATCH(D760,$O:$O,0)</f>
        <v>12</v>
      </c>
      <c r="J760" s="42" t="s">
        <v>39</v>
      </c>
      <c r="K760" s="42" t="s">
        <v>649</v>
      </c>
      <c r="L760" s="42" t="s">
        <v>310</v>
      </c>
    </row>
    <row r="761" spans="1:12" x14ac:dyDescent="0.25">
      <c r="A761" s="42" t="s">
        <v>236</v>
      </c>
      <c r="B761" s="43">
        <v>42216</v>
      </c>
      <c r="C761" s="42" t="s">
        <v>565</v>
      </c>
      <c r="D761" s="42" t="str">
        <f t="shared" si="26"/>
        <v>Grocery</v>
      </c>
      <c r="E761" s="42" t="s">
        <v>192</v>
      </c>
      <c r="F761" s="42" t="s">
        <v>238</v>
      </c>
      <c r="G761" s="42">
        <v>-16.670000000000002</v>
      </c>
      <c r="H761" s="42">
        <f t="shared" si="25"/>
        <v>201507</v>
      </c>
      <c r="I761" s="42">
        <f>MATCH(D761,$O:$O,0)</f>
        <v>12</v>
      </c>
      <c r="J761" s="42" t="s">
        <v>39</v>
      </c>
      <c r="K761" s="42" t="s">
        <v>649</v>
      </c>
      <c r="L761" s="42" t="s">
        <v>715</v>
      </c>
    </row>
    <row r="762" spans="1:12" x14ac:dyDescent="0.25">
      <c r="A762" s="42" t="s">
        <v>236</v>
      </c>
      <c r="B762" s="43">
        <v>42216</v>
      </c>
      <c r="C762" s="42" t="s">
        <v>650</v>
      </c>
      <c r="D762" s="42" t="str">
        <f t="shared" si="26"/>
        <v>D-Coffee</v>
      </c>
      <c r="E762" s="42" t="s">
        <v>215</v>
      </c>
      <c r="F762" s="42" t="s">
        <v>238</v>
      </c>
      <c r="G762" s="42">
        <v>-25</v>
      </c>
      <c r="H762" s="42">
        <f t="shared" si="25"/>
        <v>201507</v>
      </c>
      <c r="I762" s="42">
        <f>MATCH(D762,$O:$O,0)</f>
        <v>7</v>
      </c>
      <c r="J762" s="42" t="s">
        <v>39</v>
      </c>
      <c r="K762" s="42" t="s">
        <v>649</v>
      </c>
      <c r="L762" s="42" t="s">
        <v>727</v>
      </c>
    </row>
    <row r="763" spans="1:12" x14ac:dyDescent="0.25">
      <c r="A763" s="42" t="s">
        <v>236</v>
      </c>
      <c r="B763" s="43">
        <v>42217</v>
      </c>
      <c r="C763" s="42" t="s">
        <v>384</v>
      </c>
      <c r="D763" s="42" t="str">
        <f t="shared" si="26"/>
        <v>Grocery</v>
      </c>
      <c r="E763" s="42" t="s">
        <v>385</v>
      </c>
      <c r="F763" s="42" t="s">
        <v>238</v>
      </c>
      <c r="G763" s="42">
        <v>-56.34</v>
      </c>
      <c r="H763" s="42">
        <f t="shared" si="25"/>
        <v>201508</v>
      </c>
      <c r="I763" s="42">
        <f>MATCH(D763,$O:$O,0)</f>
        <v>12</v>
      </c>
      <c r="J763" s="42" t="s">
        <v>39</v>
      </c>
      <c r="K763" s="42" t="s">
        <v>619</v>
      </c>
      <c r="L763" s="42" t="s">
        <v>727</v>
      </c>
    </row>
    <row r="764" spans="1:12" x14ac:dyDescent="0.25">
      <c r="A764" s="42" t="s">
        <v>236</v>
      </c>
      <c r="B764" s="43">
        <v>42217</v>
      </c>
      <c r="C764" s="42" t="s">
        <v>435</v>
      </c>
      <c r="D764" s="42" t="str">
        <f t="shared" si="26"/>
        <v>Credit Card Payments</v>
      </c>
      <c r="E764" s="42" t="s">
        <v>242</v>
      </c>
      <c r="F764" s="42" t="s">
        <v>238</v>
      </c>
      <c r="G764" s="42">
        <v>868.37</v>
      </c>
      <c r="H764" s="42">
        <f t="shared" si="25"/>
        <v>201508</v>
      </c>
      <c r="I764" s="42">
        <f>MATCH(D764,$O:$O,0)</f>
        <v>38</v>
      </c>
      <c r="J764" s="42" t="s">
        <v>39</v>
      </c>
      <c r="K764" s="42" t="s">
        <v>619</v>
      </c>
      <c r="L764" s="42"/>
    </row>
    <row r="765" spans="1:12" x14ac:dyDescent="0.25">
      <c r="A765" s="42" t="s">
        <v>236</v>
      </c>
      <c r="B765" s="43">
        <v>42217</v>
      </c>
      <c r="C765" s="42" t="s">
        <v>793</v>
      </c>
      <c r="D765" s="42" t="str">
        <f t="shared" si="26"/>
        <v>D-Travel</v>
      </c>
      <c r="E765" s="42" t="s">
        <v>161</v>
      </c>
      <c r="F765" s="42" t="s">
        <v>238</v>
      </c>
      <c r="G765" s="42">
        <v>-40.1</v>
      </c>
      <c r="H765" s="42">
        <f t="shared" si="25"/>
        <v>201508</v>
      </c>
      <c r="I765" s="42">
        <f>MATCH(D765,$O:$O,0)</f>
        <v>10</v>
      </c>
      <c r="J765" s="42" t="s">
        <v>39</v>
      </c>
      <c r="K765" s="42" t="s">
        <v>630</v>
      </c>
      <c r="L765" s="42"/>
    </row>
    <row r="766" spans="1:12" x14ac:dyDescent="0.25">
      <c r="A766" s="42" t="s">
        <v>236</v>
      </c>
      <c r="B766" s="43">
        <v>42217</v>
      </c>
      <c r="C766" s="42" t="s">
        <v>794</v>
      </c>
      <c r="D766" s="42" t="str">
        <f t="shared" si="26"/>
        <v>D-Travel</v>
      </c>
      <c r="E766" s="42" t="s">
        <v>161</v>
      </c>
      <c r="F766" s="42" t="s">
        <v>238</v>
      </c>
      <c r="G766" s="42">
        <v>-63.1</v>
      </c>
      <c r="H766" s="42">
        <f t="shared" si="25"/>
        <v>201508</v>
      </c>
      <c r="I766" s="42">
        <f>MATCH(D766,$O:$O,0)</f>
        <v>10</v>
      </c>
      <c r="J766" s="42" t="s">
        <v>39</v>
      </c>
      <c r="K766" s="42" t="s">
        <v>630</v>
      </c>
      <c r="L766" s="42" t="s">
        <v>731</v>
      </c>
    </row>
    <row r="767" spans="1:12" x14ac:dyDescent="0.25">
      <c r="A767" s="42" t="s">
        <v>236</v>
      </c>
      <c r="B767" s="43">
        <v>42217</v>
      </c>
      <c r="C767" s="42" t="s">
        <v>795</v>
      </c>
      <c r="D767" s="42" t="str">
        <f t="shared" si="26"/>
        <v>D-Travel</v>
      </c>
      <c r="E767" s="42" t="s">
        <v>161</v>
      </c>
      <c r="F767" s="42" t="s">
        <v>238</v>
      </c>
      <c r="G767" s="42">
        <v>-63.1</v>
      </c>
      <c r="H767" s="42">
        <f t="shared" si="25"/>
        <v>201508</v>
      </c>
      <c r="I767" s="42">
        <f>MATCH(D767,$O:$O,0)</f>
        <v>10</v>
      </c>
      <c r="J767" s="42" t="s">
        <v>39</v>
      </c>
      <c r="K767" s="42" t="s">
        <v>630</v>
      </c>
      <c r="L767" s="42" t="s">
        <v>255</v>
      </c>
    </row>
    <row r="768" spans="1:12" x14ac:dyDescent="0.25">
      <c r="A768" s="42" t="s">
        <v>236</v>
      </c>
      <c r="B768" s="43">
        <v>42217</v>
      </c>
      <c r="C768" s="42" t="s">
        <v>796</v>
      </c>
      <c r="D768" s="42" t="str">
        <f t="shared" si="26"/>
        <v>D-Travel</v>
      </c>
      <c r="E768" s="42" t="s">
        <v>161</v>
      </c>
      <c r="F768" s="42" t="s">
        <v>238</v>
      </c>
      <c r="G768" s="42">
        <v>-62.1</v>
      </c>
      <c r="H768" s="42">
        <f t="shared" si="25"/>
        <v>201508</v>
      </c>
      <c r="I768" s="42">
        <f>MATCH(D768,$O:$O,0)</f>
        <v>10</v>
      </c>
      <c r="J768" s="42" t="s">
        <v>39</v>
      </c>
      <c r="K768" s="42" t="s">
        <v>630</v>
      </c>
      <c r="L768" s="42" t="s">
        <v>339</v>
      </c>
    </row>
    <row r="769" spans="1:12" x14ac:dyDescent="0.25">
      <c r="A769" s="42" t="s">
        <v>236</v>
      </c>
      <c r="B769" s="43">
        <v>42217</v>
      </c>
      <c r="C769" s="42" t="s">
        <v>797</v>
      </c>
      <c r="D769" s="42" t="str">
        <f t="shared" si="26"/>
        <v>D-Travel</v>
      </c>
      <c r="E769" s="42" t="s">
        <v>161</v>
      </c>
      <c r="F769" s="42" t="s">
        <v>238</v>
      </c>
      <c r="G769" s="42">
        <v>-40.1</v>
      </c>
      <c r="H769" s="42">
        <f t="shared" si="25"/>
        <v>201508</v>
      </c>
      <c r="I769" s="42">
        <f>MATCH(D769,$O:$O,0)</f>
        <v>10</v>
      </c>
      <c r="J769" s="42" t="s">
        <v>39</v>
      </c>
      <c r="K769" s="42" t="s">
        <v>630</v>
      </c>
      <c r="L769" s="42"/>
    </row>
    <row r="770" spans="1:12" x14ac:dyDescent="0.25">
      <c r="A770" s="42" t="s">
        <v>236</v>
      </c>
      <c r="B770" s="43">
        <v>42217</v>
      </c>
      <c r="C770" s="42" t="s">
        <v>798</v>
      </c>
      <c r="D770" s="42" t="str">
        <f t="shared" si="26"/>
        <v>D-Travel</v>
      </c>
      <c r="E770" s="42" t="s">
        <v>161</v>
      </c>
      <c r="F770" s="42" t="s">
        <v>238</v>
      </c>
      <c r="G770" s="42">
        <v>-62.1</v>
      </c>
      <c r="H770" s="42">
        <f t="shared" ref="H770:H833" si="27">YEAR(B770)*100+MONTH(B770)</f>
        <v>201508</v>
      </c>
      <c r="I770" s="42">
        <f>MATCH(D770,$O:$O,0)</f>
        <v>10</v>
      </c>
      <c r="J770" s="42" t="s">
        <v>39</v>
      </c>
      <c r="K770" s="42" t="s">
        <v>630</v>
      </c>
      <c r="L770" s="42" t="s">
        <v>363</v>
      </c>
    </row>
    <row r="771" spans="1:12" x14ac:dyDescent="0.25">
      <c r="A771" s="42" t="s">
        <v>236</v>
      </c>
      <c r="B771" s="43">
        <v>42217</v>
      </c>
      <c r="C771" s="42" t="s">
        <v>799</v>
      </c>
      <c r="D771" s="42" t="str">
        <f t="shared" si="26"/>
        <v>D-Travel</v>
      </c>
      <c r="E771" s="42" t="s">
        <v>161</v>
      </c>
      <c r="F771" s="42" t="s">
        <v>238</v>
      </c>
      <c r="G771" s="42">
        <v>-201.2</v>
      </c>
      <c r="H771" s="42">
        <f t="shared" si="27"/>
        <v>201508</v>
      </c>
      <c r="I771" s="42">
        <f>MATCH(D771,$O:$O,0)</f>
        <v>10</v>
      </c>
      <c r="J771" s="42" t="s">
        <v>39</v>
      </c>
      <c r="K771" s="42" t="s">
        <v>630</v>
      </c>
      <c r="L771" s="42" t="s">
        <v>804</v>
      </c>
    </row>
    <row r="772" spans="1:12" x14ac:dyDescent="0.25">
      <c r="A772" s="42" t="s">
        <v>236</v>
      </c>
      <c r="B772" s="43">
        <v>42217</v>
      </c>
      <c r="C772" s="42" t="s">
        <v>800</v>
      </c>
      <c r="D772" s="42" t="str">
        <f t="shared" si="26"/>
        <v>D-Travel</v>
      </c>
      <c r="E772" s="42" t="s">
        <v>161</v>
      </c>
      <c r="F772" s="42" t="s">
        <v>238</v>
      </c>
      <c r="G772" s="42">
        <v>-254.52</v>
      </c>
      <c r="H772" s="42">
        <f t="shared" si="27"/>
        <v>201508</v>
      </c>
      <c r="I772" s="42">
        <f>MATCH(D772,$O:$O,0)</f>
        <v>10</v>
      </c>
      <c r="J772" s="42" t="s">
        <v>39</v>
      </c>
      <c r="K772" s="42" t="s">
        <v>630</v>
      </c>
      <c r="L772" s="42" t="s">
        <v>252</v>
      </c>
    </row>
    <row r="773" spans="1:12" x14ac:dyDescent="0.25">
      <c r="A773" s="42" t="s">
        <v>236</v>
      </c>
      <c r="B773" s="43">
        <v>42217</v>
      </c>
      <c r="C773" s="42" t="s">
        <v>801</v>
      </c>
      <c r="D773" s="42" t="str">
        <f t="shared" si="26"/>
        <v>D-Travel</v>
      </c>
      <c r="E773" s="42" t="s">
        <v>161</v>
      </c>
      <c r="F773" s="42" t="s">
        <v>238</v>
      </c>
      <c r="G773" s="42">
        <v>-254.52</v>
      </c>
      <c r="H773" s="42">
        <f t="shared" si="27"/>
        <v>201508</v>
      </c>
      <c r="I773" s="42">
        <f>MATCH(D773,$O:$O,0)</f>
        <v>10</v>
      </c>
      <c r="J773" s="42" t="s">
        <v>39</v>
      </c>
      <c r="K773" s="42" t="s">
        <v>630</v>
      </c>
      <c r="L773" s="42"/>
    </row>
    <row r="774" spans="1:12" x14ac:dyDescent="0.25">
      <c r="A774" s="42" t="s">
        <v>236</v>
      </c>
      <c r="B774" s="43">
        <v>42217</v>
      </c>
      <c r="C774" s="42" t="s">
        <v>800</v>
      </c>
      <c r="D774" s="42" t="str">
        <f t="shared" si="26"/>
        <v>D-Travel</v>
      </c>
      <c r="E774" s="42" t="s">
        <v>161</v>
      </c>
      <c r="F774" s="42" t="s">
        <v>238</v>
      </c>
      <c r="G774" s="42">
        <v>127.26</v>
      </c>
      <c r="H774" s="42">
        <f t="shared" si="27"/>
        <v>201508</v>
      </c>
      <c r="I774" s="42">
        <f>MATCH(D774,$O:$O,0)</f>
        <v>10</v>
      </c>
      <c r="J774" s="42" t="s">
        <v>39</v>
      </c>
      <c r="K774" s="42" t="s">
        <v>630</v>
      </c>
      <c r="L774" s="42"/>
    </row>
    <row r="775" spans="1:12" x14ac:dyDescent="0.25">
      <c r="A775" s="42" t="s">
        <v>236</v>
      </c>
      <c r="B775" s="43">
        <v>42217</v>
      </c>
      <c r="C775" s="42" t="s">
        <v>800</v>
      </c>
      <c r="D775" s="42" t="str">
        <f t="shared" si="26"/>
        <v>D-Travel</v>
      </c>
      <c r="E775" s="42" t="s">
        <v>161</v>
      </c>
      <c r="F775" s="42" t="s">
        <v>238</v>
      </c>
      <c r="G775" s="42">
        <v>127.26</v>
      </c>
      <c r="H775" s="42">
        <f t="shared" si="27"/>
        <v>201508</v>
      </c>
      <c r="I775" s="42">
        <f>MATCH(D775,$O:$O,0)</f>
        <v>10</v>
      </c>
      <c r="J775" s="42" t="s">
        <v>39</v>
      </c>
      <c r="K775" s="42" t="s">
        <v>630</v>
      </c>
      <c r="L775" s="42" t="s">
        <v>805</v>
      </c>
    </row>
    <row r="776" spans="1:12" x14ac:dyDescent="0.25">
      <c r="A776" s="42" t="s">
        <v>236</v>
      </c>
      <c r="B776" s="43">
        <v>42217</v>
      </c>
      <c r="C776" s="42" t="s">
        <v>583</v>
      </c>
      <c r="D776" s="42" t="str">
        <f t="shared" si="26"/>
        <v>Grocery</v>
      </c>
      <c r="E776" s="42" t="s">
        <v>192</v>
      </c>
      <c r="F776" s="42" t="s">
        <v>238</v>
      </c>
      <c r="G776" s="42">
        <v>-51.74</v>
      </c>
      <c r="H776" s="42">
        <f t="shared" si="27"/>
        <v>201508</v>
      </c>
      <c r="I776" s="42">
        <f>MATCH(D776,$O:$O,0)</f>
        <v>12</v>
      </c>
      <c r="J776" s="42" t="s">
        <v>39</v>
      </c>
      <c r="K776" s="42" t="s">
        <v>649</v>
      </c>
      <c r="L776" s="42"/>
    </row>
    <row r="777" spans="1:12" x14ac:dyDescent="0.25">
      <c r="A777" s="42" t="s">
        <v>236</v>
      </c>
      <c r="B777" s="43">
        <v>42217</v>
      </c>
      <c r="C777" s="42" t="s">
        <v>802</v>
      </c>
      <c r="D777" s="42" t="str">
        <f t="shared" si="26"/>
        <v>Parent Support</v>
      </c>
      <c r="E777" s="42" t="s">
        <v>61</v>
      </c>
      <c r="F777" s="42" t="s">
        <v>238</v>
      </c>
      <c r="G777" s="42">
        <v>-778.51</v>
      </c>
      <c r="H777" s="42">
        <f t="shared" si="27"/>
        <v>201508</v>
      </c>
      <c r="I777" s="42">
        <f>MATCH(D777,$O:$O,0)</f>
        <v>24</v>
      </c>
      <c r="J777" s="42" t="s">
        <v>39</v>
      </c>
      <c r="K777" s="42" t="s">
        <v>649</v>
      </c>
      <c r="L777" s="42" t="s">
        <v>806</v>
      </c>
    </row>
    <row r="778" spans="1:12" x14ac:dyDescent="0.25">
      <c r="A778" s="42" t="s">
        <v>236</v>
      </c>
      <c r="B778" s="43">
        <v>42218</v>
      </c>
      <c r="C778" s="42" t="s">
        <v>384</v>
      </c>
      <c r="D778" s="42" t="str">
        <f t="shared" si="26"/>
        <v>Grocery</v>
      </c>
      <c r="E778" s="42" t="s">
        <v>385</v>
      </c>
      <c r="F778" s="42" t="s">
        <v>238</v>
      </c>
      <c r="G778" s="42">
        <v>-68.569999999999993</v>
      </c>
      <c r="H778" s="42">
        <f t="shared" si="27"/>
        <v>201508</v>
      </c>
      <c r="I778" s="42">
        <f>MATCH(D778,$O:$O,0)</f>
        <v>12</v>
      </c>
      <c r="J778" s="42" t="s">
        <v>39</v>
      </c>
      <c r="K778" s="42" t="s">
        <v>619</v>
      </c>
      <c r="L778" s="42"/>
    </row>
    <row r="779" spans="1:12" x14ac:dyDescent="0.25">
      <c r="A779" s="42" t="s">
        <v>236</v>
      </c>
      <c r="B779" s="43">
        <v>42219</v>
      </c>
      <c r="C779" s="42" t="s">
        <v>790</v>
      </c>
      <c r="D779" s="42" t="str">
        <f t="shared" si="26"/>
        <v>Credit Card Payments</v>
      </c>
      <c r="E779" s="42" t="s">
        <v>242</v>
      </c>
      <c r="F779" s="42" t="s">
        <v>238</v>
      </c>
      <c r="G779" s="42">
        <v>-868.37</v>
      </c>
      <c r="H779" s="42">
        <f t="shared" si="27"/>
        <v>201508</v>
      </c>
      <c r="I779" s="42">
        <f>MATCH(D779,$O:$O,0)</f>
        <v>38</v>
      </c>
      <c r="J779" s="42" t="s">
        <v>39</v>
      </c>
      <c r="K779" s="42" t="s">
        <v>803</v>
      </c>
      <c r="L779" s="42"/>
    </row>
    <row r="780" spans="1:12" x14ac:dyDescent="0.25">
      <c r="A780" s="42" t="s">
        <v>236</v>
      </c>
      <c r="B780" s="43">
        <v>42219</v>
      </c>
      <c r="C780" s="42" t="s">
        <v>591</v>
      </c>
      <c r="D780" s="42" t="str">
        <f t="shared" si="26"/>
        <v>Mortgage/Rent</v>
      </c>
      <c r="E780" s="42" t="s">
        <v>202</v>
      </c>
      <c r="F780" s="42" t="s">
        <v>238</v>
      </c>
      <c r="G780" s="44">
        <v>-3116.77</v>
      </c>
      <c r="H780" s="42">
        <f t="shared" si="27"/>
        <v>201508</v>
      </c>
      <c r="I780" s="42">
        <f>MATCH(D780,$O:$O,0)</f>
        <v>21</v>
      </c>
      <c r="J780" s="42" t="s">
        <v>39</v>
      </c>
      <c r="K780" s="42" t="s">
        <v>803</v>
      </c>
      <c r="L780" s="42" t="s">
        <v>317</v>
      </c>
    </row>
    <row r="781" spans="1:12" x14ac:dyDescent="0.25">
      <c r="A781" s="42" t="s">
        <v>236</v>
      </c>
      <c r="B781" s="43">
        <v>42219</v>
      </c>
      <c r="C781" s="42" t="s">
        <v>791</v>
      </c>
      <c r="D781" s="42" t="str">
        <f t="shared" si="26"/>
        <v>Credit Card Payments</v>
      </c>
      <c r="E781" s="42" t="s">
        <v>242</v>
      </c>
      <c r="F781" s="42" t="s">
        <v>238</v>
      </c>
      <c r="G781" s="44">
        <v>-6324.63</v>
      </c>
      <c r="H781" s="42">
        <f t="shared" si="27"/>
        <v>201508</v>
      </c>
      <c r="I781" s="42">
        <f>MATCH(D781,$O:$O,0)</f>
        <v>38</v>
      </c>
      <c r="J781" s="42" t="s">
        <v>39</v>
      </c>
      <c r="K781" s="42" t="s">
        <v>803</v>
      </c>
      <c r="L781" s="42" t="s">
        <v>715</v>
      </c>
    </row>
    <row r="782" spans="1:12" x14ac:dyDescent="0.25">
      <c r="A782" s="42" t="s">
        <v>236</v>
      </c>
      <c r="B782" s="43">
        <v>42219</v>
      </c>
      <c r="C782" s="42" t="s">
        <v>557</v>
      </c>
      <c r="D782" s="42" t="str">
        <f t="shared" si="26"/>
        <v>Credit Card Payments</v>
      </c>
      <c r="E782" s="42" t="s">
        <v>242</v>
      </c>
      <c r="F782" s="42" t="s">
        <v>238</v>
      </c>
      <c r="G782" s="44">
        <v>6324.63</v>
      </c>
      <c r="H782" s="42">
        <f t="shared" si="27"/>
        <v>201508</v>
      </c>
      <c r="I782" s="42">
        <f>MATCH(D782,$O:$O,0)</f>
        <v>38</v>
      </c>
      <c r="J782" s="42" t="s">
        <v>39</v>
      </c>
      <c r="K782" s="42" t="s">
        <v>630</v>
      </c>
      <c r="L782" s="42" t="s">
        <v>335</v>
      </c>
    </row>
    <row r="783" spans="1:12" x14ac:dyDescent="0.25">
      <c r="A783" s="42" t="s">
        <v>236</v>
      </c>
      <c r="B783" s="43">
        <v>42219</v>
      </c>
      <c r="C783" s="42" t="s">
        <v>687</v>
      </c>
      <c r="D783" s="42" t="str">
        <f t="shared" si="26"/>
        <v>Home Maintainence/Improvement</v>
      </c>
      <c r="E783" s="42" t="s">
        <v>342</v>
      </c>
      <c r="F783" s="42" t="s">
        <v>238</v>
      </c>
      <c r="G783" s="42">
        <v>108.99</v>
      </c>
      <c r="H783" s="42">
        <f t="shared" si="27"/>
        <v>201508</v>
      </c>
      <c r="I783" s="42">
        <f>MATCH(D783,$O:$O,0)</f>
        <v>16</v>
      </c>
      <c r="J783" s="42" t="s">
        <v>39</v>
      </c>
      <c r="K783" s="42" t="s">
        <v>630</v>
      </c>
      <c r="L783" s="42" t="s">
        <v>194</v>
      </c>
    </row>
    <row r="784" spans="1:12" x14ac:dyDescent="0.25">
      <c r="A784" s="42" t="s">
        <v>236</v>
      </c>
      <c r="B784" s="43">
        <v>42219</v>
      </c>
      <c r="C784" s="42" t="s">
        <v>792</v>
      </c>
      <c r="D784" s="42" t="str">
        <f t="shared" si="26"/>
        <v>Gas</v>
      </c>
      <c r="E784" s="42" t="s">
        <v>311</v>
      </c>
      <c r="F784" s="42" t="s">
        <v>238</v>
      </c>
      <c r="G784" s="42">
        <v>-10</v>
      </c>
      <c r="H784" s="42">
        <f t="shared" si="27"/>
        <v>201508</v>
      </c>
      <c r="I784" s="42">
        <f>MATCH(D784,$O:$O,0)</f>
        <v>30</v>
      </c>
      <c r="J784" s="42" t="s">
        <v>39</v>
      </c>
      <c r="K784" s="42" t="s">
        <v>649</v>
      </c>
      <c r="L784" s="42" t="s">
        <v>807</v>
      </c>
    </row>
    <row r="785" spans="1:12" x14ac:dyDescent="0.25">
      <c r="A785" s="42" t="s">
        <v>236</v>
      </c>
      <c r="B785" s="43">
        <v>42219</v>
      </c>
      <c r="C785" s="42" t="s">
        <v>687</v>
      </c>
      <c r="D785" s="42" t="str">
        <f t="shared" si="26"/>
        <v>Home Maintainence/Improvement</v>
      </c>
      <c r="E785" s="42" t="s">
        <v>342</v>
      </c>
      <c r="F785" s="42" t="s">
        <v>238</v>
      </c>
      <c r="G785" s="42">
        <v>-23.94</v>
      </c>
      <c r="H785" s="42">
        <f t="shared" si="27"/>
        <v>201508</v>
      </c>
      <c r="I785" s="42">
        <f>MATCH(D785,$O:$O,0)</f>
        <v>16</v>
      </c>
      <c r="J785" s="42" t="s">
        <v>39</v>
      </c>
      <c r="K785" s="42" t="s">
        <v>649</v>
      </c>
      <c r="L785" s="42" t="s">
        <v>808</v>
      </c>
    </row>
    <row r="786" spans="1:12" x14ac:dyDescent="0.25">
      <c r="A786" s="42" t="s">
        <v>236</v>
      </c>
      <c r="B786" s="43">
        <v>42219</v>
      </c>
      <c r="C786" s="42" t="s">
        <v>768</v>
      </c>
      <c r="D786" s="42" t="str">
        <f t="shared" si="26"/>
        <v>D-Restaurant</v>
      </c>
      <c r="E786" s="42" t="s">
        <v>204</v>
      </c>
      <c r="F786" s="42" t="s">
        <v>238</v>
      </c>
      <c r="G786" s="42">
        <v>-7.63</v>
      </c>
      <c r="H786" s="42">
        <f t="shared" si="27"/>
        <v>201508</v>
      </c>
      <c r="I786" s="42">
        <f>MATCH(D786,$O:$O,0)</f>
        <v>9</v>
      </c>
      <c r="J786" s="42" t="s">
        <v>39</v>
      </c>
      <c r="K786" s="42" t="s">
        <v>649</v>
      </c>
      <c r="L786" s="42"/>
    </row>
    <row r="787" spans="1:12" x14ac:dyDescent="0.25">
      <c r="A787" s="42" t="s">
        <v>236</v>
      </c>
      <c r="B787" s="43">
        <v>42219</v>
      </c>
      <c r="C787" s="42" t="s">
        <v>565</v>
      </c>
      <c r="D787" s="42" t="str">
        <f t="shared" si="26"/>
        <v>Grocery</v>
      </c>
      <c r="E787" s="42" t="s">
        <v>192</v>
      </c>
      <c r="F787" s="42" t="s">
        <v>238</v>
      </c>
      <c r="G787" s="42">
        <v>-30.11</v>
      </c>
      <c r="H787" s="42">
        <f t="shared" si="27"/>
        <v>201508</v>
      </c>
      <c r="I787" s="42">
        <f>MATCH(D787,$O:$O,0)</f>
        <v>12</v>
      </c>
      <c r="J787" s="42" t="s">
        <v>39</v>
      </c>
      <c r="K787" s="42" t="s">
        <v>649</v>
      </c>
      <c r="L787" s="42" t="s">
        <v>804</v>
      </c>
    </row>
    <row r="788" spans="1:12" x14ac:dyDescent="0.25">
      <c r="A788" s="42" t="s">
        <v>236</v>
      </c>
      <c r="B788" s="43">
        <v>42220</v>
      </c>
      <c r="C788" s="42" t="s">
        <v>629</v>
      </c>
      <c r="D788" s="42" t="str">
        <f t="shared" si="26"/>
        <v>Home Insurance</v>
      </c>
      <c r="E788" s="42" t="s">
        <v>199</v>
      </c>
      <c r="F788" s="42" t="s">
        <v>238</v>
      </c>
      <c r="G788" s="42">
        <v>14.89</v>
      </c>
      <c r="H788" s="42">
        <f t="shared" si="27"/>
        <v>201508</v>
      </c>
      <c r="I788" s="42">
        <f>MATCH(D788,$O:$O,0)</f>
        <v>17</v>
      </c>
      <c r="J788" s="42" t="s">
        <v>39</v>
      </c>
      <c r="K788" s="42" t="s">
        <v>630</v>
      </c>
      <c r="L788" s="42"/>
    </row>
    <row r="789" spans="1:12" x14ac:dyDescent="0.25">
      <c r="A789" s="42" t="s">
        <v>236</v>
      </c>
      <c r="B789" s="43">
        <v>42220</v>
      </c>
      <c r="C789" s="42" t="s">
        <v>789</v>
      </c>
      <c r="D789" s="42" t="str">
        <f t="shared" si="26"/>
        <v>Home Maintainence/Improvement</v>
      </c>
      <c r="E789" s="42" t="s">
        <v>342</v>
      </c>
      <c r="F789" s="42" t="s">
        <v>238</v>
      </c>
      <c r="G789" s="42">
        <v>-17.420000000000002</v>
      </c>
      <c r="H789" s="42">
        <f t="shared" si="27"/>
        <v>201508</v>
      </c>
      <c r="I789" s="42">
        <f>MATCH(D789,$O:$O,0)</f>
        <v>16</v>
      </c>
      <c r="J789" s="42" t="s">
        <v>39</v>
      </c>
      <c r="K789" s="42" t="s">
        <v>649</v>
      </c>
      <c r="L789" s="42" t="s">
        <v>223</v>
      </c>
    </row>
    <row r="790" spans="1:12" x14ac:dyDescent="0.25">
      <c r="A790" s="42" t="s">
        <v>236</v>
      </c>
      <c r="B790" s="43">
        <v>42220</v>
      </c>
      <c r="C790" s="42" t="s">
        <v>575</v>
      </c>
      <c r="D790" s="42" t="str">
        <f t="shared" si="26"/>
        <v>D-Restaurant</v>
      </c>
      <c r="E790" s="42" t="s">
        <v>204</v>
      </c>
      <c r="F790" s="42" t="s">
        <v>238</v>
      </c>
      <c r="G790" s="42">
        <v>-8.1999999999999993</v>
      </c>
      <c r="H790" s="42">
        <f t="shared" si="27"/>
        <v>201508</v>
      </c>
      <c r="I790" s="42">
        <f>MATCH(D790,$O:$O,0)</f>
        <v>9</v>
      </c>
      <c r="J790" s="42" t="s">
        <v>39</v>
      </c>
      <c r="K790" s="42" t="s">
        <v>649</v>
      </c>
      <c r="L790" s="42" t="s">
        <v>255</v>
      </c>
    </row>
    <row r="791" spans="1:12" x14ac:dyDescent="0.25">
      <c r="A791" s="42" t="s">
        <v>236</v>
      </c>
      <c r="B791" s="43">
        <v>42220</v>
      </c>
      <c r="C791" s="42" t="s">
        <v>249</v>
      </c>
      <c r="D791" s="42" t="str">
        <f t="shared" si="26"/>
        <v>Retirement Contributions</v>
      </c>
      <c r="E791" s="42" t="s">
        <v>263</v>
      </c>
      <c r="F791" s="42" t="s">
        <v>238</v>
      </c>
      <c r="G791" s="42">
        <v>731.25</v>
      </c>
      <c r="H791" s="42">
        <f t="shared" si="27"/>
        <v>201508</v>
      </c>
      <c r="I791" s="42">
        <f>MATCH(D791,$O:$O,0)</f>
        <v>39</v>
      </c>
      <c r="J791" s="42" t="s">
        <v>39</v>
      </c>
      <c r="K791" s="42" t="s">
        <v>632</v>
      </c>
      <c r="L791" s="42"/>
    </row>
    <row r="792" spans="1:12" x14ac:dyDescent="0.25">
      <c r="A792" s="42" t="s">
        <v>236</v>
      </c>
      <c r="B792" s="43">
        <v>42221</v>
      </c>
      <c r="C792" s="42" t="s">
        <v>705</v>
      </c>
      <c r="D792" s="42" t="str">
        <f t="shared" si="26"/>
        <v>D-Travel</v>
      </c>
      <c r="E792" s="42" t="s">
        <v>161</v>
      </c>
      <c r="F792" s="42" t="s">
        <v>238</v>
      </c>
      <c r="G792" s="42">
        <v>-391.99</v>
      </c>
      <c r="H792" s="42">
        <f t="shared" si="27"/>
        <v>201508</v>
      </c>
      <c r="I792" s="42">
        <f>MATCH(D792,$O:$O,0)</f>
        <v>10</v>
      </c>
      <c r="J792" s="42" t="s">
        <v>39</v>
      </c>
      <c r="K792" s="42" t="s">
        <v>630</v>
      </c>
      <c r="L792" s="42" t="s">
        <v>223</v>
      </c>
    </row>
    <row r="793" spans="1:12" x14ac:dyDescent="0.25">
      <c r="A793" s="42" t="s">
        <v>236</v>
      </c>
      <c r="B793" s="43">
        <v>42221</v>
      </c>
      <c r="C793" s="42" t="s">
        <v>565</v>
      </c>
      <c r="D793" s="42" t="str">
        <f t="shared" si="26"/>
        <v>Grocery</v>
      </c>
      <c r="E793" s="42" t="s">
        <v>192</v>
      </c>
      <c r="F793" s="42" t="s">
        <v>238</v>
      </c>
      <c r="G793" s="42">
        <v>-7.97</v>
      </c>
      <c r="H793" s="42">
        <f t="shared" si="27"/>
        <v>201508</v>
      </c>
      <c r="I793" s="42">
        <f>MATCH(D793,$O:$O,0)</f>
        <v>12</v>
      </c>
      <c r="J793" s="42" t="s">
        <v>39</v>
      </c>
      <c r="K793" s="42" t="s">
        <v>649</v>
      </c>
      <c r="L793" s="42"/>
    </row>
    <row r="794" spans="1:12" x14ac:dyDescent="0.25">
      <c r="A794" s="42" t="s">
        <v>236</v>
      </c>
      <c r="B794" s="43">
        <v>42221</v>
      </c>
      <c r="C794" s="42" t="s">
        <v>509</v>
      </c>
      <c r="D794" s="42" t="str">
        <f t="shared" si="26"/>
        <v>D-Coffee</v>
      </c>
      <c r="E794" s="42" t="s">
        <v>215</v>
      </c>
      <c r="F794" s="42" t="s">
        <v>238</v>
      </c>
      <c r="G794" s="42">
        <v>-1.95</v>
      </c>
      <c r="H794" s="42">
        <f t="shared" si="27"/>
        <v>201508</v>
      </c>
      <c r="I794" s="42">
        <f>MATCH(D794,$O:$O,0)</f>
        <v>7</v>
      </c>
      <c r="J794" s="42" t="s">
        <v>39</v>
      </c>
      <c r="K794" s="42" t="s">
        <v>649</v>
      </c>
      <c r="L794" s="42"/>
    </row>
    <row r="795" spans="1:12" x14ac:dyDescent="0.25">
      <c r="A795" s="42" t="s">
        <v>236</v>
      </c>
      <c r="B795" s="43">
        <v>42221</v>
      </c>
      <c r="C795" s="42" t="s">
        <v>565</v>
      </c>
      <c r="D795" s="42" t="str">
        <f t="shared" si="26"/>
        <v>Grocery</v>
      </c>
      <c r="E795" s="42" t="s">
        <v>192</v>
      </c>
      <c r="F795" s="42" t="s">
        <v>238</v>
      </c>
      <c r="G795" s="42">
        <v>4.99</v>
      </c>
      <c r="H795" s="42">
        <f t="shared" si="27"/>
        <v>201508</v>
      </c>
      <c r="I795" s="42">
        <f>MATCH(D795,$O:$O,0)</f>
        <v>12</v>
      </c>
      <c r="J795" s="42" t="s">
        <v>39</v>
      </c>
      <c r="K795" s="42" t="s">
        <v>649</v>
      </c>
      <c r="L795" s="42" t="s">
        <v>225</v>
      </c>
    </row>
    <row r="796" spans="1:12" x14ac:dyDescent="0.25">
      <c r="A796" s="42" t="s">
        <v>236</v>
      </c>
      <c r="B796" s="43">
        <v>42222</v>
      </c>
      <c r="C796" s="42" t="s">
        <v>685</v>
      </c>
      <c r="D796" s="42" t="str">
        <f t="shared" si="26"/>
        <v>D-Restaurant</v>
      </c>
      <c r="E796" s="42" t="s">
        <v>204</v>
      </c>
      <c r="F796" s="42" t="s">
        <v>238</v>
      </c>
      <c r="G796" s="42">
        <v>-6.13</v>
      </c>
      <c r="H796" s="42">
        <f t="shared" si="27"/>
        <v>201508</v>
      </c>
      <c r="I796" s="42">
        <f>MATCH(D796,$O:$O,0)</f>
        <v>9</v>
      </c>
      <c r="J796" s="42" t="s">
        <v>39</v>
      </c>
      <c r="K796" s="42" t="s">
        <v>649</v>
      </c>
      <c r="L796" s="42" t="s">
        <v>719</v>
      </c>
    </row>
    <row r="797" spans="1:12" x14ac:dyDescent="0.25">
      <c r="A797" s="42" t="s">
        <v>236</v>
      </c>
      <c r="B797" s="43">
        <v>42222</v>
      </c>
      <c r="C797" s="42" t="s">
        <v>788</v>
      </c>
      <c r="D797" s="42" t="str">
        <f t="shared" si="26"/>
        <v>D-Restaurant</v>
      </c>
      <c r="E797" s="42" t="s">
        <v>204</v>
      </c>
      <c r="F797" s="42" t="s">
        <v>238</v>
      </c>
      <c r="G797" s="42">
        <v>-3</v>
      </c>
      <c r="H797" s="42">
        <f t="shared" si="27"/>
        <v>201508</v>
      </c>
      <c r="I797" s="42">
        <f>MATCH(D797,$O:$O,0)</f>
        <v>9</v>
      </c>
      <c r="J797" s="42" t="s">
        <v>39</v>
      </c>
      <c r="K797" s="42" t="s">
        <v>649</v>
      </c>
      <c r="L797" s="42"/>
    </row>
    <row r="798" spans="1:12" x14ac:dyDescent="0.25">
      <c r="A798" s="42" t="s">
        <v>236</v>
      </c>
      <c r="B798" s="43">
        <v>42223</v>
      </c>
      <c r="C798" s="42" t="s">
        <v>787</v>
      </c>
      <c r="D798" s="42" t="str">
        <f t="shared" si="26"/>
        <v>Gifts</v>
      </c>
      <c r="E798" s="42" t="s">
        <v>40</v>
      </c>
      <c r="F798" s="42" t="s">
        <v>238</v>
      </c>
      <c r="G798" s="42">
        <v>-20</v>
      </c>
      <c r="H798" s="42">
        <f t="shared" si="27"/>
        <v>201508</v>
      </c>
      <c r="I798" s="42">
        <f>MATCH(D798,$O:$O,0)</f>
        <v>11</v>
      </c>
      <c r="J798" s="42" t="s">
        <v>39</v>
      </c>
      <c r="K798" s="42" t="s">
        <v>649</v>
      </c>
      <c r="L798" s="42"/>
    </row>
    <row r="799" spans="1:12" x14ac:dyDescent="0.25">
      <c r="A799" s="42" t="s">
        <v>236</v>
      </c>
      <c r="B799" s="43">
        <v>42224</v>
      </c>
      <c r="C799" s="42" t="s">
        <v>685</v>
      </c>
      <c r="D799" s="42" t="str">
        <f t="shared" si="26"/>
        <v>D-Restaurant</v>
      </c>
      <c r="E799" s="42" t="s">
        <v>204</v>
      </c>
      <c r="F799" s="42" t="s">
        <v>238</v>
      </c>
      <c r="G799" s="42">
        <v>-6.52</v>
      </c>
      <c r="H799" s="42">
        <f t="shared" si="27"/>
        <v>201508</v>
      </c>
      <c r="I799" s="42">
        <f>MATCH(D799,$O:$O,0)</f>
        <v>9</v>
      </c>
      <c r="J799" s="42" t="s">
        <v>39</v>
      </c>
      <c r="K799" s="42" t="s">
        <v>649</v>
      </c>
      <c r="L799" s="42" t="s">
        <v>809</v>
      </c>
    </row>
    <row r="800" spans="1:12" x14ac:dyDescent="0.25">
      <c r="A800" s="42" t="s">
        <v>236</v>
      </c>
      <c r="B800" s="43">
        <v>42224</v>
      </c>
      <c r="C800" s="42" t="s">
        <v>567</v>
      </c>
      <c r="D800" s="42" t="str">
        <f t="shared" si="26"/>
        <v>Grocery</v>
      </c>
      <c r="E800" s="42" t="s">
        <v>192</v>
      </c>
      <c r="F800" s="42" t="s">
        <v>238</v>
      </c>
      <c r="G800" s="42">
        <v>-1.47</v>
      </c>
      <c r="H800" s="42">
        <f t="shared" si="27"/>
        <v>201508</v>
      </c>
      <c r="I800" s="42">
        <f>MATCH(D800,$O:$O,0)</f>
        <v>12</v>
      </c>
      <c r="J800" s="42" t="s">
        <v>39</v>
      </c>
      <c r="K800" s="42" t="s">
        <v>649</v>
      </c>
      <c r="L800" s="42" t="s">
        <v>317</v>
      </c>
    </row>
    <row r="801" spans="1:12" x14ac:dyDescent="0.25">
      <c r="A801" s="42" t="s">
        <v>236</v>
      </c>
      <c r="B801" s="43">
        <v>42224</v>
      </c>
      <c r="C801" s="42" t="s">
        <v>567</v>
      </c>
      <c r="D801" s="42" t="str">
        <f t="shared" si="26"/>
        <v>Grocery</v>
      </c>
      <c r="E801" s="42" t="s">
        <v>192</v>
      </c>
      <c r="F801" s="42" t="s">
        <v>238</v>
      </c>
      <c r="G801" s="42">
        <v>-1.2</v>
      </c>
      <c r="H801" s="42">
        <f t="shared" si="27"/>
        <v>201508</v>
      </c>
      <c r="I801" s="42">
        <f>MATCH(D801,$O:$O,0)</f>
        <v>12</v>
      </c>
      <c r="J801" s="42" t="s">
        <v>39</v>
      </c>
      <c r="K801" s="42" t="s">
        <v>649</v>
      </c>
      <c r="L801" s="42" t="s">
        <v>806</v>
      </c>
    </row>
    <row r="802" spans="1:12" x14ac:dyDescent="0.25">
      <c r="A802" s="42" t="s">
        <v>236</v>
      </c>
      <c r="B802" s="43">
        <v>42224</v>
      </c>
      <c r="C802" s="42" t="s">
        <v>600</v>
      </c>
      <c r="D802" s="42" t="str">
        <f t="shared" si="26"/>
        <v>D-Restaurant</v>
      </c>
      <c r="E802" s="42" t="s">
        <v>204</v>
      </c>
      <c r="F802" s="42" t="s">
        <v>238</v>
      </c>
      <c r="G802" s="42">
        <v>-8.1999999999999993</v>
      </c>
      <c r="H802" s="42">
        <f t="shared" si="27"/>
        <v>201508</v>
      </c>
      <c r="I802" s="42">
        <f>MATCH(D802,$O:$O,0)</f>
        <v>9</v>
      </c>
      <c r="J802" s="42" t="s">
        <v>39</v>
      </c>
      <c r="K802" s="42" t="s">
        <v>649</v>
      </c>
      <c r="L802" s="42"/>
    </row>
    <row r="803" spans="1:12" x14ac:dyDescent="0.25">
      <c r="A803" s="42" t="s">
        <v>236</v>
      </c>
      <c r="B803" s="43">
        <v>42224</v>
      </c>
      <c r="C803" s="42" t="s">
        <v>567</v>
      </c>
      <c r="D803" s="42" t="str">
        <f t="shared" si="26"/>
        <v>Grocery</v>
      </c>
      <c r="E803" s="42" t="s">
        <v>192</v>
      </c>
      <c r="F803" s="42" t="s">
        <v>238</v>
      </c>
      <c r="G803" s="42">
        <v>-1.25</v>
      </c>
      <c r="H803" s="42">
        <f t="shared" si="27"/>
        <v>201508</v>
      </c>
      <c r="I803" s="42">
        <f>MATCH(D803,$O:$O,0)</f>
        <v>12</v>
      </c>
      <c r="J803" s="42" t="s">
        <v>39</v>
      </c>
      <c r="K803" s="42" t="s">
        <v>649</v>
      </c>
      <c r="L803" s="42" t="s">
        <v>807</v>
      </c>
    </row>
    <row r="804" spans="1:12" x14ac:dyDescent="0.25">
      <c r="A804" s="42" t="s">
        <v>236</v>
      </c>
      <c r="B804" s="43">
        <v>42225</v>
      </c>
      <c r="C804" s="42" t="s">
        <v>785</v>
      </c>
      <c r="D804" s="42" t="str">
        <f t="shared" ref="D804:D867" si="28">IF(ISNA(VLOOKUP(E804,$L$2:$M$26,2,FALSE)),E804,VLOOKUP(E804,$L$2:$M$26,2,FALSE))</f>
        <v>Movies/Software/Online Service</v>
      </c>
      <c r="E804" s="42" t="s">
        <v>167</v>
      </c>
      <c r="F804" s="42" t="s">
        <v>238</v>
      </c>
      <c r="G804" s="42">
        <v>-4.99</v>
      </c>
      <c r="H804" s="42">
        <f t="shared" si="27"/>
        <v>201508</v>
      </c>
      <c r="I804" s="42">
        <f>MATCH(D804,$O:$O,0)</f>
        <v>22</v>
      </c>
      <c r="J804" s="42" t="s">
        <v>39</v>
      </c>
      <c r="K804" s="42" t="s">
        <v>619</v>
      </c>
      <c r="L804" s="42" t="s">
        <v>310</v>
      </c>
    </row>
    <row r="805" spans="1:12" x14ac:dyDescent="0.25">
      <c r="A805" s="42" t="s">
        <v>236</v>
      </c>
      <c r="B805" s="43">
        <v>42225</v>
      </c>
      <c r="C805" s="42" t="s">
        <v>786</v>
      </c>
      <c r="D805" s="42" t="str">
        <f t="shared" si="28"/>
        <v>Magazines</v>
      </c>
      <c r="E805" s="42" t="s">
        <v>34</v>
      </c>
      <c r="F805" s="42" t="s">
        <v>238</v>
      </c>
      <c r="G805" s="42">
        <v>-14.99</v>
      </c>
      <c r="H805" s="42">
        <f t="shared" si="27"/>
        <v>201508</v>
      </c>
      <c r="I805" s="42">
        <f>MATCH(D805,$O:$O,0)</f>
        <v>20</v>
      </c>
      <c r="J805" s="42" t="s">
        <v>39</v>
      </c>
      <c r="K805" s="42" t="s">
        <v>619</v>
      </c>
      <c r="L805" s="42" t="s">
        <v>810</v>
      </c>
    </row>
    <row r="806" spans="1:12" x14ac:dyDescent="0.25">
      <c r="A806" s="42" t="s">
        <v>236</v>
      </c>
      <c r="B806" s="43">
        <v>42226</v>
      </c>
      <c r="C806" s="42" t="s">
        <v>781</v>
      </c>
      <c r="D806" s="42" t="str">
        <f t="shared" si="28"/>
        <v>Grocery</v>
      </c>
      <c r="E806" s="42" t="s">
        <v>192</v>
      </c>
      <c r="F806" s="42" t="s">
        <v>238</v>
      </c>
      <c r="G806" s="42">
        <v>-40</v>
      </c>
      <c r="H806" s="42">
        <f t="shared" si="27"/>
        <v>201508</v>
      </c>
      <c r="I806" s="42">
        <f>MATCH(D806,$O:$O,0)</f>
        <v>12</v>
      </c>
      <c r="J806" s="42" t="s">
        <v>39</v>
      </c>
      <c r="K806" s="42" t="s">
        <v>803</v>
      </c>
      <c r="L806" s="42" t="s">
        <v>811</v>
      </c>
    </row>
    <row r="807" spans="1:12" x14ac:dyDescent="0.25">
      <c r="A807" s="42" t="s">
        <v>236</v>
      </c>
      <c r="B807" s="43">
        <v>42226</v>
      </c>
      <c r="C807" s="42" t="s">
        <v>782</v>
      </c>
      <c r="D807" s="42" t="str">
        <f t="shared" si="28"/>
        <v>D-Restaurant</v>
      </c>
      <c r="E807" s="42" t="s">
        <v>204</v>
      </c>
      <c r="F807" s="42" t="s">
        <v>238</v>
      </c>
      <c r="G807" s="42">
        <v>-5</v>
      </c>
      <c r="H807" s="42">
        <f t="shared" si="27"/>
        <v>201508</v>
      </c>
      <c r="I807" s="42">
        <f>MATCH(D807,$O:$O,0)</f>
        <v>9</v>
      </c>
      <c r="J807" s="42" t="s">
        <v>39</v>
      </c>
      <c r="K807" s="42" t="s">
        <v>649</v>
      </c>
      <c r="L807" s="42"/>
    </row>
    <row r="808" spans="1:12" x14ac:dyDescent="0.25">
      <c r="A808" s="42" t="s">
        <v>236</v>
      </c>
      <c r="B808" s="43">
        <v>42226</v>
      </c>
      <c r="C808" s="42" t="s">
        <v>565</v>
      </c>
      <c r="D808" s="42" t="str">
        <f t="shared" si="28"/>
        <v>Grocery</v>
      </c>
      <c r="E808" s="42" t="s">
        <v>192</v>
      </c>
      <c r="F808" s="42" t="s">
        <v>238</v>
      </c>
      <c r="G808" s="42">
        <v>-15.17</v>
      </c>
      <c r="H808" s="42">
        <f t="shared" si="27"/>
        <v>201508</v>
      </c>
      <c r="I808" s="42">
        <f>MATCH(D808,$O:$O,0)</f>
        <v>12</v>
      </c>
      <c r="J808" s="42" t="s">
        <v>39</v>
      </c>
      <c r="K808" s="42" t="s">
        <v>649</v>
      </c>
      <c r="L808" s="42"/>
    </row>
    <row r="809" spans="1:12" x14ac:dyDescent="0.25">
      <c r="A809" s="42" t="s">
        <v>236</v>
      </c>
      <c r="B809" s="43">
        <v>42226</v>
      </c>
      <c r="C809" s="42" t="s">
        <v>783</v>
      </c>
      <c r="D809" s="42" t="str">
        <f t="shared" si="28"/>
        <v>Gifts</v>
      </c>
      <c r="E809" s="42" t="s">
        <v>40</v>
      </c>
      <c r="F809" s="42" t="s">
        <v>238</v>
      </c>
      <c r="G809" s="42">
        <v>-75</v>
      </c>
      <c r="H809" s="42">
        <f t="shared" si="27"/>
        <v>201508</v>
      </c>
      <c r="I809" s="42">
        <f>MATCH(D809,$O:$O,0)</f>
        <v>11</v>
      </c>
      <c r="J809" s="42" t="s">
        <v>39</v>
      </c>
      <c r="K809" s="42" t="s">
        <v>649</v>
      </c>
      <c r="L809" s="42" t="s">
        <v>806</v>
      </c>
    </row>
    <row r="810" spans="1:12" x14ac:dyDescent="0.25">
      <c r="A810" s="42" t="s">
        <v>236</v>
      </c>
      <c r="B810" s="43">
        <v>42226</v>
      </c>
      <c r="C810" s="42" t="s">
        <v>784</v>
      </c>
      <c r="D810" s="42" t="str">
        <f t="shared" si="28"/>
        <v>Grocery</v>
      </c>
      <c r="E810" s="42" t="s">
        <v>192</v>
      </c>
      <c r="F810" s="42" t="s">
        <v>238</v>
      </c>
      <c r="G810" s="42">
        <v>-27.83</v>
      </c>
      <c r="H810" s="42">
        <f t="shared" si="27"/>
        <v>201508</v>
      </c>
      <c r="I810" s="42">
        <f>MATCH(D810,$O:$O,0)</f>
        <v>12</v>
      </c>
      <c r="J810" s="42" t="s">
        <v>39</v>
      </c>
      <c r="K810" s="42" t="s">
        <v>649</v>
      </c>
      <c r="L810" s="42" t="s">
        <v>806</v>
      </c>
    </row>
    <row r="811" spans="1:12" x14ac:dyDescent="0.25">
      <c r="A811" s="42" t="s">
        <v>236</v>
      </c>
      <c r="B811" s="43">
        <v>42227</v>
      </c>
      <c r="C811" s="42" t="s">
        <v>779</v>
      </c>
      <c r="D811" s="42" t="str">
        <f t="shared" si="28"/>
        <v>Credit Card Payments</v>
      </c>
      <c r="E811" s="42" t="s">
        <v>242</v>
      </c>
      <c r="F811" s="42" t="s">
        <v>238</v>
      </c>
      <c r="G811" s="44">
        <v>-1501.94</v>
      </c>
      <c r="H811" s="42">
        <f t="shared" si="27"/>
        <v>201508</v>
      </c>
      <c r="I811" s="42">
        <f>MATCH(D811,$O:$O,0)</f>
        <v>38</v>
      </c>
      <c r="J811" s="42" t="s">
        <v>39</v>
      </c>
      <c r="K811" s="42" t="s">
        <v>676</v>
      </c>
      <c r="L811" s="42" t="s">
        <v>806</v>
      </c>
    </row>
    <row r="812" spans="1:12" x14ac:dyDescent="0.25">
      <c r="A812" s="42" t="s">
        <v>236</v>
      </c>
      <c r="B812" s="43">
        <v>42227</v>
      </c>
      <c r="C812" s="42" t="s">
        <v>780</v>
      </c>
      <c r="D812" s="42" t="str">
        <f t="shared" si="28"/>
        <v>Credit Card Payments</v>
      </c>
      <c r="E812" s="42" t="s">
        <v>242</v>
      </c>
      <c r="F812" s="42" t="s">
        <v>238</v>
      </c>
      <c r="G812" s="44">
        <v>1501.94</v>
      </c>
      <c r="H812" s="42">
        <f t="shared" si="27"/>
        <v>201508</v>
      </c>
      <c r="I812" s="42">
        <f>MATCH(D812,$O:$O,0)</f>
        <v>38</v>
      </c>
      <c r="J812" s="42" t="s">
        <v>39</v>
      </c>
      <c r="K812" s="42" t="s">
        <v>649</v>
      </c>
      <c r="L812" s="42" t="s">
        <v>806</v>
      </c>
    </row>
    <row r="813" spans="1:12" x14ac:dyDescent="0.25">
      <c r="A813" s="42" t="s">
        <v>236</v>
      </c>
      <c r="B813" s="43">
        <v>42227</v>
      </c>
      <c r="C813" s="42" t="s">
        <v>600</v>
      </c>
      <c r="D813" s="42" t="str">
        <f t="shared" si="28"/>
        <v>D-Restaurant</v>
      </c>
      <c r="E813" s="42" t="s">
        <v>204</v>
      </c>
      <c r="F813" s="42" t="s">
        <v>238</v>
      </c>
      <c r="G813" s="42">
        <v>-8.1999999999999993</v>
      </c>
      <c r="H813" s="42">
        <f t="shared" si="27"/>
        <v>201508</v>
      </c>
      <c r="I813" s="42">
        <f>MATCH(D813,$O:$O,0)</f>
        <v>9</v>
      </c>
      <c r="J813" s="42" t="s">
        <v>39</v>
      </c>
      <c r="K813" s="42" t="s">
        <v>649</v>
      </c>
      <c r="L813" s="42"/>
    </row>
    <row r="814" spans="1:12" x14ac:dyDescent="0.25">
      <c r="A814" s="42" t="s">
        <v>236</v>
      </c>
      <c r="B814" s="43">
        <v>42228</v>
      </c>
      <c r="C814" s="42" t="s">
        <v>778</v>
      </c>
      <c r="D814" s="42" t="str">
        <f t="shared" si="28"/>
        <v>Grocery</v>
      </c>
      <c r="E814" s="42" t="s">
        <v>385</v>
      </c>
      <c r="F814" s="42" t="s">
        <v>238</v>
      </c>
      <c r="G814" s="42">
        <v>-4.45</v>
      </c>
      <c r="H814" s="42">
        <f t="shared" si="27"/>
        <v>201508</v>
      </c>
      <c r="I814" s="42">
        <f>MATCH(D814,$O:$O,0)</f>
        <v>12</v>
      </c>
      <c r="J814" s="42" t="s">
        <v>39</v>
      </c>
      <c r="K814" s="42" t="s">
        <v>619</v>
      </c>
      <c r="L814" s="42"/>
    </row>
    <row r="815" spans="1:12" x14ac:dyDescent="0.25">
      <c r="A815" s="42" t="s">
        <v>236</v>
      </c>
      <c r="B815" s="43">
        <v>42229</v>
      </c>
      <c r="C815" s="42" t="s">
        <v>412</v>
      </c>
      <c r="D815" s="42" t="str">
        <f t="shared" si="28"/>
        <v>Interest</v>
      </c>
      <c r="E815" s="42" t="s">
        <v>200</v>
      </c>
      <c r="F815" s="42" t="s">
        <v>238</v>
      </c>
      <c r="G815" s="42">
        <v>0.01</v>
      </c>
      <c r="H815" s="42">
        <f t="shared" si="27"/>
        <v>201508</v>
      </c>
      <c r="I815" s="42" t="e">
        <f>MATCH(D815,$O:$O,0)</f>
        <v>#N/A</v>
      </c>
      <c r="J815" s="42" t="s">
        <v>39</v>
      </c>
      <c r="K815" s="42" t="s">
        <v>675</v>
      </c>
      <c r="L815" s="42"/>
    </row>
    <row r="816" spans="1:12" x14ac:dyDescent="0.25">
      <c r="A816" s="42" t="s">
        <v>236</v>
      </c>
      <c r="B816" s="43">
        <v>42229</v>
      </c>
      <c r="C816" s="42" t="s">
        <v>412</v>
      </c>
      <c r="D816" s="42" t="str">
        <f t="shared" si="28"/>
        <v>Interest</v>
      </c>
      <c r="E816" s="42" t="s">
        <v>200</v>
      </c>
      <c r="F816" s="42" t="s">
        <v>238</v>
      </c>
      <c r="G816" s="42">
        <v>0.28999999999999998</v>
      </c>
      <c r="H816" s="42">
        <f t="shared" si="27"/>
        <v>201508</v>
      </c>
      <c r="I816" s="42" t="e">
        <f>MATCH(D816,$O:$O,0)</f>
        <v>#N/A</v>
      </c>
      <c r="J816" s="42" t="s">
        <v>39</v>
      </c>
      <c r="K816" s="42" t="s">
        <v>803</v>
      </c>
      <c r="L816" s="42"/>
    </row>
    <row r="817" spans="1:12" x14ac:dyDescent="0.25">
      <c r="A817" s="42" t="s">
        <v>236</v>
      </c>
      <c r="B817" s="43">
        <v>42229</v>
      </c>
      <c r="C817" s="42" t="s">
        <v>412</v>
      </c>
      <c r="D817" s="42" t="str">
        <f t="shared" si="28"/>
        <v>Interest</v>
      </c>
      <c r="E817" s="42" t="s">
        <v>200</v>
      </c>
      <c r="F817" s="42" t="s">
        <v>238</v>
      </c>
      <c r="G817" s="42">
        <v>0.36</v>
      </c>
      <c r="H817" s="42">
        <f t="shared" si="27"/>
        <v>201508</v>
      </c>
      <c r="I817" s="42" t="e">
        <f>MATCH(D817,$O:$O,0)</f>
        <v>#N/A</v>
      </c>
      <c r="J817" s="42" t="s">
        <v>39</v>
      </c>
      <c r="K817" s="42" t="s">
        <v>628</v>
      </c>
      <c r="L817" s="42" t="s">
        <v>812</v>
      </c>
    </row>
    <row r="818" spans="1:12" x14ac:dyDescent="0.25">
      <c r="A818" s="42" t="s">
        <v>236</v>
      </c>
      <c r="B818" s="43">
        <v>42229</v>
      </c>
      <c r="C818" s="42" t="s">
        <v>412</v>
      </c>
      <c r="D818" s="42" t="str">
        <f t="shared" si="28"/>
        <v>Interest</v>
      </c>
      <c r="E818" s="42" t="s">
        <v>200</v>
      </c>
      <c r="F818" s="42" t="s">
        <v>238</v>
      </c>
      <c r="G818" s="42">
        <v>0.51</v>
      </c>
      <c r="H818" s="42">
        <f t="shared" si="27"/>
        <v>201508</v>
      </c>
      <c r="I818" s="42" t="e">
        <f>MATCH(D818,$O:$O,0)</f>
        <v>#N/A</v>
      </c>
      <c r="J818" s="42" t="s">
        <v>39</v>
      </c>
      <c r="K818" s="42" t="s">
        <v>676</v>
      </c>
      <c r="L818" s="42" t="s">
        <v>812</v>
      </c>
    </row>
    <row r="819" spans="1:12" x14ac:dyDescent="0.25">
      <c r="A819" s="42" t="s">
        <v>236</v>
      </c>
      <c r="B819" s="43">
        <v>42229</v>
      </c>
      <c r="C819" s="42" t="s">
        <v>777</v>
      </c>
      <c r="D819" s="42" t="str">
        <f t="shared" si="28"/>
        <v>Transfers</v>
      </c>
      <c r="E819" s="42" t="s">
        <v>226</v>
      </c>
      <c r="F819" s="42" t="s">
        <v>238</v>
      </c>
      <c r="G819" s="42">
        <v>150</v>
      </c>
      <c r="H819" s="42">
        <f t="shared" si="27"/>
        <v>201508</v>
      </c>
      <c r="I819" s="42">
        <f>MATCH(D819,$O:$O,0)</f>
        <v>37</v>
      </c>
      <c r="J819" s="42" t="s">
        <v>39</v>
      </c>
      <c r="K819" s="42" t="s">
        <v>675</v>
      </c>
      <c r="L819" s="42" t="s">
        <v>806</v>
      </c>
    </row>
    <row r="820" spans="1:12" x14ac:dyDescent="0.25">
      <c r="A820" s="42" t="s">
        <v>236</v>
      </c>
      <c r="B820" s="43">
        <v>42229</v>
      </c>
      <c r="C820" s="42" t="s">
        <v>221</v>
      </c>
      <c r="D820" s="42" t="str">
        <f t="shared" si="28"/>
        <v>Tax</v>
      </c>
      <c r="E820" s="42" t="s">
        <v>222</v>
      </c>
      <c r="F820" s="42" t="s">
        <v>238</v>
      </c>
      <c r="G820" s="42">
        <v>-0.08</v>
      </c>
      <c r="H820" s="42">
        <f t="shared" si="27"/>
        <v>201508</v>
      </c>
      <c r="I820" s="42">
        <f>MATCH(D820,$O:$O,0)</f>
        <v>29</v>
      </c>
      <c r="J820" s="42" t="s">
        <v>39</v>
      </c>
      <c r="K820" s="42" t="s">
        <v>803</v>
      </c>
      <c r="L820" s="42" t="s">
        <v>813</v>
      </c>
    </row>
    <row r="821" spans="1:12" x14ac:dyDescent="0.25">
      <c r="A821" s="42" t="s">
        <v>236</v>
      </c>
      <c r="B821" s="43">
        <v>42229</v>
      </c>
      <c r="C821" s="42" t="s">
        <v>221</v>
      </c>
      <c r="D821" s="42" t="str">
        <f t="shared" si="28"/>
        <v>Tax</v>
      </c>
      <c r="E821" s="42" t="s">
        <v>222</v>
      </c>
      <c r="F821" s="42" t="s">
        <v>238</v>
      </c>
      <c r="G821" s="42">
        <v>-0.1</v>
      </c>
      <c r="H821" s="42">
        <f t="shared" si="27"/>
        <v>201508</v>
      </c>
      <c r="I821" s="42">
        <f>MATCH(D821,$O:$O,0)</f>
        <v>29</v>
      </c>
      <c r="J821" s="42" t="s">
        <v>39</v>
      </c>
      <c r="K821" s="42" t="s">
        <v>628</v>
      </c>
      <c r="L821" s="42"/>
    </row>
    <row r="822" spans="1:12" x14ac:dyDescent="0.25">
      <c r="A822" s="42" t="s">
        <v>236</v>
      </c>
      <c r="B822" s="43">
        <v>42229</v>
      </c>
      <c r="C822" s="42" t="s">
        <v>600</v>
      </c>
      <c r="D822" s="42" t="str">
        <f t="shared" si="28"/>
        <v>D-Restaurant</v>
      </c>
      <c r="E822" s="42" t="s">
        <v>204</v>
      </c>
      <c r="F822" s="42" t="s">
        <v>238</v>
      </c>
      <c r="G822" s="42">
        <v>-8.1999999999999993</v>
      </c>
      <c r="H822" s="42">
        <f t="shared" si="27"/>
        <v>201508</v>
      </c>
      <c r="I822" s="42">
        <f>MATCH(D822,$O:$O,0)</f>
        <v>9</v>
      </c>
      <c r="J822" s="42" t="s">
        <v>39</v>
      </c>
      <c r="K822" s="42" t="s">
        <v>649</v>
      </c>
      <c r="L822" s="42" t="s">
        <v>814</v>
      </c>
    </row>
    <row r="823" spans="1:12" x14ac:dyDescent="0.25">
      <c r="A823" s="42" t="s">
        <v>236</v>
      </c>
      <c r="B823" s="43">
        <v>42230</v>
      </c>
      <c r="C823" s="42" t="s">
        <v>562</v>
      </c>
      <c r="D823" s="42" t="str">
        <f t="shared" si="28"/>
        <v>Utility</v>
      </c>
      <c r="E823" s="42" t="s">
        <v>19</v>
      </c>
      <c r="F823" s="42" t="s">
        <v>238</v>
      </c>
      <c r="G823" s="42">
        <v>-70.38</v>
      </c>
      <c r="H823" s="42">
        <f t="shared" si="27"/>
        <v>201508</v>
      </c>
      <c r="I823" s="42">
        <f>MATCH(D823,$O:$O,0)</f>
        <v>34</v>
      </c>
      <c r="J823" s="42" t="s">
        <v>39</v>
      </c>
      <c r="K823" s="42" t="s">
        <v>803</v>
      </c>
      <c r="L823" s="42" t="s">
        <v>317</v>
      </c>
    </row>
    <row r="824" spans="1:12" x14ac:dyDescent="0.25">
      <c r="A824" s="42" t="s">
        <v>236</v>
      </c>
      <c r="B824" s="43">
        <v>42230</v>
      </c>
      <c r="C824" s="42" t="s">
        <v>772</v>
      </c>
      <c r="D824" s="42">
        <f t="shared" si="28"/>
        <v>0</v>
      </c>
      <c r="E824" s="42"/>
      <c r="F824" s="42" t="s">
        <v>238</v>
      </c>
      <c r="G824" s="42">
        <v>2</v>
      </c>
      <c r="H824" s="42">
        <f t="shared" si="27"/>
        <v>201508</v>
      </c>
      <c r="I824" s="42" t="e">
        <f>MATCH(D824,$O:$O,0)</f>
        <v>#N/A</v>
      </c>
      <c r="J824" s="42" t="s">
        <v>39</v>
      </c>
      <c r="K824" s="42" t="s">
        <v>803</v>
      </c>
      <c r="L824" s="42" t="s">
        <v>352</v>
      </c>
    </row>
    <row r="825" spans="1:12" x14ac:dyDescent="0.25">
      <c r="A825" s="42" t="s">
        <v>236</v>
      </c>
      <c r="B825" s="43">
        <v>42230</v>
      </c>
      <c r="C825" s="42" t="s">
        <v>773</v>
      </c>
      <c r="D825" s="42" t="str">
        <f t="shared" si="28"/>
        <v>Transfers</v>
      </c>
      <c r="E825" s="42" t="s">
        <v>226</v>
      </c>
      <c r="F825" s="42" t="s">
        <v>238</v>
      </c>
      <c r="G825" s="44">
        <v>9955</v>
      </c>
      <c r="H825" s="42">
        <f t="shared" si="27"/>
        <v>201508</v>
      </c>
      <c r="I825" s="42">
        <f>MATCH(D825,$O:$O,0)</f>
        <v>37</v>
      </c>
      <c r="J825" s="42" t="s">
        <v>39</v>
      </c>
      <c r="K825" s="42" t="s">
        <v>675</v>
      </c>
      <c r="L825" s="42" t="s">
        <v>340</v>
      </c>
    </row>
    <row r="826" spans="1:12" x14ac:dyDescent="0.25">
      <c r="A826" s="42" t="s">
        <v>236</v>
      </c>
      <c r="B826" s="43">
        <v>42230</v>
      </c>
      <c r="C826" s="42" t="s">
        <v>774</v>
      </c>
      <c r="D826" s="42" t="str">
        <f t="shared" si="28"/>
        <v>Paychecks/Salary</v>
      </c>
      <c r="E826" s="42" t="s">
        <v>375</v>
      </c>
      <c r="F826" s="42" t="s">
        <v>238</v>
      </c>
      <c r="G826" s="44">
        <v>3308.19</v>
      </c>
      <c r="H826" s="42">
        <f t="shared" si="27"/>
        <v>201508</v>
      </c>
      <c r="I826" s="42">
        <f>MATCH(D826,$O:$O,0)</f>
        <v>40</v>
      </c>
      <c r="J826" s="42" t="s">
        <v>39</v>
      </c>
      <c r="K826" s="42" t="s">
        <v>803</v>
      </c>
      <c r="L826" s="42"/>
    </row>
    <row r="827" spans="1:12" x14ac:dyDescent="0.25">
      <c r="A827" s="42" t="s">
        <v>236</v>
      </c>
      <c r="B827" s="43">
        <v>42230</v>
      </c>
      <c r="C827" s="42" t="s">
        <v>775</v>
      </c>
      <c r="D827" s="42" t="str">
        <f t="shared" si="28"/>
        <v>Grocery</v>
      </c>
      <c r="E827" s="42" t="s">
        <v>192</v>
      </c>
      <c r="F827" s="42" t="s">
        <v>238</v>
      </c>
      <c r="G827" s="42">
        <v>-14.66</v>
      </c>
      <c r="H827" s="42">
        <f t="shared" si="27"/>
        <v>201508</v>
      </c>
      <c r="I827" s="42">
        <f>MATCH(D827,$O:$O,0)</f>
        <v>12</v>
      </c>
      <c r="J827" s="42" t="s">
        <v>39</v>
      </c>
      <c r="K827" s="42" t="s">
        <v>649</v>
      </c>
      <c r="L827" s="42" t="s">
        <v>815</v>
      </c>
    </row>
    <row r="828" spans="1:12" x14ac:dyDescent="0.25">
      <c r="A828" s="42" t="s">
        <v>236</v>
      </c>
      <c r="B828" s="43">
        <v>42230</v>
      </c>
      <c r="C828" s="42" t="s">
        <v>685</v>
      </c>
      <c r="D828" s="42" t="str">
        <f t="shared" si="28"/>
        <v>D-Restaurant</v>
      </c>
      <c r="E828" s="42" t="s">
        <v>204</v>
      </c>
      <c r="F828" s="42" t="s">
        <v>238</v>
      </c>
      <c r="G828" s="42">
        <v>-8.16</v>
      </c>
      <c r="H828" s="42">
        <f t="shared" si="27"/>
        <v>201508</v>
      </c>
      <c r="I828" s="42">
        <f>MATCH(D828,$O:$O,0)</f>
        <v>9</v>
      </c>
      <c r="J828" s="42" t="s">
        <v>39</v>
      </c>
      <c r="K828" s="42" t="s">
        <v>649</v>
      </c>
      <c r="L828" s="42"/>
    </row>
    <row r="829" spans="1:12" x14ac:dyDescent="0.25">
      <c r="A829" s="42" t="s">
        <v>236</v>
      </c>
      <c r="B829" s="43">
        <v>42230</v>
      </c>
      <c r="C829" s="42" t="s">
        <v>776</v>
      </c>
      <c r="D829" s="42" t="str">
        <f t="shared" si="28"/>
        <v>D-Restaurant</v>
      </c>
      <c r="E829" s="42" t="s">
        <v>204</v>
      </c>
      <c r="F829" s="42" t="s">
        <v>238</v>
      </c>
      <c r="G829" s="42">
        <v>-9.52</v>
      </c>
      <c r="H829" s="42">
        <f t="shared" si="27"/>
        <v>201508</v>
      </c>
      <c r="I829" s="42">
        <f>MATCH(D829,$O:$O,0)</f>
        <v>9</v>
      </c>
      <c r="J829" s="42" t="s">
        <v>39</v>
      </c>
      <c r="K829" s="42" t="s">
        <v>649</v>
      </c>
      <c r="L829" s="42"/>
    </row>
    <row r="830" spans="1:12" x14ac:dyDescent="0.25">
      <c r="A830" s="42" t="s">
        <v>236</v>
      </c>
      <c r="B830" s="43">
        <v>42231</v>
      </c>
      <c r="C830" s="42" t="s">
        <v>600</v>
      </c>
      <c r="D830" s="42" t="str">
        <f t="shared" si="28"/>
        <v>D-Restaurant</v>
      </c>
      <c r="E830" s="42" t="s">
        <v>204</v>
      </c>
      <c r="F830" s="42" t="s">
        <v>238</v>
      </c>
      <c r="G830" s="42">
        <v>-8.1999999999999993</v>
      </c>
      <c r="H830" s="42">
        <f t="shared" si="27"/>
        <v>201508</v>
      </c>
      <c r="I830" s="42">
        <f>MATCH(D830,$O:$O,0)</f>
        <v>9</v>
      </c>
      <c r="J830" s="42" t="s">
        <v>39</v>
      </c>
      <c r="K830" s="42" t="s">
        <v>649</v>
      </c>
      <c r="L830" s="42"/>
    </row>
    <row r="831" spans="1:12" x14ac:dyDescent="0.25">
      <c r="A831" s="42" t="s">
        <v>236</v>
      </c>
      <c r="B831" s="43">
        <v>42233</v>
      </c>
      <c r="C831" s="42" t="s">
        <v>739</v>
      </c>
      <c r="D831" s="42" t="str">
        <f t="shared" si="28"/>
        <v>Gas</v>
      </c>
      <c r="E831" s="42" t="s">
        <v>311</v>
      </c>
      <c r="F831" s="42" t="s">
        <v>238</v>
      </c>
      <c r="G831" s="42">
        <v>-8.99</v>
      </c>
      <c r="H831" s="42">
        <f t="shared" si="27"/>
        <v>201508</v>
      </c>
      <c r="I831" s="42">
        <f>MATCH(D831,$O:$O,0)</f>
        <v>30</v>
      </c>
      <c r="J831" s="42" t="s">
        <v>39</v>
      </c>
      <c r="K831" s="42" t="s">
        <v>649</v>
      </c>
      <c r="L831" s="42"/>
    </row>
    <row r="832" spans="1:12" x14ac:dyDescent="0.25">
      <c r="A832" s="42" t="s">
        <v>236</v>
      </c>
      <c r="B832" s="43">
        <v>42233</v>
      </c>
      <c r="C832" s="42" t="s">
        <v>768</v>
      </c>
      <c r="D832" s="42" t="str">
        <f t="shared" si="28"/>
        <v>D-Restaurant</v>
      </c>
      <c r="E832" s="42" t="s">
        <v>204</v>
      </c>
      <c r="F832" s="42" t="s">
        <v>238</v>
      </c>
      <c r="G832" s="42">
        <v>-11.94</v>
      </c>
      <c r="H832" s="42">
        <f t="shared" si="27"/>
        <v>201508</v>
      </c>
      <c r="I832" s="42">
        <f>MATCH(D832,$O:$O,0)</f>
        <v>9</v>
      </c>
      <c r="J832" s="42" t="s">
        <v>39</v>
      </c>
      <c r="K832" s="42" t="s">
        <v>649</v>
      </c>
      <c r="L832" s="42" t="s">
        <v>229</v>
      </c>
    </row>
    <row r="833" spans="1:12" x14ac:dyDescent="0.25">
      <c r="A833" s="42" t="s">
        <v>236</v>
      </c>
      <c r="B833" s="43">
        <v>42233</v>
      </c>
      <c r="C833" s="42" t="s">
        <v>769</v>
      </c>
      <c r="D833" s="42" t="str">
        <f t="shared" si="28"/>
        <v>D-Travel</v>
      </c>
      <c r="E833" s="42" t="s">
        <v>161</v>
      </c>
      <c r="F833" s="42" t="s">
        <v>238</v>
      </c>
      <c r="G833" s="42">
        <v>-4</v>
      </c>
      <c r="H833" s="42">
        <f t="shared" si="27"/>
        <v>201508</v>
      </c>
      <c r="I833" s="42">
        <f>MATCH(D833,$O:$O,0)</f>
        <v>10</v>
      </c>
      <c r="J833" s="42" t="s">
        <v>39</v>
      </c>
      <c r="K833" s="42" t="s">
        <v>649</v>
      </c>
      <c r="L833" s="42" t="s">
        <v>723</v>
      </c>
    </row>
    <row r="834" spans="1:12" x14ac:dyDescent="0.25">
      <c r="A834" s="42" t="s">
        <v>236</v>
      </c>
      <c r="B834" s="43">
        <v>42233</v>
      </c>
      <c r="C834" s="42" t="s">
        <v>585</v>
      </c>
      <c r="D834" s="42" t="str">
        <f t="shared" si="28"/>
        <v>D-Travel</v>
      </c>
      <c r="E834" s="42" t="s">
        <v>161</v>
      </c>
      <c r="F834" s="42" t="s">
        <v>238</v>
      </c>
      <c r="G834" s="42">
        <v>-2.02</v>
      </c>
      <c r="H834" s="42">
        <f t="shared" ref="H834:H897" si="29">YEAR(B834)*100+MONTH(B834)</f>
        <v>201508</v>
      </c>
      <c r="I834" s="42">
        <f>MATCH(D834,$O:$O,0)</f>
        <v>10</v>
      </c>
      <c r="J834" s="42" t="s">
        <v>39</v>
      </c>
      <c r="K834" s="42" t="s">
        <v>649</v>
      </c>
      <c r="L834" s="42" t="s">
        <v>256</v>
      </c>
    </row>
    <row r="835" spans="1:12" x14ac:dyDescent="0.25">
      <c r="A835" s="42" t="s">
        <v>236</v>
      </c>
      <c r="B835" s="43">
        <v>42233</v>
      </c>
      <c r="C835" s="42" t="s">
        <v>770</v>
      </c>
      <c r="D835" s="42" t="str">
        <f t="shared" si="28"/>
        <v>Home Maintainence/Improvement</v>
      </c>
      <c r="E835" s="42" t="s">
        <v>342</v>
      </c>
      <c r="F835" s="42" t="s">
        <v>238</v>
      </c>
      <c r="G835" s="42">
        <v>-43.54</v>
      </c>
      <c r="H835" s="42">
        <f t="shared" si="29"/>
        <v>201508</v>
      </c>
      <c r="I835" s="42">
        <f>MATCH(D835,$O:$O,0)</f>
        <v>16</v>
      </c>
      <c r="J835" s="42" t="s">
        <v>39</v>
      </c>
      <c r="K835" s="42" t="s">
        <v>649</v>
      </c>
      <c r="L835" s="42" t="s">
        <v>339</v>
      </c>
    </row>
    <row r="836" spans="1:12" x14ac:dyDescent="0.25">
      <c r="A836" s="42" t="s">
        <v>236</v>
      </c>
      <c r="B836" s="43">
        <v>42233</v>
      </c>
      <c r="C836" s="42" t="s">
        <v>771</v>
      </c>
      <c r="D836" s="42" t="str">
        <f t="shared" si="28"/>
        <v>D-Restaurant</v>
      </c>
      <c r="E836" s="42" t="s">
        <v>204</v>
      </c>
      <c r="F836" s="42" t="s">
        <v>238</v>
      </c>
      <c r="G836" s="42">
        <v>-582.9</v>
      </c>
      <c r="H836" s="42">
        <f t="shared" si="29"/>
        <v>201508</v>
      </c>
      <c r="I836" s="42">
        <f>MATCH(D836,$O:$O,0)</f>
        <v>9</v>
      </c>
      <c r="J836" s="42" t="s">
        <v>39</v>
      </c>
      <c r="K836" s="42" t="s">
        <v>649</v>
      </c>
      <c r="L836" s="42" t="s">
        <v>816</v>
      </c>
    </row>
    <row r="837" spans="1:12" x14ac:dyDescent="0.25">
      <c r="A837" s="42" t="s">
        <v>236</v>
      </c>
      <c r="B837" s="43">
        <v>42233</v>
      </c>
      <c r="C837" s="42" t="s">
        <v>734</v>
      </c>
      <c r="D837" s="42" t="str">
        <f t="shared" si="28"/>
        <v>Grocery</v>
      </c>
      <c r="E837" s="42" t="s">
        <v>192</v>
      </c>
      <c r="F837" s="42" t="s">
        <v>238</v>
      </c>
      <c r="G837" s="42">
        <v>-8.1300000000000008</v>
      </c>
      <c r="H837" s="42">
        <f t="shared" si="29"/>
        <v>201508</v>
      </c>
      <c r="I837" s="42">
        <f>MATCH(D837,$O:$O,0)</f>
        <v>12</v>
      </c>
      <c r="J837" s="42" t="s">
        <v>39</v>
      </c>
      <c r="K837" s="42" t="s">
        <v>649</v>
      </c>
      <c r="L837" s="42" t="s">
        <v>804</v>
      </c>
    </row>
    <row r="838" spans="1:12" x14ac:dyDescent="0.25">
      <c r="A838" s="42" t="s">
        <v>236</v>
      </c>
      <c r="B838" s="43">
        <v>42233</v>
      </c>
      <c r="C838" s="42" t="s">
        <v>249</v>
      </c>
      <c r="D838" s="42" t="str">
        <f t="shared" si="28"/>
        <v>Retirement Contributions</v>
      </c>
      <c r="E838" s="42" t="s">
        <v>263</v>
      </c>
      <c r="F838" s="42" t="s">
        <v>238</v>
      </c>
      <c r="G838" s="42">
        <v>708.91</v>
      </c>
      <c r="H838" s="42">
        <f t="shared" si="29"/>
        <v>201508</v>
      </c>
      <c r="I838" s="42">
        <f>MATCH(D838,$O:$O,0)</f>
        <v>39</v>
      </c>
      <c r="J838" s="42" t="s">
        <v>39</v>
      </c>
      <c r="K838" s="42" t="s">
        <v>632</v>
      </c>
      <c r="L838" s="42" t="s">
        <v>814</v>
      </c>
    </row>
    <row r="839" spans="1:12" x14ac:dyDescent="0.25">
      <c r="A839" s="42" t="s">
        <v>236</v>
      </c>
      <c r="B839" s="43">
        <v>42234</v>
      </c>
      <c r="C839" s="42" t="s">
        <v>766</v>
      </c>
      <c r="D839" s="42" t="str">
        <f t="shared" si="28"/>
        <v>Grocery</v>
      </c>
      <c r="E839" s="42" t="s">
        <v>192</v>
      </c>
      <c r="F839" s="42" t="s">
        <v>238</v>
      </c>
      <c r="G839" s="42">
        <v>-11.88</v>
      </c>
      <c r="H839" s="42">
        <f t="shared" si="29"/>
        <v>201508</v>
      </c>
      <c r="I839" s="42">
        <f>MATCH(D839,$O:$O,0)</f>
        <v>12</v>
      </c>
      <c r="J839" s="42" t="s">
        <v>39</v>
      </c>
      <c r="K839" s="42" t="s">
        <v>649</v>
      </c>
      <c r="L839" s="42" t="s">
        <v>200</v>
      </c>
    </row>
    <row r="840" spans="1:12" x14ac:dyDescent="0.25">
      <c r="A840" s="42" t="s">
        <v>236</v>
      </c>
      <c r="B840" s="43">
        <v>42234</v>
      </c>
      <c r="C840" s="42" t="s">
        <v>509</v>
      </c>
      <c r="D840" s="42" t="str">
        <f t="shared" si="28"/>
        <v>D-Coffee</v>
      </c>
      <c r="E840" s="42" t="s">
        <v>215</v>
      </c>
      <c r="F840" s="42" t="s">
        <v>238</v>
      </c>
      <c r="G840" s="42">
        <v>-2.25</v>
      </c>
      <c r="H840" s="42">
        <f t="shared" si="29"/>
        <v>201508</v>
      </c>
      <c r="I840" s="42">
        <f>MATCH(D840,$O:$O,0)</f>
        <v>7</v>
      </c>
      <c r="J840" s="42" t="s">
        <v>39</v>
      </c>
      <c r="K840" s="42" t="s">
        <v>649</v>
      </c>
      <c r="L840" s="42" t="s">
        <v>200</v>
      </c>
    </row>
    <row r="841" spans="1:12" x14ac:dyDescent="0.25">
      <c r="A841" s="42" t="s">
        <v>236</v>
      </c>
      <c r="B841" s="43">
        <v>42234</v>
      </c>
      <c r="C841" s="42" t="s">
        <v>767</v>
      </c>
      <c r="D841" s="42" t="str">
        <f t="shared" si="28"/>
        <v>Newspapers</v>
      </c>
      <c r="E841" s="42" t="s">
        <v>35</v>
      </c>
      <c r="F841" s="42" t="s">
        <v>238</v>
      </c>
      <c r="G841" s="42">
        <v>-11.37</v>
      </c>
      <c r="H841" s="42">
        <f t="shared" si="29"/>
        <v>201508</v>
      </c>
      <c r="I841" s="42">
        <f>MATCH(D841,$O:$O,0)</f>
        <v>23</v>
      </c>
      <c r="J841" s="42" t="s">
        <v>39</v>
      </c>
      <c r="K841" s="42" t="s">
        <v>649</v>
      </c>
      <c r="L841" s="42" t="s">
        <v>200</v>
      </c>
    </row>
    <row r="842" spans="1:12" x14ac:dyDescent="0.25">
      <c r="A842" s="42" t="s">
        <v>236</v>
      </c>
      <c r="B842" s="43">
        <v>42235</v>
      </c>
      <c r="C842" s="42" t="s">
        <v>754</v>
      </c>
      <c r="D842" s="42" t="str">
        <f t="shared" si="28"/>
        <v>D-Coffee</v>
      </c>
      <c r="E842" s="42" t="s">
        <v>215</v>
      </c>
      <c r="F842" s="42" t="s">
        <v>238</v>
      </c>
      <c r="G842" s="42">
        <v>-3.78</v>
      </c>
      <c r="H842" s="42">
        <f t="shared" si="29"/>
        <v>201508</v>
      </c>
      <c r="I842" s="42">
        <f>MATCH(D842,$O:$O,0)</f>
        <v>7</v>
      </c>
      <c r="J842" s="42" t="s">
        <v>39</v>
      </c>
      <c r="K842" s="42" t="s">
        <v>649</v>
      </c>
      <c r="L842" s="42" t="s">
        <v>200</v>
      </c>
    </row>
    <row r="843" spans="1:12" x14ac:dyDescent="0.25">
      <c r="A843" s="42" t="s">
        <v>236</v>
      </c>
      <c r="B843" s="43">
        <v>42235</v>
      </c>
      <c r="C843" s="42" t="s">
        <v>759</v>
      </c>
      <c r="D843" s="42" t="str">
        <f t="shared" si="28"/>
        <v>D-Travel</v>
      </c>
      <c r="E843" s="42" t="s">
        <v>161</v>
      </c>
      <c r="F843" s="42" t="s">
        <v>238</v>
      </c>
      <c r="G843" s="42">
        <v>-25</v>
      </c>
      <c r="H843" s="42">
        <f t="shared" si="29"/>
        <v>201508</v>
      </c>
      <c r="I843" s="42">
        <f>MATCH(D843,$O:$O,0)</f>
        <v>10</v>
      </c>
      <c r="J843" s="42" t="s">
        <v>39</v>
      </c>
      <c r="K843" s="42" t="s">
        <v>649</v>
      </c>
      <c r="L843" s="42" t="s">
        <v>723</v>
      </c>
    </row>
    <row r="844" spans="1:12" x14ac:dyDescent="0.25">
      <c r="A844" s="42" t="s">
        <v>236</v>
      </c>
      <c r="B844" s="43">
        <v>42235</v>
      </c>
      <c r="C844" s="42" t="s">
        <v>760</v>
      </c>
      <c r="D844" s="42" t="str">
        <f t="shared" si="28"/>
        <v>D-Travel</v>
      </c>
      <c r="E844" s="42" t="s">
        <v>161</v>
      </c>
      <c r="F844" s="42" t="s">
        <v>238</v>
      </c>
      <c r="G844" s="42">
        <v>-25</v>
      </c>
      <c r="H844" s="42">
        <f t="shared" si="29"/>
        <v>201508</v>
      </c>
      <c r="I844" s="42">
        <f>MATCH(D844,$O:$O,0)</f>
        <v>10</v>
      </c>
      <c r="J844" s="42" t="s">
        <v>39</v>
      </c>
      <c r="K844" s="42" t="s">
        <v>649</v>
      </c>
      <c r="L844" s="42"/>
    </row>
    <row r="845" spans="1:12" x14ac:dyDescent="0.25">
      <c r="A845" s="42" t="s">
        <v>236</v>
      </c>
      <c r="B845" s="43">
        <v>42235</v>
      </c>
      <c r="C845" s="42" t="s">
        <v>761</v>
      </c>
      <c r="D845" s="42" t="str">
        <f t="shared" si="28"/>
        <v>D-Travel</v>
      </c>
      <c r="E845" s="42" t="s">
        <v>161</v>
      </c>
      <c r="F845" s="42" t="s">
        <v>238</v>
      </c>
      <c r="G845" s="42">
        <v>-25</v>
      </c>
      <c r="H845" s="42">
        <f t="shared" si="29"/>
        <v>201508</v>
      </c>
      <c r="I845" s="42">
        <f>MATCH(D845,$O:$O,0)</f>
        <v>10</v>
      </c>
      <c r="J845" s="42" t="s">
        <v>39</v>
      </c>
      <c r="K845" s="42" t="s">
        <v>649</v>
      </c>
      <c r="L845" s="42"/>
    </row>
    <row r="846" spans="1:12" x14ac:dyDescent="0.25">
      <c r="A846" s="42" t="s">
        <v>236</v>
      </c>
      <c r="B846" s="43">
        <v>42235</v>
      </c>
      <c r="C846" s="42" t="s">
        <v>762</v>
      </c>
      <c r="D846" s="42" t="str">
        <f t="shared" si="28"/>
        <v>D-Travel</v>
      </c>
      <c r="E846" s="42" t="s">
        <v>161</v>
      </c>
      <c r="F846" s="42" t="s">
        <v>238</v>
      </c>
      <c r="G846" s="42">
        <v>-39</v>
      </c>
      <c r="H846" s="42">
        <f t="shared" si="29"/>
        <v>201508</v>
      </c>
      <c r="I846" s="42">
        <f>MATCH(D846,$O:$O,0)</f>
        <v>10</v>
      </c>
      <c r="J846" s="42" t="s">
        <v>39</v>
      </c>
      <c r="K846" s="42" t="s">
        <v>649</v>
      </c>
      <c r="L846" s="42"/>
    </row>
    <row r="847" spans="1:12" x14ac:dyDescent="0.25">
      <c r="A847" s="42" t="s">
        <v>236</v>
      </c>
      <c r="B847" s="43">
        <v>42235</v>
      </c>
      <c r="C847" s="42" t="s">
        <v>509</v>
      </c>
      <c r="D847" s="42" t="str">
        <f t="shared" si="28"/>
        <v>D-Coffee</v>
      </c>
      <c r="E847" s="42" t="s">
        <v>215</v>
      </c>
      <c r="F847" s="42" t="s">
        <v>238</v>
      </c>
      <c r="G847" s="42">
        <v>-2.25</v>
      </c>
      <c r="H847" s="42">
        <f t="shared" si="29"/>
        <v>201508</v>
      </c>
      <c r="I847" s="42">
        <f>MATCH(D847,$O:$O,0)</f>
        <v>7</v>
      </c>
      <c r="J847" s="42" t="s">
        <v>39</v>
      </c>
      <c r="K847" s="42" t="s">
        <v>649</v>
      </c>
      <c r="L847" s="42" t="s">
        <v>289</v>
      </c>
    </row>
    <row r="848" spans="1:12" x14ac:dyDescent="0.25">
      <c r="A848" s="42" t="s">
        <v>236</v>
      </c>
      <c r="B848" s="43">
        <v>42235</v>
      </c>
      <c r="C848" s="42" t="s">
        <v>600</v>
      </c>
      <c r="D848" s="42" t="str">
        <f t="shared" si="28"/>
        <v>D-Restaurant</v>
      </c>
      <c r="E848" s="42" t="s">
        <v>204</v>
      </c>
      <c r="F848" s="42" t="s">
        <v>238</v>
      </c>
      <c r="G848" s="42">
        <v>-7.75</v>
      </c>
      <c r="H848" s="42">
        <f t="shared" si="29"/>
        <v>201508</v>
      </c>
      <c r="I848" s="42">
        <f>MATCH(D848,$O:$O,0)</f>
        <v>9</v>
      </c>
      <c r="J848" s="42" t="s">
        <v>39</v>
      </c>
      <c r="K848" s="42" t="s">
        <v>649</v>
      </c>
      <c r="L848" s="42"/>
    </row>
    <row r="849" spans="1:12" x14ac:dyDescent="0.25">
      <c r="A849" s="42" t="s">
        <v>236</v>
      </c>
      <c r="B849" s="43">
        <v>42235</v>
      </c>
      <c r="C849" s="42" t="s">
        <v>763</v>
      </c>
      <c r="D849" s="42" t="str">
        <f t="shared" si="28"/>
        <v>Uncategorized</v>
      </c>
      <c r="E849" s="42" t="s">
        <v>102</v>
      </c>
      <c r="F849" s="42" t="s">
        <v>238</v>
      </c>
      <c r="G849" s="42">
        <v>-2.5</v>
      </c>
      <c r="H849" s="42">
        <f t="shared" si="29"/>
        <v>201508</v>
      </c>
      <c r="I849" s="42">
        <f>MATCH(D849,$O:$O,0)</f>
        <v>33</v>
      </c>
      <c r="J849" s="42" t="s">
        <v>39</v>
      </c>
      <c r="K849" s="42" t="s">
        <v>649</v>
      </c>
      <c r="L849" s="42"/>
    </row>
    <row r="850" spans="1:12" x14ac:dyDescent="0.25">
      <c r="A850" s="42" t="s">
        <v>236</v>
      </c>
      <c r="B850" s="43">
        <v>42235</v>
      </c>
      <c r="C850" s="42" t="s">
        <v>764</v>
      </c>
      <c r="D850" s="42" t="str">
        <f t="shared" si="28"/>
        <v>Gifts</v>
      </c>
      <c r="E850" s="42" t="s">
        <v>40</v>
      </c>
      <c r="F850" s="42" t="s">
        <v>238</v>
      </c>
      <c r="G850" s="42">
        <v>-48.75</v>
      </c>
      <c r="H850" s="42">
        <f t="shared" si="29"/>
        <v>201508</v>
      </c>
      <c r="I850" s="42">
        <f>MATCH(D850,$O:$O,0)</f>
        <v>11</v>
      </c>
      <c r="J850" s="42" t="s">
        <v>39</v>
      </c>
      <c r="K850" s="42" t="s">
        <v>649</v>
      </c>
      <c r="L850" s="42"/>
    </row>
    <row r="851" spans="1:12" x14ac:dyDescent="0.25">
      <c r="A851" s="42" t="s">
        <v>236</v>
      </c>
      <c r="B851" s="43">
        <v>42235</v>
      </c>
      <c r="C851" s="42" t="s">
        <v>765</v>
      </c>
      <c r="D851" s="42" t="str">
        <f t="shared" si="28"/>
        <v>Grocery</v>
      </c>
      <c r="E851" s="42" t="s">
        <v>192</v>
      </c>
      <c r="F851" s="42" t="s">
        <v>238</v>
      </c>
      <c r="G851" s="42">
        <v>-56</v>
      </c>
      <c r="H851" s="42">
        <f t="shared" si="29"/>
        <v>201508</v>
      </c>
      <c r="I851" s="42">
        <f>MATCH(D851,$O:$O,0)</f>
        <v>12</v>
      </c>
      <c r="J851" s="42" t="s">
        <v>39</v>
      </c>
      <c r="K851" s="42" t="s">
        <v>649</v>
      </c>
      <c r="L851" s="42" t="s">
        <v>186</v>
      </c>
    </row>
    <row r="852" spans="1:12" x14ac:dyDescent="0.25">
      <c r="A852" s="42" t="s">
        <v>236</v>
      </c>
      <c r="B852" s="43">
        <v>42235</v>
      </c>
      <c r="C852" s="42" t="s">
        <v>765</v>
      </c>
      <c r="D852" s="42" t="str">
        <f t="shared" si="28"/>
        <v>Grocery</v>
      </c>
      <c r="E852" s="42" t="s">
        <v>192</v>
      </c>
      <c r="F852" s="42" t="s">
        <v>238</v>
      </c>
      <c r="G852" s="42">
        <v>-56</v>
      </c>
      <c r="H852" s="42">
        <f t="shared" si="29"/>
        <v>201508</v>
      </c>
      <c r="I852" s="42">
        <f>MATCH(D852,$O:$O,0)</f>
        <v>12</v>
      </c>
      <c r="J852" s="42" t="s">
        <v>39</v>
      </c>
      <c r="K852" s="42" t="s">
        <v>649</v>
      </c>
      <c r="L852" s="42" t="s">
        <v>817</v>
      </c>
    </row>
    <row r="853" spans="1:12" x14ac:dyDescent="0.25">
      <c r="A853" s="42" t="s">
        <v>236</v>
      </c>
      <c r="B853" s="43">
        <v>42235</v>
      </c>
      <c r="C853" s="42" t="s">
        <v>761</v>
      </c>
      <c r="D853" s="42" t="str">
        <f t="shared" si="28"/>
        <v>D-Travel</v>
      </c>
      <c r="E853" s="42" t="s">
        <v>161</v>
      </c>
      <c r="F853" s="42" t="s">
        <v>238</v>
      </c>
      <c r="G853" s="42">
        <v>25</v>
      </c>
      <c r="H853" s="42">
        <f t="shared" si="29"/>
        <v>201508</v>
      </c>
      <c r="I853" s="42">
        <f>MATCH(D853,$O:$O,0)</f>
        <v>10</v>
      </c>
      <c r="J853" s="42" t="s">
        <v>39</v>
      </c>
      <c r="K853" s="42" t="s">
        <v>649</v>
      </c>
      <c r="L853" s="42" t="s">
        <v>252</v>
      </c>
    </row>
    <row r="854" spans="1:12" x14ac:dyDescent="0.25">
      <c r="A854" s="42" t="s">
        <v>236</v>
      </c>
      <c r="B854" s="43">
        <v>42236</v>
      </c>
      <c r="C854" s="42" t="s">
        <v>756</v>
      </c>
      <c r="D854" s="42" t="str">
        <f t="shared" si="28"/>
        <v>Grocery</v>
      </c>
      <c r="E854" s="42" t="s">
        <v>192</v>
      </c>
      <c r="F854" s="42" t="s">
        <v>238</v>
      </c>
      <c r="G854" s="42">
        <v>-3</v>
      </c>
      <c r="H854" s="42">
        <f t="shared" si="29"/>
        <v>201508</v>
      </c>
      <c r="I854" s="42">
        <f>MATCH(D854,$O:$O,0)</f>
        <v>12</v>
      </c>
      <c r="J854" s="42" t="s">
        <v>39</v>
      </c>
      <c r="K854" s="42" t="s">
        <v>649</v>
      </c>
      <c r="L854" s="42" t="s">
        <v>818</v>
      </c>
    </row>
    <row r="855" spans="1:12" x14ac:dyDescent="0.25">
      <c r="A855" s="42" t="s">
        <v>236</v>
      </c>
      <c r="B855" s="43">
        <v>42236</v>
      </c>
      <c r="C855" s="42" t="s">
        <v>757</v>
      </c>
      <c r="D855" s="42" t="str">
        <f t="shared" si="28"/>
        <v>D-Restaurant</v>
      </c>
      <c r="E855" s="42" t="s">
        <v>204</v>
      </c>
      <c r="F855" s="42" t="s">
        <v>238</v>
      </c>
      <c r="G855" s="42">
        <v>-7.99</v>
      </c>
      <c r="H855" s="42">
        <f t="shared" si="29"/>
        <v>201508</v>
      </c>
      <c r="I855" s="42">
        <f>MATCH(D855,$O:$O,0)</f>
        <v>9</v>
      </c>
      <c r="J855" s="42" t="s">
        <v>39</v>
      </c>
      <c r="K855" s="42" t="s">
        <v>619</v>
      </c>
      <c r="L855" s="42" t="s">
        <v>819</v>
      </c>
    </row>
    <row r="856" spans="1:12" x14ac:dyDescent="0.25">
      <c r="A856" s="42" t="s">
        <v>236</v>
      </c>
      <c r="B856" s="43">
        <v>42236</v>
      </c>
      <c r="C856" s="42" t="s">
        <v>758</v>
      </c>
      <c r="D856" s="42" t="str">
        <f t="shared" si="28"/>
        <v>D-Restaurant</v>
      </c>
      <c r="E856" s="42" t="s">
        <v>204</v>
      </c>
      <c r="F856" s="42" t="s">
        <v>238</v>
      </c>
      <c r="G856" s="42">
        <v>-8.65</v>
      </c>
      <c r="H856" s="42">
        <f t="shared" si="29"/>
        <v>201508</v>
      </c>
      <c r="I856" s="42">
        <f>MATCH(D856,$O:$O,0)</f>
        <v>9</v>
      </c>
      <c r="J856" s="42" t="s">
        <v>39</v>
      </c>
      <c r="K856" s="42" t="s">
        <v>619</v>
      </c>
      <c r="L856" s="42" t="s">
        <v>289</v>
      </c>
    </row>
    <row r="857" spans="1:12" x14ac:dyDescent="0.25">
      <c r="A857" s="42" t="s">
        <v>236</v>
      </c>
      <c r="B857" s="43">
        <v>42237</v>
      </c>
      <c r="C857" s="42" t="s">
        <v>753</v>
      </c>
      <c r="D857" s="42" t="str">
        <f t="shared" si="28"/>
        <v>D-Travel</v>
      </c>
      <c r="E857" s="42" t="s">
        <v>161</v>
      </c>
      <c r="F857" s="42" t="s">
        <v>238</v>
      </c>
      <c r="G857" s="42">
        <v>-25</v>
      </c>
      <c r="H857" s="42">
        <f t="shared" si="29"/>
        <v>201508</v>
      </c>
      <c r="I857" s="42">
        <f>MATCH(D857,$O:$O,0)</f>
        <v>10</v>
      </c>
      <c r="J857" s="42" t="s">
        <v>39</v>
      </c>
      <c r="K857" s="42" t="s">
        <v>649</v>
      </c>
      <c r="L857" s="42"/>
    </row>
    <row r="858" spans="1:12" x14ac:dyDescent="0.25">
      <c r="A858" s="42" t="s">
        <v>236</v>
      </c>
      <c r="B858" s="43">
        <v>42237</v>
      </c>
      <c r="C858" s="42" t="s">
        <v>754</v>
      </c>
      <c r="D858" s="42" t="str">
        <f t="shared" si="28"/>
        <v>D-Coffee</v>
      </c>
      <c r="E858" s="42" t="s">
        <v>215</v>
      </c>
      <c r="F858" s="42" t="s">
        <v>238</v>
      </c>
      <c r="G858" s="42">
        <v>-18.7</v>
      </c>
      <c r="H858" s="42">
        <f t="shared" si="29"/>
        <v>201508</v>
      </c>
      <c r="I858" s="42">
        <f>MATCH(D858,$O:$O,0)</f>
        <v>7</v>
      </c>
      <c r="J858" s="42" t="s">
        <v>39</v>
      </c>
      <c r="K858" s="42" t="s">
        <v>649</v>
      </c>
      <c r="L858" s="42" t="s">
        <v>804</v>
      </c>
    </row>
    <row r="859" spans="1:12" x14ac:dyDescent="0.25">
      <c r="A859" s="42" t="s">
        <v>236</v>
      </c>
      <c r="B859" s="43">
        <v>42237</v>
      </c>
      <c r="C859" s="42" t="s">
        <v>755</v>
      </c>
      <c r="D859" s="42" t="str">
        <f t="shared" si="28"/>
        <v>D-Restaurant</v>
      </c>
      <c r="E859" s="42" t="s">
        <v>204</v>
      </c>
      <c r="F859" s="42" t="s">
        <v>238</v>
      </c>
      <c r="G859" s="42">
        <v>-15.54</v>
      </c>
      <c r="H859" s="42">
        <f t="shared" si="29"/>
        <v>201508</v>
      </c>
      <c r="I859" s="42">
        <f>MATCH(D859,$O:$O,0)</f>
        <v>9</v>
      </c>
      <c r="J859" s="42" t="s">
        <v>39</v>
      </c>
      <c r="K859" s="42" t="s">
        <v>649</v>
      </c>
      <c r="L859" s="42" t="s">
        <v>333</v>
      </c>
    </row>
    <row r="860" spans="1:12" x14ac:dyDescent="0.25">
      <c r="A860" s="42" t="s">
        <v>236</v>
      </c>
      <c r="B860" s="43">
        <v>42237</v>
      </c>
      <c r="C860" s="42" t="s">
        <v>424</v>
      </c>
      <c r="D860" s="42" t="str">
        <f t="shared" si="28"/>
        <v>Gas</v>
      </c>
      <c r="E860" s="42" t="s">
        <v>311</v>
      </c>
      <c r="F860" s="42" t="s">
        <v>238</v>
      </c>
      <c r="G860" s="42">
        <v>-36.21</v>
      </c>
      <c r="H860" s="42">
        <f t="shared" si="29"/>
        <v>201508</v>
      </c>
      <c r="I860" s="42">
        <f>MATCH(D860,$O:$O,0)</f>
        <v>30</v>
      </c>
      <c r="J860" s="42" t="s">
        <v>39</v>
      </c>
      <c r="K860" s="42" t="s">
        <v>619</v>
      </c>
      <c r="L860" s="42" t="s">
        <v>333</v>
      </c>
    </row>
    <row r="861" spans="1:12" x14ac:dyDescent="0.25">
      <c r="A861" s="42" t="s">
        <v>236</v>
      </c>
      <c r="B861" s="43">
        <v>42238</v>
      </c>
      <c r="C861" s="42" t="s">
        <v>752</v>
      </c>
      <c r="D861" s="42" t="str">
        <f t="shared" si="28"/>
        <v>Gas</v>
      </c>
      <c r="E861" s="42" t="s">
        <v>311</v>
      </c>
      <c r="F861" s="42" t="s">
        <v>238</v>
      </c>
      <c r="G861" s="42">
        <v>-4.51</v>
      </c>
      <c r="H861" s="42">
        <f t="shared" si="29"/>
        <v>201508</v>
      </c>
      <c r="I861" s="42">
        <f>MATCH(D861,$O:$O,0)</f>
        <v>30</v>
      </c>
      <c r="J861" s="42" t="s">
        <v>39</v>
      </c>
      <c r="K861" s="42" t="s">
        <v>649</v>
      </c>
      <c r="L861" s="42"/>
    </row>
    <row r="862" spans="1:12" x14ac:dyDescent="0.25">
      <c r="A862" s="42" t="s">
        <v>236</v>
      </c>
      <c r="B862" s="43">
        <v>42240</v>
      </c>
      <c r="C862" s="42" t="s">
        <v>748</v>
      </c>
      <c r="D862" s="42" t="str">
        <f t="shared" si="28"/>
        <v>Transfers</v>
      </c>
      <c r="E862" s="42" t="s">
        <v>226</v>
      </c>
      <c r="F862" s="42" t="s">
        <v>238</v>
      </c>
      <c r="G862" s="42">
        <v>-0.4</v>
      </c>
      <c r="H862" s="42">
        <f t="shared" si="29"/>
        <v>201508</v>
      </c>
      <c r="I862" s="42">
        <f>MATCH(D862,$O:$O,0)</f>
        <v>37</v>
      </c>
      <c r="J862" s="42" t="s">
        <v>39</v>
      </c>
      <c r="K862" s="42" t="s">
        <v>803</v>
      </c>
      <c r="L862" s="42" t="s">
        <v>333</v>
      </c>
    </row>
    <row r="863" spans="1:12" x14ac:dyDescent="0.25">
      <c r="A863" s="42" t="s">
        <v>236</v>
      </c>
      <c r="B863" s="43">
        <v>42240</v>
      </c>
      <c r="C863" s="42" t="s">
        <v>749</v>
      </c>
      <c r="D863" s="42" t="str">
        <f t="shared" si="28"/>
        <v>Gas</v>
      </c>
      <c r="E863" s="42" t="s">
        <v>311</v>
      </c>
      <c r="F863" s="42" t="s">
        <v>238</v>
      </c>
      <c r="G863" s="42">
        <v>-29.6</v>
      </c>
      <c r="H863" s="42">
        <f t="shared" si="29"/>
        <v>201508</v>
      </c>
      <c r="I863" s="42">
        <f>MATCH(D863,$O:$O,0)</f>
        <v>30</v>
      </c>
      <c r="J863" s="42" t="s">
        <v>39</v>
      </c>
      <c r="K863" s="42" t="s">
        <v>803</v>
      </c>
      <c r="L863" s="42" t="s">
        <v>820</v>
      </c>
    </row>
    <row r="864" spans="1:12" x14ac:dyDescent="0.25">
      <c r="A864" s="42" t="s">
        <v>236</v>
      </c>
      <c r="B864" s="43">
        <v>42240</v>
      </c>
      <c r="C864" s="42" t="s">
        <v>750</v>
      </c>
      <c r="D864" s="42" t="str">
        <f t="shared" si="28"/>
        <v>D-Restaurant</v>
      </c>
      <c r="E864" s="42" t="s">
        <v>204</v>
      </c>
      <c r="F864" s="42" t="s">
        <v>238</v>
      </c>
      <c r="G864" s="42">
        <v>-7.03</v>
      </c>
      <c r="H864" s="42">
        <f t="shared" si="29"/>
        <v>201508</v>
      </c>
      <c r="I864" s="42">
        <f>MATCH(D864,$O:$O,0)</f>
        <v>9</v>
      </c>
      <c r="J864" s="42" t="s">
        <v>39</v>
      </c>
      <c r="K864" s="42" t="s">
        <v>649</v>
      </c>
      <c r="L864" s="42" t="s">
        <v>804</v>
      </c>
    </row>
    <row r="865" spans="1:12" x14ac:dyDescent="0.25">
      <c r="A865" s="42" t="s">
        <v>236</v>
      </c>
      <c r="B865" s="43">
        <v>42240</v>
      </c>
      <c r="C865" s="42" t="s">
        <v>750</v>
      </c>
      <c r="D865" s="42" t="str">
        <f t="shared" si="28"/>
        <v>D-Restaurant</v>
      </c>
      <c r="E865" s="42" t="s">
        <v>204</v>
      </c>
      <c r="F865" s="42" t="s">
        <v>238</v>
      </c>
      <c r="G865" s="42">
        <v>-10.33</v>
      </c>
      <c r="H865" s="42">
        <f t="shared" si="29"/>
        <v>201508</v>
      </c>
      <c r="I865" s="42">
        <f>MATCH(D865,$O:$O,0)</f>
        <v>9</v>
      </c>
      <c r="J865" s="42" t="s">
        <v>39</v>
      </c>
      <c r="K865" s="42" t="s">
        <v>649</v>
      </c>
      <c r="L865" s="42" t="s">
        <v>821</v>
      </c>
    </row>
    <row r="866" spans="1:12" x14ac:dyDescent="0.25">
      <c r="A866" s="42" t="s">
        <v>236</v>
      </c>
      <c r="B866" s="43">
        <v>42240</v>
      </c>
      <c r="C866" s="42" t="s">
        <v>751</v>
      </c>
      <c r="D866" s="42" t="str">
        <f t="shared" si="28"/>
        <v>Grocery</v>
      </c>
      <c r="E866" s="42" t="s">
        <v>192</v>
      </c>
      <c r="F866" s="42" t="s">
        <v>238</v>
      </c>
      <c r="G866" s="42">
        <v>-4.1900000000000004</v>
      </c>
      <c r="H866" s="42">
        <f t="shared" si="29"/>
        <v>201508</v>
      </c>
      <c r="I866" s="42">
        <f>MATCH(D866,$O:$O,0)</f>
        <v>12</v>
      </c>
      <c r="J866" s="42" t="s">
        <v>39</v>
      </c>
      <c r="K866" s="42" t="s">
        <v>649</v>
      </c>
      <c r="L866" s="42" t="s">
        <v>91</v>
      </c>
    </row>
    <row r="867" spans="1:12" x14ac:dyDescent="0.25">
      <c r="A867" s="42" t="s">
        <v>236</v>
      </c>
      <c r="B867" s="43">
        <v>42241</v>
      </c>
      <c r="C867" s="42" t="s">
        <v>745</v>
      </c>
      <c r="D867" s="42" t="str">
        <f t="shared" si="28"/>
        <v>Gifts</v>
      </c>
      <c r="E867" s="42" t="s">
        <v>40</v>
      </c>
      <c r="F867" s="42" t="s">
        <v>238</v>
      </c>
      <c r="G867" s="42">
        <v>-73</v>
      </c>
      <c r="H867" s="42">
        <f t="shared" si="29"/>
        <v>201508</v>
      </c>
      <c r="I867" s="42">
        <f>MATCH(D867,$O:$O,0)</f>
        <v>11</v>
      </c>
      <c r="J867" s="42" t="s">
        <v>39</v>
      </c>
      <c r="K867" s="42" t="s">
        <v>803</v>
      </c>
      <c r="L867" s="42" t="s">
        <v>252</v>
      </c>
    </row>
    <row r="868" spans="1:12" x14ac:dyDescent="0.25">
      <c r="A868" s="42" t="s">
        <v>236</v>
      </c>
      <c r="B868" s="43">
        <v>42241</v>
      </c>
      <c r="C868" s="42" t="s">
        <v>746</v>
      </c>
      <c r="D868" s="42" t="str">
        <f t="shared" ref="D868:D931" si="30">IF(ISNA(VLOOKUP(E868,$L$2:$M$26,2,FALSE)),E868,VLOOKUP(E868,$L$2:$M$26,2,FALSE))</f>
        <v>D-Restaurant</v>
      </c>
      <c r="E868" s="42" t="s">
        <v>204</v>
      </c>
      <c r="F868" s="42" t="s">
        <v>238</v>
      </c>
      <c r="G868" s="42">
        <v>-17.82</v>
      </c>
      <c r="H868" s="42">
        <f t="shared" si="29"/>
        <v>201508</v>
      </c>
      <c r="I868" s="42">
        <f>MATCH(D868,$O:$O,0)</f>
        <v>9</v>
      </c>
      <c r="J868" s="42" t="s">
        <v>39</v>
      </c>
      <c r="K868" s="42" t="s">
        <v>649</v>
      </c>
      <c r="L868" s="42"/>
    </row>
    <row r="869" spans="1:12" x14ac:dyDescent="0.25">
      <c r="A869" s="42" t="s">
        <v>236</v>
      </c>
      <c r="B869" s="43">
        <v>42241</v>
      </c>
      <c r="C869" s="42" t="s">
        <v>747</v>
      </c>
      <c r="D869" s="42" t="str">
        <f t="shared" si="30"/>
        <v>Cell Phone</v>
      </c>
      <c r="E869" s="42" t="s">
        <v>224</v>
      </c>
      <c r="F869" s="42" t="s">
        <v>238</v>
      </c>
      <c r="G869" s="42">
        <v>-76.319999999999993</v>
      </c>
      <c r="H869" s="42">
        <f t="shared" si="29"/>
        <v>201508</v>
      </c>
      <c r="I869" s="42">
        <f>MATCH(D869,$O:$O,0)</f>
        <v>4</v>
      </c>
      <c r="J869" s="42" t="s">
        <v>39</v>
      </c>
      <c r="K869" s="42" t="s">
        <v>649</v>
      </c>
      <c r="L869" s="42" t="s">
        <v>252</v>
      </c>
    </row>
    <row r="870" spans="1:12" x14ac:dyDescent="0.25">
      <c r="A870" s="42" t="s">
        <v>236</v>
      </c>
      <c r="B870" s="43">
        <v>42241</v>
      </c>
      <c r="C870" s="42" t="s">
        <v>600</v>
      </c>
      <c r="D870" s="42" t="str">
        <f t="shared" si="30"/>
        <v>D-Restaurant</v>
      </c>
      <c r="E870" s="42" t="s">
        <v>204</v>
      </c>
      <c r="F870" s="42" t="s">
        <v>238</v>
      </c>
      <c r="G870" s="42">
        <v>-8.1999999999999993</v>
      </c>
      <c r="H870" s="42">
        <f t="shared" si="29"/>
        <v>201508</v>
      </c>
      <c r="I870" s="42">
        <f>MATCH(D870,$O:$O,0)</f>
        <v>9</v>
      </c>
      <c r="J870" s="42" t="s">
        <v>39</v>
      </c>
      <c r="K870" s="42" t="s">
        <v>649</v>
      </c>
      <c r="L870" s="42" t="s">
        <v>198</v>
      </c>
    </row>
    <row r="871" spans="1:12" x14ac:dyDescent="0.25">
      <c r="A871" s="42" t="s">
        <v>236</v>
      </c>
      <c r="B871" s="43">
        <v>42241</v>
      </c>
      <c r="C871" s="42" t="s">
        <v>509</v>
      </c>
      <c r="D871" s="42" t="str">
        <f t="shared" si="30"/>
        <v>D-Coffee</v>
      </c>
      <c r="E871" s="42" t="s">
        <v>215</v>
      </c>
      <c r="F871" s="42" t="s">
        <v>238</v>
      </c>
      <c r="G871" s="42">
        <v>-3.75</v>
      </c>
      <c r="H871" s="42">
        <f t="shared" si="29"/>
        <v>201508</v>
      </c>
      <c r="I871" s="42">
        <f>MATCH(D871,$O:$O,0)</f>
        <v>7</v>
      </c>
      <c r="J871" s="42" t="s">
        <v>39</v>
      </c>
      <c r="K871" s="42" t="s">
        <v>649</v>
      </c>
      <c r="L871" s="42" t="s">
        <v>822</v>
      </c>
    </row>
    <row r="872" spans="1:12" x14ac:dyDescent="0.25">
      <c r="A872" s="42" t="s">
        <v>236</v>
      </c>
      <c r="B872" s="43">
        <v>42243</v>
      </c>
      <c r="C872" s="42" t="s">
        <v>743</v>
      </c>
      <c r="D872" s="42" t="str">
        <f t="shared" si="30"/>
        <v>D-Restaurant</v>
      </c>
      <c r="E872" s="42" t="s">
        <v>204</v>
      </c>
      <c r="F872" s="42" t="s">
        <v>238</v>
      </c>
      <c r="G872" s="42">
        <v>-56</v>
      </c>
      <c r="H872" s="42">
        <f t="shared" si="29"/>
        <v>201508</v>
      </c>
      <c r="I872" s="42">
        <f>MATCH(D872,$O:$O,0)</f>
        <v>9</v>
      </c>
      <c r="J872" s="42" t="s">
        <v>39</v>
      </c>
      <c r="K872" s="42" t="s">
        <v>649</v>
      </c>
      <c r="L872" s="42"/>
    </row>
    <row r="873" spans="1:12" x14ac:dyDescent="0.25">
      <c r="A873" s="42" t="s">
        <v>236</v>
      </c>
      <c r="B873" s="43">
        <v>42243</v>
      </c>
      <c r="C873" s="42" t="s">
        <v>744</v>
      </c>
      <c r="D873" s="42" t="str">
        <f t="shared" si="30"/>
        <v>Gas</v>
      </c>
      <c r="E873" s="42" t="s">
        <v>311</v>
      </c>
      <c r="F873" s="42" t="s">
        <v>238</v>
      </c>
      <c r="G873" s="42">
        <v>-30</v>
      </c>
      <c r="H873" s="42">
        <f t="shared" si="29"/>
        <v>201508</v>
      </c>
      <c r="I873" s="42">
        <f>MATCH(D873,$O:$O,0)</f>
        <v>30</v>
      </c>
      <c r="J873" s="42" t="s">
        <v>39</v>
      </c>
      <c r="K873" s="42" t="s">
        <v>649</v>
      </c>
      <c r="L873" s="42"/>
    </row>
    <row r="874" spans="1:12" x14ac:dyDescent="0.25">
      <c r="A874" s="42" t="s">
        <v>236</v>
      </c>
      <c r="B874" s="43">
        <v>42243</v>
      </c>
      <c r="C874" s="42" t="s">
        <v>685</v>
      </c>
      <c r="D874" s="42" t="str">
        <f t="shared" si="30"/>
        <v>D-Restaurant</v>
      </c>
      <c r="E874" s="42" t="s">
        <v>204</v>
      </c>
      <c r="F874" s="42" t="s">
        <v>238</v>
      </c>
      <c r="G874" s="42">
        <v>-6.12</v>
      </c>
      <c r="H874" s="42">
        <f t="shared" si="29"/>
        <v>201508</v>
      </c>
      <c r="I874" s="42">
        <f>MATCH(D874,$O:$O,0)</f>
        <v>9</v>
      </c>
      <c r="J874" s="42" t="s">
        <v>39</v>
      </c>
      <c r="K874" s="42" t="s">
        <v>649</v>
      </c>
      <c r="L874" s="42" t="s">
        <v>241</v>
      </c>
    </row>
    <row r="875" spans="1:12" x14ac:dyDescent="0.25">
      <c r="A875" s="42" t="s">
        <v>236</v>
      </c>
      <c r="B875" s="43">
        <v>42243</v>
      </c>
      <c r="C875" s="42" t="s">
        <v>600</v>
      </c>
      <c r="D875" s="42" t="str">
        <f t="shared" si="30"/>
        <v>D-Restaurant</v>
      </c>
      <c r="E875" s="42" t="s">
        <v>204</v>
      </c>
      <c r="F875" s="42" t="s">
        <v>238</v>
      </c>
      <c r="G875" s="42">
        <v>-8.1999999999999993</v>
      </c>
      <c r="H875" s="42">
        <f t="shared" si="29"/>
        <v>201508</v>
      </c>
      <c r="I875" s="42">
        <f>MATCH(D875,$O:$O,0)</f>
        <v>9</v>
      </c>
      <c r="J875" s="42" t="s">
        <v>39</v>
      </c>
      <c r="K875" s="42" t="s">
        <v>649</v>
      </c>
      <c r="L875" s="42" t="s">
        <v>723</v>
      </c>
    </row>
    <row r="876" spans="1:12" x14ac:dyDescent="0.25">
      <c r="A876" s="42" t="s">
        <v>236</v>
      </c>
      <c r="B876" s="43">
        <v>42243</v>
      </c>
      <c r="C876" s="42" t="s">
        <v>438</v>
      </c>
      <c r="D876" s="42" t="str">
        <f t="shared" si="30"/>
        <v>Cell Phone</v>
      </c>
      <c r="E876" s="42" t="s">
        <v>224</v>
      </c>
      <c r="F876" s="42" t="s">
        <v>238</v>
      </c>
      <c r="G876" s="42">
        <v>-7.61</v>
      </c>
      <c r="H876" s="42">
        <f t="shared" si="29"/>
        <v>201508</v>
      </c>
      <c r="I876" s="42">
        <f>MATCH(D876,$O:$O,0)</f>
        <v>4</v>
      </c>
      <c r="J876" s="42" t="s">
        <v>39</v>
      </c>
      <c r="K876" s="42" t="s">
        <v>619</v>
      </c>
      <c r="L876" s="42"/>
    </row>
    <row r="877" spans="1:12" x14ac:dyDescent="0.25">
      <c r="A877" s="42" t="s">
        <v>236</v>
      </c>
      <c r="B877" s="43">
        <v>42244</v>
      </c>
      <c r="C877" s="42" t="s">
        <v>739</v>
      </c>
      <c r="D877" s="42" t="str">
        <f t="shared" si="30"/>
        <v>Gas</v>
      </c>
      <c r="E877" s="42" t="s">
        <v>311</v>
      </c>
      <c r="F877" s="42" t="s">
        <v>238</v>
      </c>
      <c r="G877" s="42">
        <v>-8.99</v>
      </c>
      <c r="H877" s="42">
        <f t="shared" si="29"/>
        <v>201508</v>
      </c>
      <c r="I877" s="42">
        <f>MATCH(D877,$O:$O,0)</f>
        <v>30</v>
      </c>
      <c r="J877" s="42" t="s">
        <v>39</v>
      </c>
      <c r="K877" s="42" t="s">
        <v>649</v>
      </c>
      <c r="L877" s="42"/>
    </row>
    <row r="878" spans="1:12" x14ac:dyDescent="0.25">
      <c r="A878" s="42" t="s">
        <v>236</v>
      </c>
      <c r="B878" s="43">
        <v>42244</v>
      </c>
      <c r="C878" s="42" t="s">
        <v>740</v>
      </c>
      <c r="D878" s="42" t="str">
        <f t="shared" si="30"/>
        <v>D-Travel</v>
      </c>
      <c r="E878" s="42" t="s">
        <v>161</v>
      </c>
      <c r="F878" s="42" t="s">
        <v>238</v>
      </c>
      <c r="G878" s="42">
        <v>-45.41</v>
      </c>
      <c r="H878" s="42">
        <f t="shared" si="29"/>
        <v>201508</v>
      </c>
      <c r="I878" s="42">
        <f>MATCH(D878,$O:$O,0)</f>
        <v>10</v>
      </c>
      <c r="J878" s="42" t="s">
        <v>39</v>
      </c>
      <c r="K878" s="42" t="s">
        <v>649</v>
      </c>
      <c r="L878" s="42" t="s">
        <v>341</v>
      </c>
    </row>
    <row r="879" spans="1:12" x14ac:dyDescent="0.25">
      <c r="A879" s="42" t="s">
        <v>236</v>
      </c>
      <c r="B879" s="43">
        <v>42244</v>
      </c>
      <c r="C879" s="42" t="s">
        <v>483</v>
      </c>
      <c r="D879" s="42" t="str">
        <f t="shared" si="30"/>
        <v>D-Restaurant</v>
      </c>
      <c r="E879" s="42" t="s">
        <v>204</v>
      </c>
      <c r="F879" s="42" t="s">
        <v>238</v>
      </c>
      <c r="G879" s="42">
        <v>-4.6500000000000004</v>
      </c>
      <c r="H879" s="42">
        <f t="shared" si="29"/>
        <v>201508</v>
      </c>
      <c r="I879" s="42">
        <f>MATCH(D879,$O:$O,0)</f>
        <v>9</v>
      </c>
      <c r="J879" s="42" t="s">
        <v>39</v>
      </c>
      <c r="K879" s="42" t="s">
        <v>649</v>
      </c>
      <c r="L879" s="42" t="s">
        <v>823</v>
      </c>
    </row>
    <row r="880" spans="1:12" x14ac:dyDescent="0.25">
      <c r="A880" s="42" t="s">
        <v>236</v>
      </c>
      <c r="B880" s="43">
        <v>42244</v>
      </c>
      <c r="C880" s="42" t="s">
        <v>741</v>
      </c>
      <c r="D880" s="42" t="str">
        <f t="shared" si="30"/>
        <v>Grocery</v>
      </c>
      <c r="E880" s="42" t="s">
        <v>385</v>
      </c>
      <c r="F880" s="42" t="s">
        <v>238</v>
      </c>
      <c r="G880" s="42">
        <v>-2.95</v>
      </c>
      <c r="H880" s="42">
        <f t="shared" si="29"/>
        <v>201508</v>
      </c>
      <c r="I880" s="42">
        <f>MATCH(D880,$O:$O,0)</f>
        <v>12</v>
      </c>
      <c r="J880" s="42" t="s">
        <v>39</v>
      </c>
      <c r="K880" s="42" t="s">
        <v>649</v>
      </c>
      <c r="L880" s="42" t="s">
        <v>341</v>
      </c>
    </row>
    <row r="881" spans="1:12" x14ac:dyDescent="0.25">
      <c r="A881" s="42" t="s">
        <v>236</v>
      </c>
      <c r="B881" s="43">
        <v>42244</v>
      </c>
      <c r="C881" s="42" t="s">
        <v>742</v>
      </c>
      <c r="D881" s="42" t="str">
        <f t="shared" si="30"/>
        <v>D-Restaurant</v>
      </c>
      <c r="E881" s="42" t="s">
        <v>204</v>
      </c>
      <c r="F881" s="42" t="s">
        <v>238</v>
      </c>
      <c r="G881" s="42">
        <v>-8.3800000000000008</v>
      </c>
      <c r="H881" s="42">
        <f t="shared" si="29"/>
        <v>201508</v>
      </c>
      <c r="I881" s="42">
        <f>MATCH(D881,$O:$O,0)</f>
        <v>9</v>
      </c>
      <c r="J881" s="42" t="s">
        <v>39</v>
      </c>
      <c r="K881" s="42" t="s">
        <v>619</v>
      </c>
      <c r="L881" s="42" t="s">
        <v>352</v>
      </c>
    </row>
    <row r="882" spans="1:12" x14ac:dyDescent="0.25">
      <c r="A882" s="42" t="s">
        <v>236</v>
      </c>
      <c r="B882" s="43">
        <v>42245</v>
      </c>
      <c r="C882" s="42" t="s">
        <v>737</v>
      </c>
      <c r="D882" s="42" t="str">
        <f t="shared" si="30"/>
        <v>D-Travel</v>
      </c>
      <c r="E882" s="42" t="s">
        <v>161</v>
      </c>
      <c r="F882" s="42" t="s">
        <v>238</v>
      </c>
      <c r="G882" s="42">
        <v>-25</v>
      </c>
      <c r="H882" s="42">
        <f t="shared" si="29"/>
        <v>201508</v>
      </c>
      <c r="I882" s="42">
        <f>MATCH(D882,$O:$O,0)</f>
        <v>10</v>
      </c>
      <c r="J882" s="42" t="s">
        <v>39</v>
      </c>
      <c r="K882" s="42" t="s">
        <v>649</v>
      </c>
      <c r="L882" s="42" t="s">
        <v>252</v>
      </c>
    </row>
    <row r="883" spans="1:12" x14ac:dyDescent="0.25">
      <c r="A883" s="42" t="s">
        <v>236</v>
      </c>
      <c r="B883" s="43">
        <v>42245</v>
      </c>
      <c r="C883" s="42" t="s">
        <v>738</v>
      </c>
      <c r="D883" s="42" t="str">
        <f t="shared" si="30"/>
        <v>D-Coffee</v>
      </c>
      <c r="E883" s="42" t="s">
        <v>215</v>
      </c>
      <c r="F883" s="42" t="s">
        <v>238</v>
      </c>
      <c r="G883" s="42">
        <v>-2.5099999999999998</v>
      </c>
      <c r="H883" s="42">
        <f t="shared" si="29"/>
        <v>201508</v>
      </c>
      <c r="I883" s="42">
        <f>MATCH(D883,$O:$O,0)</f>
        <v>7</v>
      </c>
      <c r="J883" s="42" t="s">
        <v>39</v>
      </c>
      <c r="K883" s="42" t="s">
        <v>649</v>
      </c>
      <c r="L883" s="42" t="s">
        <v>193</v>
      </c>
    </row>
    <row r="884" spans="1:12" x14ac:dyDescent="0.25">
      <c r="A884" s="42" t="s">
        <v>236</v>
      </c>
      <c r="B884" s="43">
        <v>42245</v>
      </c>
      <c r="C884" s="42" t="s">
        <v>509</v>
      </c>
      <c r="D884" s="42" t="str">
        <f t="shared" si="30"/>
        <v>D-Coffee</v>
      </c>
      <c r="E884" s="42" t="s">
        <v>215</v>
      </c>
      <c r="F884" s="42" t="s">
        <v>238</v>
      </c>
      <c r="G884" s="42">
        <v>-1.95</v>
      </c>
      <c r="H884" s="42">
        <f t="shared" si="29"/>
        <v>201508</v>
      </c>
      <c r="I884" s="42">
        <f>MATCH(D884,$O:$O,0)</f>
        <v>7</v>
      </c>
      <c r="J884" s="42" t="s">
        <v>39</v>
      </c>
      <c r="K884" s="42" t="s">
        <v>649</v>
      </c>
      <c r="L884" s="42" t="s">
        <v>193</v>
      </c>
    </row>
    <row r="885" spans="1:12" x14ac:dyDescent="0.25">
      <c r="A885" s="42" t="s">
        <v>236</v>
      </c>
      <c r="B885" s="43">
        <v>42247</v>
      </c>
      <c r="C885" s="42" t="s">
        <v>626</v>
      </c>
      <c r="D885" s="42" t="str">
        <f t="shared" si="30"/>
        <v>Other Income</v>
      </c>
      <c r="E885" s="42" t="s">
        <v>250</v>
      </c>
      <c r="F885" s="42" t="s">
        <v>238</v>
      </c>
      <c r="G885" s="42">
        <v>0</v>
      </c>
      <c r="H885" s="42">
        <f t="shared" si="29"/>
        <v>201508</v>
      </c>
      <c r="I885" s="42" t="e">
        <f>MATCH(D885,$O:$O,0)</f>
        <v>#N/A</v>
      </c>
      <c r="J885" s="42" t="s">
        <v>39</v>
      </c>
      <c r="K885" s="42" t="s">
        <v>803</v>
      </c>
      <c r="L885" s="42" t="s">
        <v>248</v>
      </c>
    </row>
    <row r="886" spans="1:12" x14ac:dyDescent="0.25">
      <c r="A886" s="42" t="s">
        <v>236</v>
      </c>
      <c r="B886" s="43">
        <v>42247</v>
      </c>
      <c r="C886" s="42" t="s">
        <v>732</v>
      </c>
      <c r="D886" s="42" t="str">
        <f t="shared" si="30"/>
        <v>Paychecks/Salary</v>
      </c>
      <c r="E886" s="42" t="s">
        <v>375</v>
      </c>
      <c r="F886" s="42" t="s">
        <v>238</v>
      </c>
      <c r="G886" s="44">
        <v>3303.27</v>
      </c>
      <c r="H886" s="42">
        <f t="shared" si="29"/>
        <v>201508</v>
      </c>
      <c r="I886" s="42">
        <f>MATCH(D886,$O:$O,0)</f>
        <v>40</v>
      </c>
      <c r="J886" s="42" t="s">
        <v>39</v>
      </c>
      <c r="K886" s="42" t="s">
        <v>803</v>
      </c>
      <c r="L886" s="42" t="s">
        <v>806</v>
      </c>
    </row>
    <row r="887" spans="1:12" x14ac:dyDescent="0.25">
      <c r="A887" s="42" t="s">
        <v>236</v>
      </c>
      <c r="B887" s="43">
        <v>42247</v>
      </c>
      <c r="C887" s="42" t="s">
        <v>733</v>
      </c>
      <c r="D887" s="42" t="str">
        <f t="shared" si="30"/>
        <v>Transfers</v>
      </c>
      <c r="E887" s="42" t="s">
        <v>226</v>
      </c>
      <c r="F887" s="42" t="s">
        <v>238</v>
      </c>
      <c r="G887" s="44">
        <v>34985</v>
      </c>
      <c r="H887" s="42">
        <f t="shared" si="29"/>
        <v>201508</v>
      </c>
      <c r="I887" s="42">
        <f>MATCH(D887,$O:$O,0)</f>
        <v>37</v>
      </c>
      <c r="J887" s="42" t="s">
        <v>39</v>
      </c>
      <c r="K887" s="42" t="s">
        <v>803</v>
      </c>
      <c r="L887" s="42" t="s">
        <v>806</v>
      </c>
    </row>
    <row r="888" spans="1:12" x14ac:dyDescent="0.25">
      <c r="A888" s="42" t="s">
        <v>236</v>
      </c>
      <c r="B888" s="43">
        <v>42247</v>
      </c>
      <c r="C888" s="42" t="s">
        <v>646</v>
      </c>
      <c r="D888" s="42" t="str">
        <f t="shared" si="30"/>
        <v>Cell Phone</v>
      </c>
      <c r="E888" s="42" t="s">
        <v>224</v>
      </c>
      <c r="F888" s="42" t="s">
        <v>238</v>
      </c>
      <c r="G888" s="42">
        <v>-187.18</v>
      </c>
      <c r="H888" s="42">
        <f t="shared" si="29"/>
        <v>201508</v>
      </c>
      <c r="I888" s="42">
        <f>MATCH(D888,$O:$O,0)</f>
        <v>4</v>
      </c>
      <c r="J888" s="42" t="s">
        <v>39</v>
      </c>
      <c r="K888" s="42" t="s">
        <v>630</v>
      </c>
      <c r="L888" s="42" t="s">
        <v>806</v>
      </c>
    </row>
    <row r="889" spans="1:12" x14ac:dyDescent="0.25">
      <c r="A889" s="42" t="s">
        <v>236</v>
      </c>
      <c r="B889" s="43">
        <v>42247</v>
      </c>
      <c r="C889" s="42" t="s">
        <v>685</v>
      </c>
      <c r="D889" s="42" t="str">
        <f t="shared" si="30"/>
        <v>D-Restaurant</v>
      </c>
      <c r="E889" s="42" t="s">
        <v>204</v>
      </c>
      <c r="F889" s="42" t="s">
        <v>238</v>
      </c>
      <c r="G889" s="42">
        <v>-4.8899999999999997</v>
      </c>
      <c r="H889" s="42">
        <f t="shared" si="29"/>
        <v>201508</v>
      </c>
      <c r="I889" s="42">
        <f>MATCH(D889,$O:$O,0)</f>
        <v>9</v>
      </c>
      <c r="J889" s="42" t="s">
        <v>39</v>
      </c>
      <c r="K889" s="42" t="s">
        <v>649</v>
      </c>
      <c r="L889" s="42" t="s">
        <v>806</v>
      </c>
    </row>
    <row r="890" spans="1:12" x14ac:dyDescent="0.25">
      <c r="A890" s="42" t="s">
        <v>236</v>
      </c>
      <c r="B890" s="43">
        <v>42247</v>
      </c>
      <c r="C890" s="42" t="s">
        <v>565</v>
      </c>
      <c r="D890" s="42" t="str">
        <f t="shared" si="30"/>
        <v>Grocery</v>
      </c>
      <c r="E890" s="42" t="s">
        <v>192</v>
      </c>
      <c r="F890" s="42" t="s">
        <v>238</v>
      </c>
      <c r="G890" s="42">
        <v>-7.07</v>
      </c>
      <c r="H890" s="42">
        <f t="shared" si="29"/>
        <v>201508</v>
      </c>
      <c r="I890" s="42">
        <f>MATCH(D890,$O:$O,0)</f>
        <v>12</v>
      </c>
      <c r="J890" s="42" t="s">
        <v>39</v>
      </c>
      <c r="K890" s="42" t="s">
        <v>649</v>
      </c>
      <c r="L890" s="42" t="s">
        <v>806</v>
      </c>
    </row>
    <row r="891" spans="1:12" x14ac:dyDescent="0.25">
      <c r="A891" s="42" t="s">
        <v>236</v>
      </c>
      <c r="B891" s="43">
        <v>42247</v>
      </c>
      <c r="C891" s="42" t="s">
        <v>734</v>
      </c>
      <c r="D891" s="42" t="str">
        <f t="shared" si="30"/>
        <v>Grocery</v>
      </c>
      <c r="E891" s="42" t="s">
        <v>192</v>
      </c>
      <c r="F891" s="42" t="s">
        <v>238</v>
      </c>
      <c r="G891" s="42">
        <v>-7.47</v>
      </c>
      <c r="H891" s="42">
        <f t="shared" si="29"/>
        <v>201508</v>
      </c>
      <c r="I891" s="42">
        <f>MATCH(D891,$O:$O,0)</f>
        <v>12</v>
      </c>
      <c r="J891" s="42" t="s">
        <v>39</v>
      </c>
      <c r="K891" s="42" t="s">
        <v>649</v>
      </c>
      <c r="L891" s="42" t="s">
        <v>806</v>
      </c>
    </row>
    <row r="892" spans="1:12" x14ac:dyDescent="0.25">
      <c r="A892" s="42" t="s">
        <v>236</v>
      </c>
      <c r="B892" s="43">
        <v>42247</v>
      </c>
      <c r="C892" s="42" t="s">
        <v>734</v>
      </c>
      <c r="D892" s="42" t="str">
        <f t="shared" si="30"/>
        <v>Grocery</v>
      </c>
      <c r="E892" s="42" t="s">
        <v>192</v>
      </c>
      <c r="F892" s="42" t="s">
        <v>238</v>
      </c>
      <c r="G892" s="42">
        <v>-45.42</v>
      </c>
      <c r="H892" s="42">
        <f t="shared" si="29"/>
        <v>201508</v>
      </c>
      <c r="I892" s="42">
        <f>MATCH(D892,$O:$O,0)</f>
        <v>12</v>
      </c>
      <c r="J892" s="42" t="s">
        <v>39</v>
      </c>
      <c r="K892" s="42" t="s">
        <v>649</v>
      </c>
      <c r="L892" s="42" t="s">
        <v>824</v>
      </c>
    </row>
    <row r="893" spans="1:12" x14ac:dyDescent="0.25">
      <c r="A893" s="42" t="s">
        <v>236</v>
      </c>
      <c r="B893" s="43">
        <v>42247</v>
      </c>
      <c r="C893" s="42" t="s">
        <v>735</v>
      </c>
      <c r="D893" s="42" t="str">
        <f t="shared" si="30"/>
        <v>Books</v>
      </c>
      <c r="E893" s="42" t="s">
        <v>42</v>
      </c>
      <c r="F893" s="42" t="s">
        <v>238</v>
      </c>
      <c r="G893" s="42">
        <v>-9.99</v>
      </c>
      <c r="H893" s="42">
        <f t="shared" si="29"/>
        <v>201508</v>
      </c>
      <c r="I893" s="42">
        <f>MATCH(D893,$O:$O,0)</f>
        <v>2</v>
      </c>
      <c r="J893" s="42" t="s">
        <v>39</v>
      </c>
      <c r="K893" s="42" t="s">
        <v>619</v>
      </c>
      <c r="L893" s="42" t="s">
        <v>272</v>
      </c>
    </row>
    <row r="894" spans="1:12" x14ac:dyDescent="0.25">
      <c r="A894" s="42" t="s">
        <v>236</v>
      </c>
      <c r="B894" s="43">
        <v>42247</v>
      </c>
      <c r="C894" s="42" t="s">
        <v>411</v>
      </c>
      <c r="D894" s="42" t="str">
        <f t="shared" si="30"/>
        <v>Investment Income</v>
      </c>
      <c r="E894" s="42" t="s">
        <v>736</v>
      </c>
      <c r="F894" s="42" t="s">
        <v>238</v>
      </c>
      <c r="G894" s="42">
        <v>33.26</v>
      </c>
      <c r="H894" s="42">
        <f t="shared" si="29"/>
        <v>201508</v>
      </c>
      <c r="I894" s="42" t="e">
        <f>MATCH(D894,$O:$O,0)</f>
        <v>#N/A</v>
      </c>
      <c r="J894" s="42" t="s">
        <v>39</v>
      </c>
      <c r="K894" s="42" t="s">
        <v>632</v>
      </c>
      <c r="L894" s="42" t="s">
        <v>272</v>
      </c>
    </row>
    <row r="895" spans="1:12" x14ac:dyDescent="0.25">
      <c r="A895" s="42" t="s">
        <v>236</v>
      </c>
      <c r="B895" s="43">
        <v>42248</v>
      </c>
      <c r="C895" s="42" t="s">
        <v>872</v>
      </c>
      <c r="D895" s="42" t="str">
        <f t="shared" si="30"/>
        <v>Gifts</v>
      </c>
      <c r="E895" s="42" t="s">
        <v>40</v>
      </c>
      <c r="F895" s="42" t="s">
        <v>238</v>
      </c>
      <c r="G895" s="42">
        <v>-800</v>
      </c>
      <c r="H895" s="42">
        <f t="shared" si="29"/>
        <v>201509</v>
      </c>
      <c r="I895" s="42">
        <f>MATCH(D895,$O:$O,0)</f>
        <v>11</v>
      </c>
      <c r="L895" s="42" t="s">
        <v>272</v>
      </c>
    </row>
    <row r="896" spans="1:12" x14ac:dyDescent="0.25">
      <c r="A896" s="42" t="s">
        <v>236</v>
      </c>
      <c r="B896" s="43">
        <v>42248</v>
      </c>
      <c r="C896" s="42" t="s">
        <v>591</v>
      </c>
      <c r="D896" s="42" t="str">
        <f t="shared" si="30"/>
        <v>Mortgage/Rent</v>
      </c>
      <c r="E896" s="42" t="s">
        <v>202</v>
      </c>
      <c r="F896" s="42" t="s">
        <v>238</v>
      </c>
      <c r="G896" s="44">
        <v>-3116.77</v>
      </c>
      <c r="H896" s="42">
        <f t="shared" si="29"/>
        <v>201509</v>
      </c>
      <c r="I896" s="42">
        <f>MATCH(D896,$O:$O,0)</f>
        <v>21</v>
      </c>
      <c r="L896" s="42" t="s">
        <v>272</v>
      </c>
    </row>
    <row r="897" spans="1:12" x14ac:dyDescent="0.25">
      <c r="A897" s="42" t="s">
        <v>236</v>
      </c>
      <c r="B897" s="43">
        <v>42248</v>
      </c>
      <c r="C897" s="42" t="s">
        <v>858</v>
      </c>
      <c r="D897" s="42" t="str">
        <f t="shared" si="30"/>
        <v>Grocery</v>
      </c>
      <c r="E897" s="42" t="s">
        <v>192</v>
      </c>
      <c r="F897" s="42" t="s">
        <v>238</v>
      </c>
      <c r="G897" s="42">
        <v>-34.119999999999997</v>
      </c>
      <c r="H897" s="42">
        <f t="shared" si="29"/>
        <v>201509</v>
      </c>
      <c r="I897" s="42">
        <f>MATCH(D897,$O:$O,0)</f>
        <v>12</v>
      </c>
      <c r="L897" s="42" t="s">
        <v>353</v>
      </c>
    </row>
    <row r="898" spans="1:12" x14ac:dyDescent="0.25">
      <c r="A898" s="42" t="s">
        <v>236</v>
      </c>
      <c r="B898" s="43">
        <v>42248</v>
      </c>
      <c r="C898" s="42" t="s">
        <v>802</v>
      </c>
      <c r="D898" s="42" t="str">
        <f t="shared" si="30"/>
        <v>Parent Support</v>
      </c>
      <c r="E898" s="42" t="s">
        <v>61</v>
      </c>
      <c r="F898" s="42" t="s">
        <v>238</v>
      </c>
      <c r="G898" s="44">
        <v>-1067.31</v>
      </c>
      <c r="H898" s="42">
        <f t="shared" ref="H898:H961" si="31">YEAR(B898)*100+MONTH(B898)</f>
        <v>201509</v>
      </c>
      <c r="I898" s="42">
        <f>MATCH(D898,$O:$O,0)</f>
        <v>24</v>
      </c>
      <c r="L898" s="42"/>
    </row>
    <row r="899" spans="1:12" x14ac:dyDescent="0.25">
      <c r="A899" s="42" t="s">
        <v>236</v>
      </c>
      <c r="B899" s="43">
        <v>42248</v>
      </c>
      <c r="C899" s="42" t="s">
        <v>873</v>
      </c>
      <c r="D899" s="42" t="str">
        <f t="shared" si="30"/>
        <v>D-Restaurant</v>
      </c>
      <c r="E899" s="42" t="s">
        <v>204</v>
      </c>
      <c r="F899" s="42" t="s">
        <v>238</v>
      </c>
      <c r="G899" s="42">
        <v>-18.14</v>
      </c>
      <c r="H899" s="42">
        <f t="shared" si="31"/>
        <v>201509</v>
      </c>
      <c r="I899" s="42">
        <f>MATCH(D899,$O:$O,0)</f>
        <v>9</v>
      </c>
    </row>
    <row r="900" spans="1:12" x14ac:dyDescent="0.25">
      <c r="A900" s="42" t="s">
        <v>236</v>
      </c>
      <c r="B900" s="43">
        <v>42248</v>
      </c>
      <c r="C900" s="42" t="s">
        <v>874</v>
      </c>
      <c r="D900" s="42" t="str">
        <f t="shared" si="30"/>
        <v>Grocery</v>
      </c>
      <c r="E900" s="42" t="s">
        <v>385</v>
      </c>
      <c r="F900" s="42" t="s">
        <v>238</v>
      </c>
      <c r="G900" s="42">
        <v>-110</v>
      </c>
      <c r="H900" s="42">
        <f t="shared" si="31"/>
        <v>201509</v>
      </c>
      <c r="I900" s="42">
        <f>MATCH(D900,$O:$O,0)</f>
        <v>12</v>
      </c>
    </row>
    <row r="901" spans="1:12" x14ac:dyDescent="0.25">
      <c r="A901" s="42" t="s">
        <v>236</v>
      </c>
      <c r="B901" s="43">
        <v>42248</v>
      </c>
      <c r="C901" s="42" t="s">
        <v>411</v>
      </c>
      <c r="D901" s="42" t="str">
        <f t="shared" si="30"/>
        <v>Investment Income</v>
      </c>
      <c r="E901" s="42" t="s">
        <v>736</v>
      </c>
      <c r="F901" s="42" t="s">
        <v>238</v>
      </c>
      <c r="G901" s="42">
        <v>2.02</v>
      </c>
      <c r="H901" s="42">
        <f t="shared" si="31"/>
        <v>201509</v>
      </c>
      <c r="I901" s="42" t="e">
        <f>MATCH(D901,$O:$O,0)</f>
        <v>#N/A</v>
      </c>
    </row>
    <row r="902" spans="1:12" x14ac:dyDescent="0.25">
      <c r="A902" s="42" t="s">
        <v>236</v>
      </c>
      <c r="B902" s="43">
        <v>42249</v>
      </c>
      <c r="C902" s="42" t="s">
        <v>871</v>
      </c>
      <c r="D902" s="42" t="str">
        <f t="shared" si="30"/>
        <v>Gifts</v>
      </c>
      <c r="E902" s="42" t="s">
        <v>40</v>
      </c>
      <c r="F902" s="42" t="s">
        <v>238</v>
      </c>
      <c r="G902" s="42">
        <v>-33.950000000000003</v>
      </c>
      <c r="H902" s="42">
        <f t="shared" si="31"/>
        <v>201509</v>
      </c>
      <c r="I902" s="42">
        <f>MATCH(D902,$O:$O,0)</f>
        <v>11</v>
      </c>
    </row>
    <row r="903" spans="1:12" x14ac:dyDescent="0.25">
      <c r="A903" s="42" t="s">
        <v>236</v>
      </c>
      <c r="B903" s="43">
        <v>42249</v>
      </c>
      <c r="C903" s="42" t="s">
        <v>868</v>
      </c>
      <c r="D903" s="42" t="str">
        <f t="shared" si="30"/>
        <v>Credit Card Payments</v>
      </c>
      <c r="E903" s="42" t="s">
        <v>242</v>
      </c>
      <c r="F903" s="42" t="s">
        <v>238</v>
      </c>
      <c r="G903" s="42">
        <v>-810.11</v>
      </c>
      <c r="H903" s="42">
        <f t="shared" si="31"/>
        <v>201509</v>
      </c>
      <c r="I903" s="42">
        <f>MATCH(D903,$O:$O,0)</f>
        <v>38</v>
      </c>
    </row>
    <row r="904" spans="1:12" x14ac:dyDescent="0.25">
      <c r="A904" s="42" t="s">
        <v>236</v>
      </c>
      <c r="B904" s="43">
        <v>42249</v>
      </c>
      <c r="C904" s="42" t="s">
        <v>869</v>
      </c>
      <c r="D904" s="42" t="str">
        <f t="shared" si="30"/>
        <v>Credit Card Payments</v>
      </c>
      <c r="E904" s="42" t="s">
        <v>242</v>
      </c>
      <c r="F904" s="42" t="s">
        <v>238</v>
      </c>
      <c r="G904" s="42">
        <v>-455.29</v>
      </c>
      <c r="H904" s="42">
        <f t="shared" si="31"/>
        <v>201509</v>
      </c>
      <c r="I904" s="42">
        <f>MATCH(D904,$O:$O,0)</f>
        <v>38</v>
      </c>
    </row>
    <row r="905" spans="1:12" x14ac:dyDescent="0.25">
      <c r="A905" s="42" t="s">
        <v>236</v>
      </c>
      <c r="B905" s="43">
        <v>42249</v>
      </c>
      <c r="C905" s="42" t="s">
        <v>870</v>
      </c>
      <c r="D905" s="42" t="str">
        <f t="shared" si="30"/>
        <v>Credit Card Payments</v>
      </c>
      <c r="E905" s="42" t="s">
        <v>242</v>
      </c>
      <c r="F905" s="42" t="s">
        <v>238</v>
      </c>
      <c r="G905" s="44">
        <v>-1117</v>
      </c>
      <c r="H905" s="42">
        <f t="shared" si="31"/>
        <v>201509</v>
      </c>
      <c r="I905" s="42">
        <f>MATCH(D905,$O:$O,0)</f>
        <v>38</v>
      </c>
    </row>
    <row r="906" spans="1:12" x14ac:dyDescent="0.25">
      <c r="A906" s="42" t="s">
        <v>236</v>
      </c>
      <c r="B906" s="43">
        <v>42249</v>
      </c>
      <c r="C906" s="42" t="s">
        <v>845</v>
      </c>
      <c r="D906" s="42" t="str">
        <f t="shared" si="30"/>
        <v>Credit Card Payments</v>
      </c>
      <c r="E906" s="42" t="s">
        <v>242</v>
      </c>
      <c r="F906" s="42" t="s">
        <v>238</v>
      </c>
      <c r="G906" s="42">
        <v>455.29</v>
      </c>
      <c r="H906" s="42">
        <f t="shared" si="31"/>
        <v>201509</v>
      </c>
      <c r="I906" s="42">
        <f>MATCH(D906,$O:$O,0)</f>
        <v>38</v>
      </c>
    </row>
    <row r="907" spans="1:12" x14ac:dyDescent="0.25">
      <c r="A907" s="42" t="s">
        <v>236</v>
      </c>
      <c r="B907" s="43">
        <v>42249</v>
      </c>
      <c r="C907" s="42" t="s">
        <v>685</v>
      </c>
      <c r="D907" s="42" t="str">
        <f t="shared" si="30"/>
        <v>D-Restaurant</v>
      </c>
      <c r="E907" s="42" t="s">
        <v>204</v>
      </c>
      <c r="F907" s="42" t="s">
        <v>238</v>
      </c>
      <c r="G907" s="42">
        <v>-4.5</v>
      </c>
      <c r="H907" s="42">
        <f t="shared" si="31"/>
        <v>201509</v>
      </c>
      <c r="I907" s="42">
        <f>MATCH(D907,$O:$O,0)</f>
        <v>9</v>
      </c>
    </row>
    <row r="908" spans="1:12" x14ac:dyDescent="0.25">
      <c r="A908" s="42" t="s">
        <v>236</v>
      </c>
      <c r="B908" s="43">
        <v>42249</v>
      </c>
      <c r="C908" s="42" t="s">
        <v>600</v>
      </c>
      <c r="D908" s="42" t="str">
        <f t="shared" si="30"/>
        <v>D-Restaurant</v>
      </c>
      <c r="E908" s="42" t="s">
        <v>204</v>
      </c>
      <c r="F908" s="42" t="s">
        <v>238</v>
      </c>
      <c r="G908" s="42">
        <v>-8.65</v>
      </c>
      <c r="H908" s="42">
        <f t="shared" si="31"/>
        <v>201509</v>
      </c>
      <c r="I908" s="42">
        <f>MATCH(D908,$O:$O,0)</f>
        <v>9</v>
      </c>
    </row>
    <row r="909" spans="1:12" x14ac:dyDescent="0.25">
      <c r="A909" s="42" t="s">
        <v>236</v>
      </c>
      <c r="B909" s="43">
        <v>42249</v>
      </c>
      <c r="C909" s="42" t="s">
        <v>557</v>
      </c>
      <c r="D909" s="42" t="str">
        <f t="shared" si="30"/>
        <v>Credit Card Payments</v>
      </c>
      <c r="E909" s="42" t="s">
        <v>242</v>
      </c>
      <c r="F909" s="42" t="s">
        <v>238</v>
      </c>
      <c r="G909" s="44">
        <v>1117</v>
      </c>
      <c r="H909" s="42">
        <f t="shared" si="31"/>
        <v>201509</v>
      </c>
      <c r="I909" s="42">
        <f>MATCH(D909,$O:$O,0)</f>
        <v>38</v>
      </c>
    </row>
    <row r="910" spans="1:12" x14ac:dyDescent="0.25">
      <c r="A910" s="42" t="s">
        <v>236</v>
      </c>
      <c r="B910" s="43">
        <v>42249</v>
      </c>
      <c r="C910" s="42" t="s">
        <v>424</v>
      </c>
      <c r="D910" s="42" t="str">
        <f t="shared" si="30"/>
        <v>Gas</v>
      </c>
      <c r="E910" s="42" t="s">
        <v>311</v>
      </c>
      <c r="F910" s="42" t="s">
        <v>238</v>
      </c>
      <c r="G910" s="42">
        <v>-33.83</v>
      </c>
      <c r="H910" s="42">
        <f t="shared" si="31"/>
        <v>201509</v>
      </c>
      <c r="I910" s="42">
        <f>MATCH(D910,$O:$O,0)</f>
        <v>30</v>
      </c>
    </row>
    <row r="911" spans="1:12" x14ac:dyDescent="0.25">
      <c r="A911" s="42" t="s">
        <v>236</v>
      </c>
      <c r="B911" s="43">
        <v>42249</v>
      </c>
      <c r="C911" s="42" t="s">
        <v>435</v>
      </c>
      <c r="D911" s="42" t="str">
        <f t="shared" si="30"/>
        <v>Credit Card Payments</v>
      </c>
      <c r="E911" s="42" t="s">
        <v>242</v>
      </c>
      <c r="F911" s="42" t="s">
        <v>238</v>
      </c>
      <c r="G911" s="42">
        <v>810.11</v>
      </c>
      <c r="H911" s="42">
        <f t="shared" si="31"/>
        <v>201509</v>
      </c>
      <c r="I911" s="42">
        <f>MATCH(D911,$O:$O,0)</f>
        <v>38</v>
      </c>
    </row>
    <row r="912" spans="1:12" x14ac:dyDescent="0.25">
      <c r="A912" s="42" t="s">
        <v>236</v>
      </c>
      <c r="B912" s="43">
        <v>42249</v>
      </c>
      <c r="C912" s="42" t="s">
        <v>249</v>
      </c>
      <c r="D912" s="42" t="str">
        <f t="shared" si="30"/>
        <v>Retirement Contributions</v>
      </c>
      <c r="E912" s="42" t="s">
        <v>263</v>
      </c>
      <c r="F912" s="42" t="s">
        <v>238</v>
      </c>
      <c r="G912" s="42">
        <v>536.25</v>
      </c>
      <c r="H912" s="42">
        <f t="shared" si="31"/>
        <v>201509</v>
      </c>
      <c r="I912" s="42">
        <f>MATCH(D912,$O:$O,0)</f>
        <v>39</v>
      </c>
    </row>
    <row r="913" spans="1:10" x14ac:dyDescent="0.25">
      <c r="A913" s="42" t="s">
        <v>236</v>
      </c>
      <c r="B913" s="43">
        <v>42250</v>
      </c>
      <c r="C913" s="42" t="s">
        <v>865</v>
      </c>
      <c r="D913" s="42" t="str">
        <f t="shared" si="30"/>
        <v>Gifts</v>
      </c>
      <c r="E913" s="42" t="s">
        <v>40</v>
      </c>
      <c r="F913" s="42" t="s">
        <v>238</v>
      </c>
      <c r="G913" s="42">
        <v>-9.7200000000000006</v>
      </c>
      <c r="H913" s="42">
        <f t="shared" si="31"/>
        <v>201509</v>
      </c>
      <c r="I913" s="42">
        <f>MATCH(D913,$O:$O,0)</f>
        <v>11</v>
      </c>
    </row>
    <row r="914" spans="1:10" x14ac:dyDescent="0.25">
      <c r="A914" s="42" t="s">
        <v>236</v>
      </c>
      <c r="B914" s="43">
        <v>42250</v>
      </c>
      <c r="C914" s="42" t="s">
        <v>865</v>
      </c>
      <c r="D914" s="42" t="str">
        <f t="shared" si="30"/>
        <v>Gifts</v>
      </c>
      <c r="E914" s="42" t="s">
        <v>40</v>
      </c>
      <c r="F914" s="42" t="s">
        <v>238</v>
      </c>
      <c r="G914" s="42">
        <v>-50</v>
      </c>
      <c r="H914" s="42">
        <f t="shared" si="31"/>
        <v>201509</v>
      </c>
      <c r="I914" s="42">
        <f>MATCH(D914,$O:$O,0)</f>
        <v>11</v>
      </c>
    </row>
    <row r="915" spans="1:10" x14ac:dyDescent="0.25">
      <c r="A915" s="42" t="s">
        <v>236</v>
      </c>
      <c r="B915" s="43">
        <v>42250</v>
      </c>
      <c r="C915" s="42" t="s">
        <v>863</v>
      </c>
      <c r="D915" s="42" t="str">
        <f t="shared" si="30"/>
        <v>Uncategorized</v>
      </c>
      <c r="E915" s="42" t="s">
        <v>102</v>
      </c>
      <c r="F915" s="42" t="s">
        <v>238</v>
      </c>
      <c r="G915" s="42">
        <v>-12</v>
      </c>
      <c r="H915" s="42">
        <f t="shared" si="31"/>
        <v>201509</v>
      </c>
      <c r="I915" s="42">
        <f>MATCH(D915,$O:$O,0)</f>
        <v>33</v>
      </c>
    </row>
    <row r="916" spans="1:10" x14ac:dyDescent="0.25">
      <c r="A916" s="42" t="s">
        <v>236</v>
      </c>
      <c r="B916" s="43">
        <v>42250</v>
      </c>
      <c r="C916" s="42" t="s">
        <v>509</v>
      </c>
      <c r="D916" s="42" t="str">
        <f t="shared" si="30"/>
        <v>D-Coffee</v>
      </c>
      <c r="E916" s="42" t="s">
        <v>215</v>
      </c>
      <c r="F916" s="42" t="s">
        <v>238</v>
      </c>
      <c r="G916" s="42">
        <v>-3.75</v>
      </c>
      <c r="H916" s="42">
        <f t="shared" si="31"/>
        <v>201509</v>
      </c>
      <c r="I916" s="42">
        <f>MATCH(D916,$O:$O,0)</f>
        <v>7</v>
      </c>
    </row>
    <row r="917" spans="1:10" x14ac:dyDescent="0.25">
      <c r="A917" s="42" t="s">
        <v>236</v>
      </c>
      <c r="B917" s="43">
        <v>42250</v>
      </c>
      <c r="C917" s="42" t="s">
        <v>864</v>
      </c>
      <c r="D917" s="42" t="str">
        <f t="shared" si="30"/>
        <v>Parent Support</v>
      </c>
      <c r="E917" s="42" t="s">
        <v>61</v>
      </c>
      <c r="F917" s="42" t="s">
        <v>238</v>
      </c>
      <c r="G917" s="42">
        <v>-52.95</v>
      </c>
      <c r="H917" s="42">
        <f t="shared" si="31"/>
        <v>201509</v>
      </c>
      <c r="I917" s="42">
        <f>MATCH(D917,$O:$O,0)</f>
        <v>24</v>
      </c>
    </row>
    <row r="918" spans="1:10" x14ac:dyDescent="0.25">
      <c r="A918" s="42" t="s">
        <v>236</v>
      </c>
      <c r="B918" s="43">
        <v>42250</v>
      </c>
      <c r="C918" s="42" t="s">
        <v>629</v>
      </c>
      <c r="D918" s="42" t="str">
        <f t="shared" si="30"/>
        <v>Car Related</v>
      </c>
      <c r="E918" s="42" t="s">
        <v>185</v>
      </c>
      <c r="F918" s="42" t="s">
        <v>238</v>
      </c>
      <c r="G918" s="42">
        <v>-247.74</v>
      </c>
      <c r="H918" s="42">
        <f t="shared" si="31"/>
        <v>201509</v>
      </c>
      <c r="I918" s="42">
        <f>MATCH(D918,$O:$O,0)</f>
        <v>31</v>
      </c>
    </row>
    <row r="919" spans="1:10" x14ac:dyDescent="0.25">
      <c r="A919" s="42" t="s">
        <v>236</v>
      </c>
      <c r="B919" s="43">
        <v>42250</v>
      </c>
      <c r="C919" s="42" t="s">
        <v>866</v>
      </c>
      <c r="D919" s="42" t="str">
        <f t="shared" si="30"/>
        <v>Magazines</v>
      </c>
      <c r="E919" s="42" t="s">
        <v>34</v>
      </c>
      <c r="F919" s="42" t="s">
        <v>238</v>
      </c>
      <c r="G919" s="42">
        <v>-127</v>
      </c>
      <c r="H919" s="42">
        <f t="shared" si="31"/>
        <v>201509</v>
      </c>
      <c r="I919" s="42">
        <f>MATCH(D919,$O:$O,0)</f>
        <v>20</v>
      </c>
    </row>
    <row r="920" spans="1:10" x14ac:dyDescent="0.25">
      <c r="A920" s="42" t="s">
        <v>236</v>
      </c>
      <c r="B920" s="43">
        <v>42250</v>
      </c>
      <c r="C920" s="42" t="s">
        <v>867</v>
      </c>
      <c r="D920" s="42" t="str">
        <f t="shared" si="30"/>
        <v>Public Transit</v>
      </c>
      <c r="E920" s="42" t="s">
        <v>90</v>
      </c>
      <c r="F920" s="42" t="s">
        <v>238</v>
      </c>
      <c r="G920" s="42">
        <v>-10</v>
      </c>
      <c r="H920" s="42">
        <f t="shared" si="31"/>
        <v>201509</v>
      </c>
      <c r="I920" s="42">
        <f>MATCH(D920,$O:$O,0)</f>
        <v>25</v>
      </c>
      <c r="J920">
        <v>1</v>
      </c>
    </row>
    <row r="921" spans="1:10" x14ac:dyDescent="0.25">
      <c r="A921" s="42" t="s">
        <v>236</v>
      </c>
      <c r="B921" s="43">
        <v>42251</v>
      </c>
      <c r="C921" s="42" t="s">
        <v>861</v>
      </c>
      <c r="D921" s="42" t="str">
        <f t="shared" si="30"/>
        <v>Car Related</v>
      </c>
      <c r="E921" s="42" t="s">
        <v>185</v>
      </c>
      <c r="F921" s="42" t="s">
        <v>238</v>
      </c>
      <c r="G921" s="42">
        <v>-321.52</v>
      </c>
      <c r="H921" s="42">
        <f t="shared" si="31"/>
        <v>201509</v>
      </c>
      <c r="I921" s="42">
        <f>MATCH(D921,$O:$O,0)</f>
        <v>31</v>
      </c>
    </row>
    <row r="922" spans="1:10" x14ac:dyDescent="0.25">
      <c r="A922" s="42" t="s">
        <v>236</v>
      </c>
      <c r="B922" s="43">
        <v>42251</v>
      </c>
      <c r="C922" s="42" t="s">
        <v>862</v>
      </c>
      <c r="D922" s="42" t="str">
        <f t="shared" si="30"/>
        <v>D-Restaurant</v>
      </c>
      <c r="E922" s="42" t="s">
        <v>204</v>
      </c>
      <c r="F922" s="42" t="s">
        <v>238</v>
      </c>
      <c r="G922" s="42">
        <v>-17.55</v>
      </c>
      <c r="H922" s="42">
        <f t="shared" si="31"/>
        <v>201509</v>
      </c>
      <c r="I922" s="42">
        <f>MATCH(D922,$O:$O,0)</f>
        <v>9</v>
      </c>
    </row>
    <row r="923" spans="1:10" x14ac:dyDescent="0.25">
      <c r="A923" s="42" t="s">
        <v>236</v>
      </c>
      <c r="B923" s="43">
        <v>42252</v>
      </c>
      <c r="C923" s="42" t="s">
        <v>685</v>
      </c>
      <c r="D923" s="42" t="str">
        <f t="shared" si="30"/>
        <v>D-Restaurant</v>
      </c>
      <c r="E923" s="42" t="s">
        <v>204</v>
      </c>
      <c r="F923" s="42" t="s">
        <v>238</v>
      </c>
      <c r="G923" s="42">
        <v>-6.52</v>
      </c>
      <c r="H923" s="42">
        <f t="shared" si="31"/>
        <v>201509</v>
      </c>
      <c r="I923" s="42">
        <f>MATCH(D923,$O:$O,0)</f>
        <v>9</v>
      </c>
    </row>
    <row r="924" spans="1:10" x14ac:dyDescent="0.25">
      <c r="A924" s="42" t="s">
        <v>236</v>
      </c>
      <c r="B924" s="43">
        <v>42252</v>
      </c>
      <c r="C924" s="42" t="s">
        <v>565</v>
      </c>
      <c r="D924" s="42" t="str">
        <f t="shared" si="30"/>
        <v>Grocery</v>
      </c>
      <c r="E924" s="42" t="s">
        <v>192</v>
      </c>
      <c r="F924" s="42" t="s">
        <v>238</v>
      </c>
      <c r="G924" s="42">
        <v>-11.21</v>
      </c>
      <c r="H924" s="42">
        <f t="shared" si="31"/>
        <v>201509</v>
      </c>
      <c r="I924" s="42">
        <f>MATCH(D924,$O:$O,0)</f>
        <v>12</v>
      </c>
    </row>
    <row r="925" spans="1:10" x14ac:dyDescent="0.25">
      <c r="A925" s="42" t="s">
        <v>236</v>
      </c>
      <c r="B925" s="43">
        <v>42252</v>
      </c>
      <c r="C925" s="42" t="s">
        <v>860</v>
      </c>
      <c r="D925" s="42" t="str">
        <f t="shared" si="30"/>
        <v>D-Travel</v>
      </c>
      <c r="E925" s="42" t="s">
        <v>161</v>
      </c>
      <c r="F925" s="42" t="s">
        <v>238</v>
      </c>
      <c r="G925" s="42">
        <v>-8.19</v>
      </c>
      <c r="H925" s="42">
        <f t="shared" si="31"/>
        <v>201509</v>
      </c>
      <c r="I925" s="42">
        <f>MATCH(D925,$O:$O,0)</f>
        <v>10</v>
      </c>
    </row>
    <row r="926" spans="1:10" x14ac:dyDescent="0.25">
      <c r="A926" s="42" t="s">
        <v>236</v>
      </c>
      <c r="B926" s="43">
        <v>42253</v>
      </c>
      <c r="C926" s="42" t="s">
        <v>424</v>
      </c>
      <c r="D926" s="42" t="str">
        <f t="shared" si="30"/>
        <v>Gas</v>
      </c>
      <c r="E926" s="42" t="s">
        <v>311</v>
      </c>
      <c r="F926" s="42" t="s">
        <v>238</v>
      </c>
      <c r="G926" s="42">
        <v>-29.26</v>
      </c>
      <c r="H926" s="42">
        <f t="shared" si="31"/>
        <v>201509</v>
      </c>
      <c r="I926" s="42">
        <f>MATCH(D926,$O:$O,0)</f>
        <v>30</v>
      </c>
    </row>
    <row r="927" spans="1:10" x14ac:dyDescent="0.25">
      <c r="A927" s="42" t="s">
        <v>236</v>
      </c>
      <c r="B927" s="43">
        <v>42253</v>
      </c>
      <c r="C927" s="42" t="s">
        <v>424</v>
      </c>
      <c r="D927" s="42" t="str">
        <f t="shared" si="30"/>
        <v>Gas</v>
      </c>
      <c r="E927" s="42" t="s">
        <v>311</v>
      </c>
      <c r="F927" s="42" t="s">
        <v>238</v>
      </c>
      <c r="G927" s="42">
        <v>-41.74</v>
      </c>
      <c r="H927" s="42">
        <f t="shared" si="31"/>
        <v>201509</v>
      </c>
      <c r="I927" s="42">
        <f>MATCH(D927,$O:$O,0)</f>
        <v>30</v>
      </c>
    </row>
    <row r="928" spans="1:10" x14ac:dyDescent="0.25">
      <c r="A928" s="42" t="s">
        <v>236</v>
      </c>
      <c r="B928" s="43">
        <v>42254</v>
      </c>
      <c r="C928" s="42" t="s">
        <v>565</v>
      </c>
      <c r="D928" s="42" t="str">
        <f t="shared" si="30"/>
        <v>Grocery</v>
      </c>
      <c r="E928" s="42" t="s">
        <v>192</v>
      </c>
      <c r="F928" s="42" t="s">
        <v>238</v>
      </c>
      <c r="G928" s="42">
        <v>-2.4900000000000002</v>
      </c>
      <c r="H928" s="42">
        <f t="shared" si="31"/>
        <v>201509</v>
      </c>
      <c r="I928" s="42">
        <f>MATCH(D928,$O:$O,0)</f>
        <v>12</v>
      </c>
    </row>
    <row r="929" spans="1:9" x14ac:dyDescent="0.25">
      <c r="A929" s="42" t="s">
        <v>236</v>
      </c>
      <c r="B929" s="43">
        <v>42254</v>
      </c>
      <c r="C929" s="42" t="s">
        <v>858</v>
      </c>
      <c r="D929" s="42" t="str">
        <f t="shared" si="30"/>
        <v>Grocery</v>
      </c>
      <c r="E929" s="42" t="s">
        <v>192</v>
      </c>
      <c r="F929" s="42" t="s">
        <v>238</v>
      </c>
      <c r="G929" s="42">
        <v>-62.42</v>
      </c>
      <c r="H929" s="42">
        <f t="shared" si="31"/>
        <v>201509</v>
      </c>
      <c r="I929" s="42">
        <f>MATCH(D929,$O:$O,0)</f>
        <v>12</v>
      </c>
    </row>
    <row r="930" spans="1:9" x14ac:dyDescent="0.25">
      <c r="A930" s="42" t="s">
        <v>236</v>
      </c>
      <c r="B930" s="43">
        <v>42254</v>
      </c>
      <c r="C930" s="42" t="s">
        <v>775</v>
      </c>
      <c r="D930" s="42" t="str">
        <f t="shared" si="30"/>
        <v>Grocery</v>
      </c>
      <c r="E930" s="42" t="s">
        <v>192</v>
      </c>
      <c r="F930" s="42" t="s">
        <v>238</v>
      </c>
      <c r="G930" s="42">
        <v>-11.67</v>
      </c>
      <c r="H930" s="42">
        <f t="shared" si="31"/>
        <v>201509</v>
      </c>
      <c r="I930" s="42">
        <f>MATCH(D930,$O:$O,0)</f>
        <v>12</v>
      </c>
    </row>
    <row r="931" spans="1:9" x14ac:dyDescent="0.25">
      <c r="A931" s="42" t="s">
        <v>236</v>
      </c>
      <c r="B931" s="43">
        <v>42254</v>
      </c>
      <c r="C931" s="42" t="s">
        <v>565</v>
      </c>
      <c r="D931" s="42" t="str">
        <f t="shared" si="30"/>
        <v>Grocery</v>
      </c>
      <c r="E931" s="42" t="s">
        <v>192</v>
      </c>
      <c r="F931" s="42" t="s">
        <v>238</v>
      </c>
      <c r="G931" s="42">
        <v>-44</v>
      </c>
      <c r="H931" s="42">
        <f t="shared" si="31"/>
        <v>201509</v>
      </c>
      <c r="I931" s="42">
        <f>MATCH(D931,$O:$O,0)</f>
        <v>12</v>
      </c>
    </row>
    <row r="932" spans="1:9" x14ac:dyDescent="0.25">
      <c r="A932" s="42" t="s">
        <v>236</v>
      </c>
      <c r="B932" s="43">
        <v>42254</v>
      </c>
      <c r="C932" s="42" t="s">
        <v>769</v>
      </c>
      <c r="D932" s="42" t="str">
        <f t="shared" ref="D932:D995" si="32">IF(ISNA(VLOOKUP(E932,$L$2:$M$26,2,FALSE)),E932,VLOOKUP(E932,$L$2:$M$26,2,FALSE))</f>
        <v>Parking</v>
      </c>
      <c r="E932" s="42" t="s">
        <v>170</v>
      </c>
      <c r="F932" s="42" t="s">
        <v>238</v>
      </c>
      <c r="G932" s="42">
        <v>-8</v>
      </c>
      <c r="H932" s="42">
        <f t="shared" si="31"/>
        <v>201509</v>
      </c>
      <c r="I932" s="42">
        <f>MATCH(D932,$O:$O,0)</f>
        <v>32</v>
      </c>
    </row>
    <row r="933" spans="1:9" x14ac:dyDescent="0.25">
      <c r="A933" s="42" t="s">
        <v>236</v>
      </c>
      <c r="B933" s="43">
        <v>42256</v>
      </c>
      <c r="C933" s="42" t="s">
        <v>858</v>
      </c>
      <c r="D933" s="42" t="str">
        <f t="shared" si="32"/>
        <v>Grocery</v>
      </c>
      <c r="E933" s="42" t="s">
        <v>192</v>
      </c>
      <c r="F933" s="42" t="s">
        <v>238</v>
      </c>
      <c r="G933" s="42">
        <v>-30.13</v>
      </c>
      <c r="H933" s="42">
        <f t="shared" si="31"/>
        <v>201509</v>
      </c>
      <c r="I933" s="42">
        <f>MATCH(D933,$O:$O,0)</f>
        <v>12</v>
      </c>
    </row>
    <row r="934" spans="1:9" x14ac:dyDescent="0.25">
      <c r="A934" s="42" t="s">
        <v>236</v>
      </c>
      <c r="B934" s="43">
        <v>42256</v>
      </c>
      <c r="C934" s="42" t="s">
        <v>600</v>
      </c>
      <c r="D934" s="42" t="str">
        <f t="shared" si="32"/>
        <v>D-Restaurant</v>
      </c>
      <c r="E934" s="42" t="s">
        <v>204</v>
      </c>
      <c r="F934" s="42" t="s">
        <v>238</v>
      </c>
      <c r="G934" s="42">
        <v>-8.1999999999999993</v>
      </c>
      <c r="H934" s="42">
        <f t="shared" si="31"/>
        <v>201509</v>
      </c>
      <c r="I934" s="42">
        <f>MATCH(D934,$O:$O,0)</f>
        <v>9</v>
      </c>
    </row>
    <row r="935" spans="1:9" x14ac:dyDescent="0.25">
      <c r="A935" s="42" t="s">
        <v>236</v>
      </c>
      <c r="B935" s="43">
        <v>42256</v>
      </c>
      <c r="C935" s="42" t="s">
        <v>859</v>
      </c>
      <c r="D935" s="42" t="str">
        <f t="shared" si="32"/>
        <v>Newspapers</v>
      </c>
      <c r="E935" s="42" t="s">
        <v>35</v>
      </c>
      <c r="F935" s="42" t="s">
        <v>238</v>
      </c>
      <c r="G935" s="42">
        <v>-14.99</v>
      </c>
      <c r="H935" s="42">
        <f t="shared" si="31"/>
        <v>201509</v>
      </c>
      <c r="I935" s="42">
        <f>MATCH(D935,$O:$O,0)</f>
        <v>23</v>
      </c>
    </row>
    <row r="936" spans="1:9" x14ac:dyDescent="0.25">
      <c r="A936" s="42" t="s">
        <v>236</v>
      </c>
      <c r="B936" s="43">
        <v>42257</v>
      </c>
      <c r="C936" s="42" t="s">
        <v>857</v>
      </c>
      <c r="D936" s="42" t="str">
        <f t="shared" si="32"/>
        <v>D-Restaurant</v>
      </c>
      <c r="E936" s="42" t="s">
        <v>204</v>
      </c>
      <c r="F936" s="42" t="s">
        <v>238</v>
      </c>
      <c r="G936" s="42">
        <v>-67.900000000000006</v>
      </c>
      <c r="H936" s="42">
        <f t="shared" si="31"/>
        <v>201509</v>
      </c>
      <c r="I936" s="42">
        <f>MATCH(D936,$O:$O,0)</f>
        <v>9</v>
      </c>
    </row>
    <row r="937" spans="1:9" x14ac:dyDescent="0.25">
      <c r="A937" s="42" t="s">
        <v>236</v>
      </c>
      <c r="B937" s="43">
        <v>42257</v>
      </c>
      <c r="C937" s="42" t="s">
        <v>600</v>
      </c>
      <c r="D937" s="42" t="str">
        <f t="shared" si="32"/>
        <v>D-Restaurant</v>
      </c>
      <c r="E937" s="42" t="s">
        <v>204</v>
      </c>
      <c r="F937" s="42" t="s">
        <v>238</v>
      </c>
      <c r="G937" s="42">
        <v>-8.1999999999999993</v>
      </c>
      <c r="H937" s="42">
        <f t="shared" si="31"/>
        <v>201509</v>
      </c>
      <c r="I937" s="42">
        <f>MATCH(D937,$O:$O,0)</f>
        <v>9</v>
      </c>
    </row>
    <row r="938" spans="1:9" x14ac:dyDescent="0.25">
      <c r="A938" s="42" t="s">
        <v>236</v>
      </c>
      <c r="B938" s="43">
        <v>42258</v>
      </c>
      <c r="C938" s="42" t="s">
        <v>583</v>
      </c>
      <c r="D938" s="42" t="str">
        <f t="shared" si="32"/>
        <v>Grocery</v>
      </c>
      <c r="E938" s="42" t="s">
        <v>192</v>
      </c>
      <c r="F938" s="42" t="s">
        <v>238</v>
      </c>
      <c r="G938" s="42">
        <v>-13.34</v>
      </c>
      <c r="H938" s="42">
        <f t="shared" si="31"/>
        <v>201509</v>
      </c>
      <c r="I938" s="42">
        <f>MATCH(D938,$O:$O,0)</f>
        <v>12</v>
      </c>
    </row>
    <row r="939" spans="1:9" x14ac:dyDescent="0.25">
      <c r="A939" s="42" t="s">
        <v>236</v>
      </c>
      <c r="B939" s="43">
        <v>42258</v>
      </c>
      <c r="C939" s="42" t="s">
        <v>856</v>
      </c>
      <c r="D939" s="42" t="str">
        <f t="shared" si="32"/>
        <v>D-Activities</v>
      </c>
      <c r="E939" s="42" t="s">
        <v>126</v>
      </c>
      <c r="F939" s="42" t="s">
        <v>238</v>
      </c>
      <c r="G939" s="42">
        <v>-30</v>
      </c>
      <c r="H939" s="42">
        <f t="shared" si="31"/>
        <v>201509</v>
      </c>
      <c r="I939" s="42">
        <f>MATCH(D939,$O:$O,0)</f>
        <v>6</v>
      </c>
    </row>
    <row r="940" spans="1:9" x14ac:dyDescent="0.25">
      <c r="A940" s="42" t="s">
        <v>236</v>
      </c>
      <c r="B940" s="43">
        <v>42259</v>
      </c>
      <c r="C940" s="42" t="s">
        <v>583</v>
      </c>
      <c r="D940" s="42" t="str">
        <f t="shared" si="32"/>
        <v>Grocery</v>
      </c>
      <c r="E940" s="42" t="s">
        <v>192</v>
      </c>
      <c r="F940" s="42" t="s">
        <v>238</v>
      </c>
      <c r="G940" s="42">
        <v>-8.2200000000000006</v>
      </c>
      <c r="H940" s="42">
        <f t="shared" si="31"/>
        <v>201509</v>
      </c>
      <c r="I940" s="42">
        <f>MATCH(D940,$O:$O,0)</f>
        <v>12</v>
      </c>
    </row>
    <row r="941" spans="1:9" x14ac:dyDescent="0.25">
      <c r="A941" s="42" t="s">
        <v>236</v>
      </c>
      <c r="B941" s="43">
        <v>42259</v>
      </c>
      <c r="C941" s="42" t="s">
        <v>685</v>
      </c>
      <c r="D941" s="42" t="str">
        <f t="shared" si="32"/>
        <v>D-Restaurant</v>
      </c>
      <c r="E941" s="42" t="s">
        <v>204</v>
      </c>
      <c r="F941" s="42" t="s">
        <v>238</v>
      </c>
      <c r="G941" s="42">
        <v>-4.5</v>
      </c>
      <c r="H941" s="42">
        <f t="shared" si="31"/>
        <v>201509</v>
      </c>
      <c r="I941" s="42">
        <f>MATCH(D941,$O:$O,0)</f>
        <v>9</v>
      </c>
    </row>
    <row r="942" spans="1:9" x14ac:dyDescent="0.25">
      <c r="A942" s="42" t="s">
        <v>236</v>
      </c>
      <c r="B942" s="43">
        <v>42261</v>
      </c>
      <c r="C942" s="42" t="s">
        <v>412</v>
      </c>
      <c r="D942" s="42" t="str">
        <f t="shared" si="32"/>
        <v>Interest</v>
      </c>
      <c r="E942" s="42" t="s">
        <v>200</v>
      </c>
      <c r="F942" s="42" t="s">
        <v>238</v>
      </c>
      <c r="G942" s="42">
        <v>0.72</v>
      </c>
      <c r="H942" s="42">
        <f t="shared" si="31"/>
        <v>201509</v>
      </c>
      <c r="I942" s="42" t="e">
        <f>MATCH(D942,$O:$O,0)</f>
        <v>#N/A</v>
      </c>
    </row>
    <row r="943" spans="1:9" x14ac:dyDescent="0.25">
      <c r="A943" s="42" t="s">
        <v>236</v>
      </c>
      <c r="B943" s="43">
        <v>42261</v>
      </c>
      <c r="C943" s="42" t="s">
        <v>412</v>
      </c>
      <c r="D943" s="42" t="str">
        <f t="shared" si="32"/>
        <v>Interest</v>
      </c>
      <c r="E943" s="42" t="s">
        <v>200</v>
      </c>
      <c r="F943" s="42" t="s">
        <v>238</v>
      </c>
      <c r="G943" s="42">
        <v>0.4</v>
      </c>
      <c r="H943" s="42">
        <f t="shared" si="31"/>
        <v>201509</v>
      </c>
      <c r="I943" s="42" t="e">
        <f>MATCH(D943,$O:$O,0)</f>
        <v>#N/A</v>
      </c>
    </row>
    <row r="944" spans="1:9" x14ac:dyDescent="0.25">
      <c r="A944" s="42" t="s">
        <v>236</v>
      </c>
      <c r="B944" s="43">
        <v>42261</v>
      </c>
      <c r="C944" s="42" t="s">
        <v>412</v>
      </c>
      <c r="D944" s="42" t="str">
        <f t="shared" si="32"/>
        <v>Interest</v>
      </c>
      <c r="E944" s="42" t="s">
        <v>200</v>
      </c>
      <c r="F944" s="42" t="s">
        <v>238</v>
      </c>
      <c r="G944" s="42">
        <v>0.57999999999999996</v>
      </c>
      <c r="H944" s="42">
        <f t="shared" si="31"/>
        <v>201509</v>
      </c>
      <c r="I944" s="42" t="e">
        <f>MATCH(D944,$O:$O,0)</f>
        <v>#N/A</v>
      </c>
    </row>
    <row r="945" spans="1:10" x14ac:dyDescent="0.25">
      <c r="A945" s="42" t="s">
        <v>236</v>
      </c>
      <c r="B945" s="43">
        <v>42261</v>
      </c>
      <c r="C945" s="42" t="s">
        <v>412</v>
      </c>
      <c r="D945" s="42" t="str">
        <f t="shared" si="32"/>
        <v>Interest</v>
      </c>
      <c r="E945" s="42" t="s">
        <v>200</v>
      </c>
      <c r="F945" s="42" t="s">
        <v>238</v>
      </c>
      <c r="G945" s="42">
        <v>0.09</v>
      </c>
      <c r="H945" s="42">
        <f t="shared" si="31"/>
        <v>201509</v>
      </c>
      <c r="I945" s="42" t="e">
        <f>MATCH(D945,$O:$O,0)</f>
        <v>#N/A</v>
      </c>
    </row>
    <row r="946" spans="1:10" x14ac:dyDescent="0.25">
      <c r="A946" s="42" t="s">
        <v>236</v>
      </c>
      <c r="B946" s="43">
        <v>42261</v>
      </c>
      <c r="C946" s="42" t="s">
        <v>221</v>
      </c>
      <c r="D946" s="42" t="str">
        <f t="shared" si="32"/>
        <v>Tax</v>
      </c>
      <c r="E946" s="42" t="s">
        <v>222</v>
      </c>
      <c r="F946" s="42" t="s">
        <v>238</v>
      </c>
      <c r="G946" s="42">
        <v>-0.2</v>
      </c>
      <c r="H946" s="42">
        <f t="shared" si="31"/>
        <v>201509</v>
      </c>
      <c r="I946" s="42">
        <f>MATCH(D946,$O:$O,0)</f>
        <v>29</v>
      </c>
    </row>
    <row r="947" spans="1:10" x14ac:dyDescent="0.25">
      <c r="A947" s="42" t="s">
        <v>236</v>
      </c>
      <c r="B947" s="43">
        <v>42261</v>
      </c>
      <c r="C947" s="42" t="s">
        <v>221</v>
      </c>
      <c r="D947" s="42" t="str">
        <f t="shared" si="32"/>
        <v>Tax</v>
      </c>
      <c r="E947" s="42" t="s">
        <v>222</v>
      </c>
      <c r="F947" s="42" t="s">
        <v>238</v>
      </c>
      <c r="G947" s="42">
        <v>-0.11</v>
      </c>
      <c r="H947" s="42">
        <f t="shared" si="31"/>
        <v>201509</v>
      </c>
      <c r="I947" s="42">
        <f>MATCH(D947,$O:$O,0)</f>
        <v>29</v>
      </c>
    </row>
    <row r="948" spans="1:10" x14ac:dyDescent="0.25">
      <c r="A948" s="42" t="s">
        <v>236</v>
      </c>
      <c r="B948" s="43">
        <v>42261</v>
      </c>
      <c r="C948" s="42" t="s">
        <v>685</v>
      </c>
      <c r="D948" s="42" t="str">
        <f t="shared" si="32"/>
        <v>D-Restaurant</v>
      </c>
      <c r="E948" s="42" t="s">
        <v>204</v>
      </c>
      <c r="F948" s="42" t="s">
        <v>238</v>
      </c>
      <c r="G948" s="42">
        <v>-4.8899999999999997</v>
      </c>
      <c r="H948" s="42">
        <f t="shared" si="31"/>
        <v>201509</v>
      </c>
      <c r="I948" s="42">
        <f>MATCH(D948,$O:$O,0)</f>
        <v>9</v>
      </c>
    </row>
    <row r="949" spans="1:10" x14ac:dyDescent="0.25">
      <c r="A949" s="42" t="s">
        <v>236</v>
      </c>
      <c r="B949" s="43">
        <v>42261</v>
      </c>
      <c r="C949" s="42" t="s">
        <v>585</v>
      </c>
      <c r="D949" s="42" t="str">
        <f t="shared" si="32"/>
        <v>Parking</v>
      </c>
      <c r="E949" s="42" t="s">
        <v>170</v>
      </c>
      <c r="F949" s="42" t="s">
        <v>238</v>
      </c>
      <c r="G949" s="42">
        <v>-3.27</v>
      </c>
      <c r="H949" s="42">
        <f t="shared" si="31"/>
        <v>201509</v>
      </c>
      <c r="I949" s="42">
        <f>MATCH(D949,$O:$O,0)</f>
        <v>32</v>
      </c>
    </row>
    <row r="950" spans="1:10" x14ac:dyDescent="0.25">
      <c r="A950" s="42" t="s">
        <v>236</v>
      </c>
      <c r="B950" s="43">
        <v>42261</v>
      </c>
      <c r="C950" s="42" t="s">
        <v>855</v>
      </c>
      <c r="D950" s="42" t="str">
        <f t="shared" si="32"/>
        <v>Salon/barber</v>
      </c>
      <c r="E950" s="42" t="s">
        <v>41</v>
      </c>
      <c r="F950" s="42" t="s">
        <v>238</v>
      </c>
      <c r="G950" s="42">
        <v>-40</v>
      </c>
      <c r="H950" s="42">
        <f t="shared" si="31"/>
        <v>201509</v>
      </c>
      <c r="I950" s="42">
        <f>MATCH(D950,$O:$O,0)</f>
        <v>27</v>
      </c>
      <c r="J950">
        <v>1</v>
      </c>
    </row>
    <row r="951" spans="1:10" x14ac:dyDescent="0.25">
      <c r="A951" s="42" t="s">
        <v>236</v>
      </c>
      <c r="B951" s="43">
        <v>42262</v>
      </c>
      <c r="C951" s="42" t="s">
        <v>634</v>
      </c>
      <c r="D951" s="42" t="str">
        <f t="shared" si="32"/>
        <v>Utility</v>
      </c>
      <c r="E951" s="42" t="s">
        <v>19</v>
      </c>
      <c r="F951" s="42" t="s">
        <v>238</v>
      </c>
      <c r="G951" s="42">
        <v>-60.23</v>
      </c>
      <c r="H951" s="42">
        <f t="shared" si="31"/>
        <v>201509</v>
      </c>
      <c r="I951" s="42">
        <f>MATCH(D951,$O:$O,0)</f>
        <v>34</v>
      </c>
    </row>
    <row r="952" spans="1:10" x14ac:dyDescent="0.25">
      <c r="A952" s="42" t="s">
        <v>236</v>
      </c>
      <c r="B952" s="43">
        <v>42262</v>
      </c>
      <c r="C952" s="42" t="s">
        <v>854</v>
      </c>
      <c r="D952" s="42" t="str">
        <f t="shared" si="32"/>
        <v>Paychecks/Salary</v>
      </c>
      <c r="E952" s="42" t="s">
        <v>375</v>
      </c>
      <c r="F952" s="42" t="s">
        <v>238</v>
      </c>
      <c r="G952" s="44">
        <v>3255.97</v>
      </c>
      <c r="H952" s="42">
        <f t="shared" si="31"/>
        <v>201509</v>
      </c>
      <c r="I952" s="42">
        <f>MATCH(D952,$O:$O,0)</f>
        <v>40</v>
      </c>
    </row>
    <row r="953" spans="1:10" x14ac:dyDescent="0.25">
      <c r="A953" s="42" t="s">
        <v>236</v>
      </c>
      <c r="B953" s="43">
        <v>42262</v>
      </c>
      <c r="C953" s="42" t="s">
        <v>687</v>
      </c>
      <c r="D953" s="42" t="str">
        <f t="shared" si="32"/>
        <v>Home Maintainence/Improvement</v>
      </c>
      <c r="E953" s="42" t="s">
        <v>342</v>
      </c>
      <c r="F953" s="42" t="s">
        <v>238</v>
      </c>
      <c r="G953" s="42">
        <v>-29.36</v>
      </c>
      <c r="H953" s="42">
        <f t="shared" si="31"/>
        <v>201509</v>
      </c>
      <c r="I953" s="42">
        <f>MATCH(D953,$O:$O,0)</f>
        <v>16</v>
      </c>
    </row>
    <row r="954" spans="1:10" x14ac:dyDescent="0.25">
      <c r="A954" s="42" t="s">
        <v>236</v>
      </c>
      <c r="B954" s="43">
        <v>42262</v>
      </c>
      <c r="C954" s="42" t="s">
        <v>571</v>
      </c>
      <c r="D954" s="42" t="str">
        <f t="shared" si="32"/>
        <v>Gas</v>
      </c>
      <c r="E954" s="42" t="s">
        <v>311</v>
      </c>
      <c r="F954" s="42" t="s">
        <v>238</v>
      </c>
      <c r="G954" s="42">
        <v>-16.989999999999998</v>
      </c>
      <c r="H954" s="42">
        <f t="shared" si="31"/>
        <v>201509</v>
      </c>
      <c r="I954" s="42">
        <f>MATCH(D954,$O:$O,0)</f>
        <v>30</v>
      </c>
    </row>
    <row r="955" spans="1:10" x14ac:dyDescent="0.25">
      <c r="A955" s="42" t="s">
        <v>236</v>
      </c>
      <c r="B955" s="43">
        <v>42262</v>
      </c>
      <c r="C955" s="42" t="s">
        <v>600</v>
      </c>
      <c r="D955" s="42" t="str">
        <f t="shared" si="32"/>
        <v>D-Restaurant</v>
      </c>
      <c r="E955" s="42" t="s">
        <v>204</v>
      </c>
      <c r="F955" s="42" t="s">
        <v>238</v>
      </c>
      <c r="G955" s="42">
        <v>-8.65</v>
      </c>
      <c r="H955" s="42">
        <f t="shared" si="31"/>
        <v>201509</v>
      </c>
      <c r="I955" s="42">
        <f>MATCH(D955,$O:$O,0)</f>
        <v>9</v>
      </c>
    </row>
    <row r="956" spans="1:10" x14ac:dyDescent="0.25">
      <c r="A956" s="42" t="s">
        <v>236</v>
      </c>
      <c r="B956" s="43">
        <v>42262</v>
      </c>
      <c r="C956" s="42" t="s">
        <v>687</v>
      </c>
      <c r="D956" s="42" t="str">
        <f t="shared" si="32"/>
        <v>Home Maintainence/Improvement</v>
      </c>
      <c r="E956" s="42" t="s">
        <v>342</v>
      </c>
      <c r="F956" s="42" t="s">
        <v>238</v>
      </c>
      <c r="G956" s="42">
        <v>32.68</v>
      </c>
      <c r="H956" s="42">
        <f t="shared" si="31"/>
        <v>201509</v>
      </c>
      <c r="I956" s="42">
        <f>MATCH(D956,$O:$O,0)</f>
        <v>16</v>
      </c>
    </row>
    <row r="957" spans="1:10" x14ac:dyDescent="0.25">
      <c r="A957" s="42" t="s">
        <v>236</v>
      </c>
      <c r="B957" s="43">
        <v>42263</v>
      </c>
      <c r="C957" s="42" t="s">
        <v>840</v>
      </c>
      <c r="D957" s="42" t="str">
        <f t="shared" si="32"/>
        <v>Gifts</v>
      </c>
      <c r="E957" s="42" t="s">
        <v>40</v>
      </c>
      <c r="F957" s="42" t="s">
        <v>238</v>
      </c>
      <c r="G957" s="42">
        <v>-88.98</v>
      </c>
      <c r="H957" s="42">
        <f t="shared" si="31"/>
        <v>201509</v>
      </c>
      <c r="I957" s="42">
        <f>MATCH(D957,$O:$O,0)</f>
        <v>11</v>
      </c>
    </row>
    <row r="958" spans="1:10" x14ac:dyDescent="0.25">
      <c r="A958" s="42" t="s">
        <v>236</v>
      </c>
      <c r="B958" s="43">
        <v>42263</v>
      </c>
      <c r="C958" s="42" t="s">
        <v>509</v>
      </c>
      <c r="D958" s="42" t="str">
        <f t="shared" si="32"/>
        <v>D-Coffee</v>
      </c>
      <c r="E958" s="42" t="s">
        <v>215</v>
      </c>
      <c r="F958" s="42" t="s">
        <v>238</v>
      </c>
      <c r="G958" s="42">
        <v>-1.95</v>
      </c>
      <c r="H958" s="42">
        <f t="shared" si="31"/>
        <v>201509</v>
      </c>
      <c r="I958" s="42">
        <f>MATCH(D958,$O:$O,0)</f>
        <v>7</v>
      </c>
    </row>
    <row r="959" spans="1:10" x14ac:dyDescent="0.25">
      <c r="A959" s="42" t="s">
        <v>236</v>
      </c>
      <c r="B959" s="43">
        <v>42264</v>
      </c>
      <c r="C959" s="42" t="s">
        <v>852</v>
      </c>
      <c r="D959" s="42" t="str">
        <f t="shared" si="32"/>
        <v>Charity</v>
      </c>
      <c r="E959" s="42" t="s">
        <v>37</v>
      </c>
      <c r="F959" s="42" t="s">
        <v>238</v>
      </c>
      <c r="G959" s="42">
        <v>-100</v>
      </c>
      <c r="H959" s="42">
        <f t="shared" si="31"/>
        <v>201509</v>
      </c>
      <c r="I959" s="42">
        <f>MATCH(D959,$O:$O,0)</f>
        <v>5</v>
      </c>
    </row>
    <row r="960" spans="1:10" x14ac:dyDescent="0.25">
      <c r="A960" s="42" t="s">
        <v>236</v>
      </c>
      <c r="B960" s="43">
        <v>42264</v>
      </c>
      <c r="C960" s="42" t="s">
        <v>565</v>
      </c>
      <c r="D960" s="42" t="str">
        <f t="shared" si="32"/>
        <v>Grocery</v>
      </c>
      <c r="E960" s="42" t="s">
        <v>192</v>
      </c>
      <c r="F960" s="42" t="s">
        <v>238</v>
      </c>
      <c r="G960" s="42">
        <v>-39.19</v>
      </c>
      <c r="H960" s="42">
        <f t="shared" si="31"/>
        <v>201509</v>
      </c>
      <c r="I960" s="42">
        <f>MATCH(D960,$O:$O,0)</f>
        <v>12</v>
      </c>
    </row>
    <row r="961" spans="1:10" x14ac:dyDescent="0.25">
      <c r="A961" s="42" t="s">
        <v>236</v>
      </c>
      <c r="B961" s="43">
        <v>42264</v>
      </c>
      <c r="C961" s="42" t="s">
        <v>756</v>
      </c>
      <c r="D961" s="42" t="str">
        <f t="shared" si="32"/>
        <v>Grocery</v>
      </c>
      <c r="E961" s="42" t="s">
        <v>192</v>
      </c>
      <c r="F961" s="42" t="s">
        <v>238</v>
      </c>
      <c r="G961" s="42">
        <v>-6.5</v>
      </c>
      <c r="H961" s="42">
        <f t="shared" si="31"/>
        <v>201509</v>
      </c>
      <c r="I961" s="42">
        <f>MATCH(D961,$O:$O,0)</f>
        <v>12</v>
      </c>
    </row>
    <row r="962" spans="1:10" x14ac:dyDescent="0.25">
      <c r="A962" s="42" t="s">
        <v>236</v>
      </c>
      <c r="B962" s="43">
        <v>42264</v>
      </c>
      <c r="C962" s="42" t="s">
        <v>853</v>
      </c>
      <c r="D962" s="42" t="str">
        <f t="shared" si="32"/>
        <v>Parking</v>
      </c>
      <c r="E962" s="42" t="s">
        <v>170</v>
      </c>
      <c r="F962" s="42" t="s">
        <v>238</v>
      </c>
      <c r="G962" s="42">
        <v>-7.25</v>
      </c>
      <c r="H962" s="42">
        <f t="shared" ref="H962:H1025" si="33">YEAR(B962)*100+MONTH(B962)</f>
        <v>201509</v>
      </c>
      <c r="I962" s="42">
        <f>MATCH(D962,$O:$O,0)</f>
        <v>32</v>
      </c>
    </row>
    <row r="963" spans="1:10" x14ac:dyDescent="0.25">
      <c r="A963" s="42" t="s">
        <v>236</v>
      </c>
      <c r="B963" s="43">
        <v>42264</v>
      </c>
      <c r="C963" s="42" t="s">
        <v>249</v>
      </c>
      <c r="D963" s="42" t="str">
        <f t="shared" si="32"/>
        <v>Retirement Contributions</v>
      </c>
      <c r="E963" s="42" t="s">
        <v>263</v>
      </c>
      <c r="F963" s="42" t="s">
        <v>238</v>
      </c>
      <c r="G963" s="42">
        <v>536.25</v>
      </c>
      <c r="H963" s="42">
        <f t="shared" si="33"/>
        <v>201509</v>
      </c>
      <c r="I963" s="42">
        <f>MATCH(D963,$O:$O,0)</f>
        <v>39</v>
      </c>
    </row>
    <row r="964" spans="1:10" x14ac:dyDescent="0.25">
      <c r="A964" s="42" t="s">
        <v>236</v>
      </c>
      <c r="B964" s="43">
        <v>42265</v>
      </c>
      <c r="C964" s="42" t="s">
        <v>768</v>
      </c>
      <c r="D964" s="42" t="str">
        <f t="shared" si="32"/>
        <v>D-Restaurant</v>
      </c>
      <c r="E964" s="42" t="s">
        <v>204</v>
      </c>
      <c r="F964" s="42" t="s">
        <v>238</v>
      </c>
      <c r="G964" s="42">
        <v>-10.41</v>
      </c>
      <c r="H964" s="42">
        <f t="shared" si="33"/>
        <v>201509</v>
      </c>
      <c r="I964" s="42">
        <f>MATCH(D964,$O:$O,0)</f>
        <v>9</v>
      </c>
    </row>
    <row r="965" spans="1:10" x14ac:dyDescent="0.25">
      <c r="A965" s="42" t="s">
        <v>236</v>
      </c>
      <c r="B965" s="43">
        <v>42265</v>
      </c>
      <c r="C965" s="42" t="s">
        <v>600</v>
      </c>
      <c r="D965" s="42" t="str">
        <f t="shared" si="32"/>
        <v>D-Restaurant</v>
      </c>
      <c r="E965" s="42" t="s">
        <v>204</v>
      </c>
      <c r="F965" s="42" t="s">
        <v>238</v>
      </c>
      <c r="G965" s="42">
        <v>-9.15</v>
      </c>
      <c r="H965" s="42">
        <f t="shared" si="33"/>
        <v>201509</v>
      </c>
      <c r="I965" s="42">
        <f>MATCH(D965,$O:$O,0)</f>
        <v>9</v>
      </c>
    </row>
    <row r="966" spans="1:10" x14ac:dyDescent="0.25">
      <c r="A966" s="42" t="s">
        <v>236</v>
      </c>
      <c r="B966" s="43">
        <v>42266</v>
      </c>
      <c r="C966" s="42" t="s">
        <v>851</v>
      </c>
      <c r="D966" s="42" t="str">
        <f t="shared" si="32"/>
        <v>Business Expense</v>
      </c>
      <c r="E966" s="42" t="s">
        <v>875</v>
      </c>
      <c r="F966" s="42" t="s">
        <v>238</v>
      </c>
      <c r="G966" s="42">
        <v>-126.36</v>
      </c>
      <c r="H966" s="42">
        <f t="shared" si="33"/>
        <v>201509</v>
      </c>
      <c r="I966" s="42">
        <f>MATCH(D966,$O:$O,0)</f>
        <v>3</v>
      </c>
    </row>
    <row r="967" spans="1:10" x14ac:dyDescent="0.25">
      <c r="A967" s="42" t="s">
        <v>236</v>
      </c>
      <c r="B967" s="43">
        <v>42266</v>
      </c>
      <c r="C967" s="42" t="s">
        <v>509</v>
      </c>
      <c r="D967" s="42" t="str">
        <f t="shared" si="32"/>
        <v>D-Coffee</v>
      </c>
      <c r="E967" s="42" t="s">
        <v>215</v>
      </c>
      <c r="F967" s="42" t="s">
        <v>238</v>
      </c>
      <c r="G967" s="42">
        <v>-3.9</v>
      </c>
      <c r="H967" s="42">
        <f t="shared" si="33"/>
        <v>201509</v>
      </c>
      <c r="I967" s="42">
        <f>MATCH(D967,$O:$O,0)</f>
        <v>7</v>
      </c>
    </row>
    <row r="968" spans="1:10" x14ac:dyDescent="0.25">
      <c r="A968" s="42" t="s">
        <v>236</v>
      </c>
      <c r="B968" s="43">
        <v>42266</v>
      </c>
      <c r="C968" s="42" t="s">
        <v>583</v>
      </c>
      <c r="D968" s="42" t="str">
        <f t="shared" si="32"/>
        <v>Grocery</v>
      </c>
      <c r="E968" s="42" t="s">
        <v>192</v>
      </c>
      <c r="F968" s="42" t="s">
        <v>238</v>
      </c>
      <c r="G968" s="42">
        <v>-46.46</v>
      </c>
      <c r="H968" s="42">
        <f t="shared" si="33"/>
        <v>201509</v>
      </c>
      <c r="I968" s="42">
        <f>MATCH(D968,$O:$O,0)</f>
        <v>12</v>
      </c>
    </row>
    <row r="969" spans="1:10" x14ac:dyDescent="0.25">
      <c r="A969" s="42" t="s">
        <v>236</v>
      </c>
      <c r="B969" s="43">
        <v>42267</v>
      </c>
      <c r="C969" s="42" t="s">
        <v>850</v>
      </c>
      <c r="D969" s="42" t="str">
        <f t="shared" si="32"/>
        <v>D-Coffee</v>
      </c>
      <c r="E969" s="42" t="s">
        <v>215</v>
      </c>
      <c r="F969" s="42" t="s">
        <v>238</v>
      </c>
      <c r="G969" s="42">
        <v>-25</v>
      </c>
      <c r="H969" s="42">
        <f t="shared" si="33"/>
        <v>201509</v>
      </c>
      <c r="I969" s="42">
        <f>MATCH(D969,$O:$O,0)</f>
        <v>7</v>
      </c>
    </row>
    <row r="970" spans="1:10" x14ac:dyDescent="0.25">
      <c r="A970" s="42" t="s">
        <v>236</v>
      </c>
      <c r="B970" s="43">
        <v>42268</v>
      </c>
      <c r="C970" s="42" t="s">
        <v>847</v>
      </c>
      <c r="D970" s="42" t="str">
        <f t="shared" si="32"/>
        <v>Grocery</v>
      </c>
      <c r="E970" s="42" t="s">
        <v>192</v>
      </c>
      <c r="F970" s="42" t="s">
        <v>238</v>
      </c>
      <c r="G970" s="42">
        <v>-14.16</v>
      </c>
      <c r="H970" s="42">
        <f t="shared" si="33"/>
        <v>201509</v>
      </c>
      <c r="I970" s="42">
        <f>MATCH(D970,$O:$O,0)</f>
        <v>12</v>
      </c>
    </row>
    <row r="971" spans="1:10" x14ac:dyDescent="0.25">
      <c r="A971" s="42" t="s">
        <v>236</v>
      </c>
      <c r="B971" s="43">
        <v>42268</v>
      </c>
      <c r="C971" s="42" t="s">
        <v>565</v>
      </c>
      <c r="D971" s="42" t="str">
        <f t="shared" si="32"/>
        <v>Grocery</v>
      </c>
      <c r="E971" s="42" t="s">
        <v>192</v>
      </c>
      <c r="F971" s="42" t="s">
        <v>238</v>
      </c>
      <c r="G971" s="42">
        <v>-23.06</v>
      </c>
      <c r="H971" s="42">
        <f t="shared" si="33"/>
        <v>201509</v>
      </c>
      <c r="I971" s="42">
        <f>MATCH(D971,$O:$O,0)</f>
        <v>12</v>
      </c>
    </row>
    <row r="972" spans="1:10" x14ac:dyDescent="0.25">
      <c r="A972" s="42" t="s">
        <v>236</v>
      </c>
      <c r="B972" s="43">
        <v>42268</v>
      </c>
      <c r="C972" s="42" t="s">
        <v>848</v>
      </c>
      <c r="D972" s="42" t="str">
        <f t="shared" si="32"/>
        <v>Home Maintainence/Improvement</v>
      </c>
      <c r="E972" s="42" t="s">
        <v>342</v>
      </c>
      <c r="F972" s="42" t="s">
        <v>238</v>
      </c>
      <c r="G972" s="42">
        <v>-25.54</v>
      </c>
      <c r="H972" s="42">
        <f t="shared" si="33"/>
        <v>201509</v>
      </c>
      <c r="I972" s="42">
        <f>MATCH(D972,$O:$O,0)</f>
        <v>16</v>
      </c>
    </row>
    <row r="973" spans="1:10" x14ac:dyDescent="0.25">
      <c r="A973" s="42" t="s">
        <v>236</v>
      </c>
      <c r="B973" s="43">
        <v>42268</v>
      </c>
      <c r="C973" s="42" t="s">
        <v>849</v>
      </c>
      <c r="D973" s="42" t="str">
        <f t="shared" si="32"/>
        <v>Home Maintainence/Improvement</v>
      </c>
      <c r="E973" s="42" t="s">
        <v>342</v>
      </c>
      <c r="F973" s="42" t="s">
        <v>238</v>
      </c>
      <c r="G973" s="42">
        <v>-87.18</v>
      </c>
      <c r="H973" s="42">
        <f t="shared" si="33"/>
        <v>201509</v>
      </c>
      <c r="I973" s="42">
        <f>MATCH(D973,$O:$O,0)</f>
        <v>16</v>
      </c>
    </row>
    <row r="974" spans="1:10" x14ac:dyDescent="0.25">
      <c r="A974" s="42" t="s">
        <v>236</v>
      </c>
      <c r="B974" s="43">
        <v>42269</v>
      </c>
      <c r="C974" s="42" t="s">
        <v>846</v>
      </c>
      <c r="D974" s="42" t="str">
        <f t="shared" si="32"/>
        <v>D-Activities</v>
      </c>
      <c r="E974" s="42" t="s">
        <v>126</v>
      </c>
      <c r="F974" s="42" t="s">
        <v>238</v>
      </c>
      <c r="G974" s="42">
        <v>-30</v>
      </c>
      <c r="H974" s="42">
        <f t="shared" si="33"/>
        <v>201509</v>
      </c>
      <c r="I974" s="42">
        <f>MATCH(D974,$O:$O,0)</f>
        <v>6</v>
      </c>
      <c r="J974">
        <v>1</v>
      </c>
    </row>
    <row r="975" spans="1:10" x14ac:dyDescent="0.25">
      <c r="A975" s="42" t="s">
        <v>236</v>
      </c>
      <c r="B975" s="43">
        <v>42270</v>
      </c>
      <c r="C975" s="42" t="s">
        <v>843</v>
      </c>
      <c r="D975" s="42" t="str">
        <f t="shared" si="32"/>
        <v>Credit Card Payments</v>
      </c>
      <c r="E975" s="42" t="s">
        <v>242</v>
      </c>
      <c r="F975" s="42" t="s">
        <v>238</v>
      </c>
      <c r="G975" s="44">
        <v>-3023.4</v>
      </c>
      <c r="H975" s="42">
        <f t="shared" si="33"/>
        <v>201509</v>
      </c>
      <c r="I975" s="42">
        <f>MATCH(D975,$O:$O,0)</f>
        <v>38</v>
      </c>
    </row>
    <row r="976" spans="1:10" x14ac:dyDescent="0.25">
      <c r="A976" s="42" t="s">
        <v>236</v>
      </c>
      <c r="B976" s="43">
        <v>42270</v>
      </c>
      <c r="C976" s="42" t="s">
        <v>662</v>
      </c>
      <c r="D976" s="42" t="str">
        <f t="shared" si="32"/>
        <v>D-Restaurant</v>
      </c>
      <c r="E976" s="42" t="s">
        <v>204</v>
      </c>
      <c r="F976" s="42" t="s">
        <v>238</v>
      </c>
      <c r="G976" s="42">
        <v>-8.5399999999999991</v>
      </c>
      <c r="H976" s="42">
        <f t="shared" si="33"/>
        <v>201509</v>
      </c>
      <c r="I976" s="42">
        <f>MATCH(D976,$O:$O,0)</f>
        <v>9</v>
      </c>
    </row>
    <row r="977" spans="1:9" x14ac:dyDescent="0.25">
      <c r="A977" s="42" t="s">
        <v>236</v>
      </c>
      <c r="B977" s="43">
        <v>42270</v>
      </c>
      <c r="C977" s="42" t="s">
        <v>845</v>
      </c>
      <c r="D977" s="42" t="str">
        <f t="shared" si="32"/>
        <v>Credit Card Payments</v>
      </c>
      <c r="E977" s="42" t="s">
        <v>242</v>
      </c>
      <c r="F977" s="42" t="s">
        <v>238</v>
      </c>
      <c r="G977" s="44">
        <v>3023.4</v>
      </c>
      <c r="H977" s="42">
        <f t="shared" si="33"/>
        <v>201509</v>
      </c>
      <c r="I977" s="42">
        <f>MATCH(D977,$O:$O,0)</f>
        <v>38</v>
      </c>
    </row>
    <row r="978" spans="1:9" x14ac:dyDescent="0.25">
      <c r="A978" s="42" t="s">
        <v>236</v>
      </c>
      <c r="B978" s="43">
        <v>42270</v>
      </c>
      <c r="C978" s="42" t="s">
        <v>844</v>
      </c>
      <c r="D978" s="42" t="str">
        <f t="shared" si="32"/>
        <v>D-Travel</v>
      </c>
      <c r="E978" s="42" t="s">
        <v>161</v>
      </c>
      <c r="F978" s="42" t="s">
        <v>238</v>
      </c>
      <c r="G978" s="42">
        <v>-229.2</v>
      </c>
      <c r="H978" s="42">
        <f t="shared" si="33"/>
        <v>201509</v>
      </c>
      <c r="I978" s="42">
        <f>MATCH(D978,$O:$O,0)</f>
        <v>10</v>
      </c>
    </row>
    <row r="979" spans="1:9" x14ac:dyDescent="0.25">
      <c r="A979" s="42" t="s">
        <v>236</v>
      </c>
      <c r="B979" s="43">
        <v>42271</v>
      </c>
      <c r="C979" s="42" t="s">
        <v>585</v>
      </c>
      <c r="D979" s="42" t="str">
        <f t="shared" si="32"/>
        <v>D-Travel</v>
      </c>
      <c r="E979" s="42" t="s">
        <v>161</v>
      </c>
      <c r="F979" s="42" t="s">
        <v>238</v>
      </c>
      <c r="G979" s="42">
        <v>-3.27</v>
      </c>
      <c r="H979" s="42">
        <f t="shared" si="33"/>
        <v>201509</v>
      </c>
      <c r="I979" s="42">
        <f>MATCH(D979,$O:$O,0)</f>
        <v>10</v>
      </c>
    </row>
    <row r="980" spans="1:9" x14ac:dyDescent="0.25">
      <c r="A980" s="42" t="s">
        <v>236</v>
      </c>
      <c r="B980" s="43">
        <v>42272</v>
      </c>
      <c r="C980" s="42" t="s">
        <v>841</v>
      </c>
      <c r="D980" s="42" t="str">
        <f t="shared" si="32"/>
        <v>Charity</v>
      </c>
      <c r="E980" s="42" t="s">
        <v>37</v>
      </c>
      <c r="F980" s="42" t="s">
        <v>238</v>
      </c>
      <c r="G980" s="42">
        <v>-320</v>
      </c>
      <c r="H980" s="42">
        <f t="shared" si="33"/>
        <v>201509</v>
      </c>
      <c r="I980" s="42">
        <f>MATCH(D980,$O:$O,0)</f>
        <v>5</v>
      </c>
    </row>
    <row r="981" spans="1:9" x14ac:dyDescent="0.25">
      <c r="A981" s="42" t="s">
        <v>236</v>
      </c>
      <c r="B981" s="43">
        <v>42272</v>
      </c>
      <c r="C981" s="42" t="s">
        <v>583</v>
      </c>
      <c r="D981" s="42" t="str">
        <f t="shared" si="32"/>
        <v>Grocery</v>
      </c>
      <c r="E981" s="42" t="s">
        <v>192</v>
      </c>
      <c r="F981" s="42" t="s">
        <v>238</v>
      </c>
      <c r="G981" s="42">
        <v>-30.13</v>
      </c>
      <c r="H981" s="42">
        <f t="shared" si="33"/>
        <v>201509</v>
      </c>
      <c r="I981" s="42">
        <f>MATCH(D981,$O:$O,0)</f>
        <v>12</v>
      </c>
    </row>
    <row r="982" spans="1:9" x14ac:dyDescent="0.25">
      <c r="A982" s="42" t="s">
        <v>236</v>
      </c>
      <c r="B982" s="43">
        <v>42272</v>
      </c>
      <c r="C982" s="42" t="s">
        <v>842</v>
      </c>
      <c r="D982" s="42" t="str">
        <f t="shared" si="32"/>
        <v>Business Expense</v>
      </c>
      <c r="E982" s="42" t="s">
        <v>875</v>
      </c>
      <c r="F982" s="42" t="s">
        <v>238</v>
      </c>
      <c r="G982" s="42">
        <v>-12.84</v>
      </c>
      <c r="H982" s="42">
        <f t="shared" si="33"/>
        <v>201509</v>
      </c>
      <c r="I982" s="42">
        <f>MATCH(D982,$O:$O,0)</f>
        <v>3</v>
      </c>
    </row>
    <row r="983" spans="1:9" x14ac:dyDescent="0.25">
      <c r="A983" s="42" t="s">
        <v>236</v>
      </c>
      <c r="B983" s="43">
        <v>42272</v>
      </c>
      <c r="C983" s="42" t="s">
        <v>685</v>
      </c>
      <c r="D983" s="42" t="str">
        <f t="shared" si="32"/>
        <v>D-Restaurant</v>
      </c>
      <c r="E983" s="42" t="s">
        <v>204</v>
      </c>
      <c r="F983" s="42" t="s">
        <v>238</v>
      </c>
      <c r="G983" s="42">
        <v>-6.52</v>
      </c>
      <c r="H983" s="42">
        <f t="shared" si="33"/>
        <v>201509</v>
      </c>
      <c r="I983" s="42">
        <f>MATCH(D983,$O:$O,0)</f>
        <v>9</v>
      </c>
    </row>
    <row r="984" spans="1:9" x14ac:dyDescent="0.25">
      <c r="A984" s="42" t="s">
        <v>236</v>
      </c>
      <c r="B984" s="43">
        <v>42272</v>
      </c>
      <c r="C984" s="42" t="s">
        <v>747</v>
      </c>
      <c r="D984" s="42" t="str">
        <f t="shared" si="32"/>
        <v>Cell Phone</v>
      </c>
      <c r="E984" s="42" t="s">
        <v>224</v>
      </c>
      <c r="F984" s="42" t="s">
        <v>238</v>
      </c>
      <c r="G984" s="42">
        <v>-76.319999999999993</v>
      </c>
      <c r="H984" s="42">
        <f t="shared" si="33"/>
        <v>201509</v>
      </c>
      <c r="I984" s="42">
        <f>MATCH(D984,$O:$O,0)</f>
        <v>4</v>
      </c>
    </row>
    <row r="985" spans="1:9" x14ac:dyDescent="0.25">
      <c r="A985" s="42" t="s">
        <v>236</v>
      </c>
      <c r="B985" s="43">
        <v>42272</v>
      </c>
      <c r="C985" s="42" t="s">
        <v>395</v>
      </c>
      <c r="D985" s="42" t="str">
        <f t="shared" si="32"/>
        <v>Gas</v>
      </c>
      <c r="E985" s="42" t="s">
        <v>311</v>
      </c>
      <c r="F985" s="42" t="s">
        <v>238</v>
      </c>
      <c r="G985" s="42">
        <v>-30.48</v>
      </c>
      <c r="H985" s="42">
        <f t="shared" si="33"/>
        <v>201509</v>
      </c>
      <c r="I985" s="42">
        <f>MATCH(D985,$O:$O,0)</f>
        <v>30</v>
      </c>
    </row>
    <row r="986" spans="1:9" x14ac:dyDescent="0.25">
      <c r="A986" s="42" t="s">
        <v>236</v>
      </c>
      <c r="B986" s="43">
        <v>42273</v>
      </c>
      <c r="C986" s="42" t="s">
        <v>685</v>
      </c>
      <c r="D986" s="42" t="str">
        <f t="shared" si="32"/>
        <v>D-Restaurant</v>
      </c>
      <c r="E986" s="42" t="s">
        <v>204</v>
      </c>
      <c r="F986" s="42" t="s">
        <v>238</v>
      </c>
      <c r="G986" s="42">
        <v>-6.52</v>
      </c>
      <c r="H986" s="42">
        <f t="shared" si="33"/>
        <v>201509</v>
      </c>
      <c r="I986" s="42">
        <f>MATCH(D986,$O:$O,0)</f>
        <v>9</v>
      </c>
    </row>
    <row r="987" spans="1:9" x14ac:dyDescent="0.25">
      <c r="A987" s="42" t="s">
        <v>236</v>
      </c>
      <c r="B987" s="43">
        <v>42273</v>
      </c>
      <c r="C987" s="42" t="s">
        <v>509</v>
      </c>
      <c r="D987" s="42" t="str">
        <f t="shared" si="32"/>
        <v>D-Coffee</v>
      </c>
      <c r="E987" s="42" t="s">
        <v>215</v>
      </c>
      <c r="F987" s="42" t="s">
        <v>238</v>
      </c>
      <c r="G987" s="42">
        <v>-1.85</v>
      </c>
      <c r="H987" s="42">
        <f t="shared" si="33"/>
        <v>201509</v>
      </c>
      <c r="I987" s="42">
        <f>MATCH(D987,$O:$O,0)</f>
        <v>7</v>
      </c>
    </row>
    <row r="988" spans="1:9" x14ac:dyDescent="0.25">
      <c r="A988" s="42" t="s">
        <v>236</v>
      </c>
      <c r="B988" s="43">
        <v>42273</v>
      </c>
      <c r="C988" s="42" t="s">
        <v>840</v>
      </c>
      <c r="D988" s="42" t="str">
        <f t="shared" si="32"/>
        <v>Gifts</v>
      </c>
      <c r="E988" s="42" t="s">
        <v>40</v>
      </c>
      <c r="F988" s="42" t="s">
        <v>238</v>
      </c>
      <c r="G988" s="42">
        <v>39.99</v>
      </c>
      <c r="H988" s="42">
        <f t="shared" si="33"/>
        <v>201509</v>
      </c>
      <c r="I988" s="42">
        <f>MATCH(D988,$O:$O,0)</f>
        <v>11</v>
      </c>
    </row>
    <row r="989" spans="1:9" x14ac:dyDescent="0.25">
      <c r="A989" s="42" t="s">
        <v>236</v>
      </c>
      <c r="B989" s="43">
        <v>42275</v>
      </c>
      <c r="C989" s="42" t="s">
        <v>835</v>
      </c>
      <c r="D989" s="42" t="str">
        <f t="shared" si="32"/>
        <v>Gifts</v>
      </c>
      <c r="E989" s="42" t="s">
        <v>40</v>
      </c>
      <c r="F989" s="42" t="s">
        <v>238</v>
      </c>
      <c r="G989" s="42">
        <v>-475</v>
      </c>
      <c r="H989" s="42">
        <f t="shared" si="33"/>
        <v>201509</v>
      </c>
      <c r="I989" s="42">
        <f>MATCH(D989,$O:$O,0)</f>
        <v>11</v>
      </c>
    </row>
    <row r="990" spans="1:9" x14ac:dyDescent="0.25">
      <c r="A990" s="42" t="s">
        <v>236</v>
      </c>
      <c r="B990" s="43">
        <v>42275</v>
      </c>
      <c r="C990" s="42" t="s">
        <v>836</v>
      </c>
      <c r="D990" s="42" t="str">
        <f t="shared" si="32"/>
        <v>Grocery</v>
      </c>
      <c r="E990" s="42" t="s">
        <v>192</v>
      </c>
      <c r="F990" s="42" t="s">
        <v>238</v>
      </c>
      <c r="G990" s="42">
        <v>-143.15</v>
      </c>
      <c r="H990" s="42">
        <f t="shared" si="33"/>
        <v>201509</v>
      </c>
      <c r="I990" s="42">
        <f>MATCH(D990,$O:$O,0)</f>
        <v>12</v>
      </c>
    </row>
    <row r="991" spans="1:9" x14ac:dyDescent="0.25">
      <c r="A991" s="42" t="s">
        <v>236</v>
      </c>
      <c r="B991" s="43">
        <v>42275</v>
      </c>
      <c r="C991" s="42" t="s">
        <v>837</v>
      </c>
      <c r="D991" s="42" t="str">
        <f t="shared" si="32"/>
        <v>Laundry</v>
      </c>
      <c r="E991" s="42" t="s">
        <v>112</v>
      </c>
      <c r="F991" s="42" t="s">
        <v>238</v>
      </c>
      <c r="G991" s="42">
        <v>-26</v>
      </c>
      <c r="H991" s="42">
        <f t="shared" si="33"/>
        <v>201509</v>
      </c>
      <c r="I991" s="42">
        <f>MATCH(D991,$O:$O,0)</f>
        <v>19</v>
      </c>
    </row>
    <row r="992" spans="1:9" x14ac:dyDescent="0.25">
      <c r="A992" s="42" t="s">
        <v>236</v>
      </c>
      <c r="B992" s="43">
        <v>42275</v>
      </c>
      <c r="C992" s="42" t="s">
        <v>838</v>
      </c>
      <c r="D992" s="42" t="str">
        <f t="shared" si="32"/>
        <v>D-Restaurant</v>
      </c>
      <c r="E992" s="42" t="s">
        <v>204</v>
      </c>
      <c r="F992" s="42" t="s">
        <v>238</v>
      </c>
      <c r="G992" s="42">
        <v>-100</v>
      </c>
      <c r="H992" s="42">
        <f t="shared" si="33"/>
        <v>201509</v>
      </c>
      <c r="I992" s="42">
        <f>MATCH(D992,$O:$O,0)</f>
        <v>9</v>
      </c>
    </row>
    <row r="993" spans="1:11" x14ac:dyDescent="0.25">
      <c r="A993" s="42" t="s">
        <v>236</v>
      </c>
      <c r="B993" s="43">
        <v>42275</v>
      </c>
      <c r="C993" s="42" t="s">
        <v>839</v>
      </c>
      <c r="D993" s="42" t="str">
        <f t="shared" si="32"/>
        <v>Business Expense</v>
      </c>
      <c r="E993" s="42" t="s">
        <v>875</v>
      </c>
      <c r="F993" s="42" t="s">
        <v>238</v>
      </c>
      <c r="G993" s="42">
        <v>-3.48</v>
      </c>
      <c r="H993" s="42">
        <f t="shared" si="33"/>
        <v>201509</v>
      </c>
      <c r="I993" s="42">
        <f>MATCH(D993,$O:$O,0)</f>
        <v>3</v>
      </c>
    </row>
    <row r="994" spans="1:11" x14ac:dyDescent="0.25">
      <c r="A994" s="42" t="s">
        <v>236</v>
      </c>
      <c r="B994" s="43">
        <v>42275</v>
      </c>
      <c r="C994" s="42" t="s">
        <v>565</v>
      </c>
      <c r="D994" s="42" t="str">
        <f t="shared" si="32"/>
        <v>Grocery</v>
      </c>
      <c r="E994" s="42" t="s">
        <v>192</v>
      </c>
      <c r="F994" s="42" t="s">
        <v>238</v>
      </c>
      <c r="G994" s="42">
        <v>16.43</v>
      </c>
      <c r="H994" s="42">
        <f t="shared" si="33"/>
        <v>201509</v>
      </c>
      <c r="I994" s="42">
        <f>MATCH(D994,$O:$O,0)</f>
        <v>12</v>
      </c>
    </row>
    <row r="995" spans="1:11" x14ac:dyDescent="0.25">
      <c r="A995" s="42" t="s">
        <v>236</v>
      </c>
      <c r="B995" s="43">
        <v>42276</v>
      </c>
      <c r="C995" s="42" t="s">
        <v>830</v>
      </c>
      <c r="D995" s="42" t="str">
        <f t="shared" si="32"/>
        <v>Business Expense</v>
      </c>
      <c r="E995" s="42" t="s">
        <v>875</v>
      </c>
      <c r="F995" s="42" t="s">
        <v>238</v>
      </c>
      <c r="G995" s="42">
        <v>-29</v>
      </c>
      <c r="H995" s="42">
        <f t="shared" si="33"/>
        <v>201509</v>
      </c>
      <c r="I995" s="42">
        <f>MATCH(D995,$O:$O,0)</f>
        <v>3</v>
      </c>
    </row>
    <row r="996" spans="1:11" x14ac:dyDescent="0.25">
      <c r="A996" s="42" t="s">
        <v>236</v>
      </c>
      <c r="B996" s="43">
        <v>42276</v>
      </c>
      <c r="C996" s="42" t="s">
        <v>831</v>
      </c>
      <c r="D996" s="42" t="str">
        <f t="shared" ref="D996:D1059" si="34">IF(ISNA(VLOOKUP(E996,$L$2:$M$26,2,FALSE)),E996,VLOOKUP(E996,$L$2:$M$26,2,FALSE))</f>
        <v>Business Expense</v>
      </c>
      <c r="E996" s="42" t="s">
        <v>875</v>
      </c>
      <c r="F996" s="42" t="s">
        <v>238</v>
      </c>
      <c r="G996" s="42">
        <v>-40</v>
      </c>
      <c r="H996" s="42">
        <f t="shared" si="33"/>
        <v>201509</v>
      </c>
      <c r="I996" s="42">
        <f>MATCH(D996,$O:$O,0)</f>
        <v>3</v>
      </c>
    </row>
    <row r="997" spans="1:11" x14ac:dyDescent="0.25">
      <c r="A997" s="42" t="s">
        <v>236</v>
      </c>
      <c r="B997" s="43">
        <v>42276</v>
      </c>
      <c r="C997" s="42" t="s">
        <v>832</v>
      </c>
      <c r="D997" s="42" t="str">
        <f t="shared" si="34"/>
        <v>Business Expense</v>
      </c>
      <c r="E997" s="42" t="s">
        <v>875</v>
      </c>
      <c r="F997" s="42" t="s">
        <v>238</v>
      </c>
      <c r="G997" s="42">
        <v>-3.79</v>
      </c>
      <c r="H997" s="42">
        <f t="shared" si="33"/>
        <v>201509</v>
      </c>
      <c r="I997" s="42">
        <f>MATCH(D997,$O:$O,0)</f>
        <v>3</v>
      </c>
    </row>
    <row r="998" spans="1:11" x14ac:dyDescent="0.25">
      <c r="A998" s="42" t="s">
        <v>236</v>
      </c>
      <c r="B998" s="43">
        <v>42276</v>
      </c>
      <c r="C998" s="42" t="s">
        <v>833</v>
      </c>
      <c r="D998" s="42" t="str">
        <f t="shared" si="34"/>
        <v>Business Expense</v>
      </c>
      <c r="E998" s="42" t="s">
        <v>875</v>
      </c>
      <c r="F998" s="42" t="s">
        <v>238</v>
      </c>
      <c r="G998" s="42">
        <v>-0.5</v>
      </c>
      <c r="H998" s="42">
        <f t="shared" si="33"/>
        <v>201509</v>
      </c>
      <c r="I998" s="42">
        <f>MATCH(D998,$O:$O,0)</f>
        <v>3</v>
      </c>
    </row>
    <row r="999" spans="1:11" x14ac:dyDescent="0.25">
      <c r="A999" s="42" t="s">
        <v>236</v>
      </c>
      <c r="B999" s="43">
        <v>42276</v>
      </c>
      <c r="C999" s="42" t="s">
        <v>834</v>
      </c>
      <c r="D999" s="42" t="str">
        <f t="shared" si="34"/>
        <v>Business Expense</v>
      </c>
      <c r="E999" s="42" t="s">
        <v>875</v>
      </c>
      <c r="F999" s="42" t="s">
        <v>238</v>
      </c>
      <c r="G999" s="42">
        <v>-12.46</v>
      </c>
      <c r="H999" s="42">
        <f t="shared" si="33"/>
        <v>201509</v>
      </c>
      <c r="I999" s="42">
        <f>MATCH(D999,$O:$O,0)</f>
        <v>3</v>
      </c>
    </row>
    <row r="1000" spans="1:11" x14ac:dyDescent="0.25">
      <c r="A1000" s="42" t="s">
        <v>236</v>
      </c>
      <c r="B1000" s="43">
        <v>42276</v>
      </c>
      <c r="C1000" s="42" t="s">
        <v>600</v>
      </c>
      <c r="D1000" s="42" t="str">
        <f t="shared" si="34"/>
        <v>D-Restaurant</v>
      </c>
      <c r="E1000" s="42" t="s">
        <v>204</v>
      </c>
      <c r="F1000" s="42" t="s">
        <v>238</v>
      </c>
      <c r="G1000" s="42">
        <v>-8.1999999999999993</v>
      </c>
      <c r="H1000" s="42">
        <f t="shared" si="33"/>
        <v>201509</v>
      </c>
      <c r="I1000" s="42">
        <f>MATCH(D1000,$O:$O,0)</f>
        <v>9</v>
      </c>
    </row>
    <row r="1001" spans="1:11" x14ac:dyDescent="0.25">
      <c r="A1001" s="42" t="s">
        <v>236</v>
      </c>
      <c r="B1001" s="43">
        <v>42277</v>
      </c>
      <c r="C1001" s="42" t="s">
        <v>826</v>
      </c>
      <c r="D1001" s="42" t="str">
        <f t="shared" si="34"/>
        <v>Paychecks/Salary</v>
      </c>
      <c r="E1001" s="42" t="s">
        <v>375</v>
      </c>
      <c r="F1001" s="42" t="s">
        <v>238</v>
      </c>
      <c r="G1001" s="44">
        <v>3303.26</v>
      </c>
      <c r="H1001" s="42">
        <f t="shared" si="33"/>
        <v>201509</v>
      </c>
      <c r="I1001" s="42">
        <f>MATCH(D1001,$O:$O,0)</f>
        <v>40</v>
      </c>
    </row>
    <row r="1002" spans="1:11" x14ac:dyDescent="0.25">
      <c r="A1002" s="42" t="s">
        <v>236</v>
      </c>
      <c r="B1002" s="43">
        <v>42277</v>
      </c>
      <c r="C1002" s="42" t="s">
        <v>646</v>
      </c>
      <c r="D1002" s="42" t="str">
        <f t="shared" si="34"/>
        <v>Cell Phone</v>
      </c>
      <c r="E1002" s="42" t="s">
        <v>224</v>
      </c>
      <c r="F1002" s="42" t="s">
        <v>238</v>
      </c>
      <c r="G1002" s="42">
        <v>-177.18</v>
      </c>
      <c r="H1002" s="42">
        <f t="shared" si="33"/>
        <v>201509</v>
      </c>
      <c r="I1002" s="42">
        <f>MATCH(D1002,$O:$O,0)</f>
        <v>4</v>
      </c>
    </row>
    <row r="1003" spans="1:11" x14ac:dyDescent="0.25">
      <c r="A1003" s="42" t="s">
        <v>236</v>
      </c>
      <c r="B1003" s="43">
        <v>42277</v>
      </c>
      <c r="C1003" s="42" t="s">
        <v>827</v>
      </c>
      <c r="D1003" s="42" t="str">
        <f t="shared" si="34"/>
        <v>D-Restaurant</v>
      </c>
      <c r="E1003" s="42" t="s">
        <v>204</v>
      </c>
      <c r="F1003" s="42" t="s">
        <v>238</v>
      </c>
      <c r="G1003" s="42">
        <v>-35</v>
      </c>
      <c r="H1003" s="42">
        <f t="shared" si="33"/>
        <v>201509</v>
      </c>
      <c r="I1003" s="42">
        <f>MATCH(D1003,$O:$O,0)</f>
        <v>9</v>
      </c>
    </row>
    <row r="1004" spans="1:11" x14ac:dyDescent="0.25">
      <c r="A1004" s="42" t="s">
        <v>236</v>
      </c>
      <c r="B1004" s="43">
        <v>42277</v>
      </c>
      <c r="C1004" s="42" t="s">
        <v>828</v>
      </c>
      <c r="D1004" s="42" t="str">
        <f t="shared" si="34"/>
        <v>Business Expense</v>
      </c>
      <c r="E1004" s="42" t="s">
        <v>875</v>
      </c>
      <c r="F1004" s="42" t="s">
        <v>238</v>
      </c>
      <c r="G1004" s="42">
        <v>-17.55</v>
      </c>
      <c r="H1004" s="42">
        <f t="shared" si="33"/>
        <v>201509</v>
      </c>
      <c r="I1004" s="42">
        <f>MATCH(D1004,$O:$O,0)</f>
        <v>3</v>
      </c>
    </row>
    <row r="1005" spans="1:11" x14ac:dyDescent="0.25">
      <c r="A1005" s="42" t="s">
        <v>236</v>
      </c>
      <c r="B1005" s="43">
        <v>42277</v>
      </c>
      <c r="C1005" s="42" t="s">
        <v>829</v>
      </c>
      <c r="D1005" s="42" t="str">
        <f t="shared" si="34"/>
        <v>Magazines</v>
      </c>
      <c r="E1005" s="42" t="s">
        <v>34</v>
      </c>
      <c r="F1005" s="42" t="s">
        <v>238</v>
      </c>
      <c r="G1005" s="42">
        <v>-9.99</v>
      </c>
      <c r="H1005" s="42">
        <f t="shared" si="33"/>
        <v>201509</v>
      </c>
      <c r="I1005" s="42">
        <f>MATCH(D1005,$O:$O,0)</f>
        <v>20</v>
      </c>
    </row>
    <row r="1006" spans="1:11" x14ac:dyDescent="0.25">
      <c r="A1006" s="42" t="s">
        <v>236</v>
      </c>
      <c r="B1006" s="43">
        <v>42277</v>
      </c>
      <c r="C1006" s="42" t="s">
        <v>411</v>
      </c>
      <c r="D1006" s="42" t="str">
        <f t="shared" si="34"/>
        <v>Investment Income</v>
      </c>
      <c r="E1006" s="42" t="s">
        <v>736</v>
      </c>
      <c r="F1006" s="42" t="s">
        <v>238</v>
      </c>
      <c r="G1006" s="42">
        <v>10.72</v>
      </c>
      <c r="H1006" s="42">
        <f t="shared" si="33"/>
        <v>201509</v>
      </c>
      <c r="I1006" s="42" t="e">
        <f>MATCH(D1006,$O:$O,0)</f>
        <v>#N/A</v>
      </c>
    </row>
    <row r="1007" spans="1:11" x14ac:dyDescent="0.25">
      <c r="A1007" s="42" t="s">
        <v>236</v>
      </c>
      <c r="B1007" s="43">
        <v>42278</v>
      </c>
      <c r="C1007" s="42" t="s">
        <v>591</v>
      </c>
      <c r="D1007" s="42" t="str">
        <f t="shared" si="34"/>
        <v>Mortgage/Rent</v>
      </c>
      <c r="E1007" s="42" t="s">
        <v>202</v>
      </c>
      <c r="F1007" s="42" t="s">
        <v>238</v>
      </c>
      <c r="G1007" s="44">
        <v>-3116.77</v>
      </c>
      <c r="H1007" s="42">
        <f t="shared" si="33"/>
        <v>201510</v>
      </c>
      <c r="I1007" s="42">
        <f>MATCH(D1007,$O:$O,0)</f>
        <v>21</v>
      </c>
      <c r="J1007" s="42" t="s">
        <v>39</v>
      </c>
      <c r="K1007" s="42" t="s">
        <v>803</v>
      </c>
    </row>
    <row r="1008" spans="1:11" x14ac:dyDescent="0.25">
      <c r="A1008" s="42" t="s">
        <v>236</v>
      </c>
      <c r="B1008" s="43">
        <v>42278</v>
      </c>
      <c r="C1008" s="42" t="s">
        <v>887</v>
      </c>
      <c r="D1008" s="42" t="str">
        <f t="shared" si="34"/>
        <v>D-Restaurant</v>
      </c>
      <c r="E1008" s="42" t="s">
        <v>204</v>
      </c>
      <c r="F1008" s="42" t="s">
        <v>238</v>
      </c>
      <c r="G1008" s="42">
        <v>-8.27</v>
      </c>
      <c r="H1008" s="42">
        <f t="shared" si="33"/>
        <v>201510</v>
      </c>
      <c r="I1008" s="42">
        <f>MATCH(D1008,$O:$O,0)</f>
        <v>9</v>
      </c>
      <c r="J1008" s="42" t="s">
        <v>39</v>
      </c>
      <c r="K1008" s="42" t="s">
        <v>649</v>
      </c>
    </row>
    <row r="1009" spans="1:12" x14ac:dyDescent="0.25">
      <c r="A1009" s="42" t="s">
        <v>236</v>
      </c>
      <c r="B1009" s="43">
        <v>42279</v>
      </c>
      <c r="C1009" s="42" t="s">
        <v>1000</v>
      </c>
      <c r="D1009" s="42" t="str">
        <f t="shared" si="34"/>
        <v>Credit Card Payments</v>
      </c>
      <c r="E1009" s="42" t="s">
        <v>242</v>
      </c>
      <c r="F1009" s="42" t="s">
        <v>238</v>
      </c>
      <c r="G1009" s="42">
        <v>-453.84</v>
      </c>
      <c r="H1009" s="42">
        <f t="shared" si="33"/>
        <v>201510</v>
      </c>
      <c r="I1009" s="42">
        <f>MATCH(D1009,$O:$O,0)</f>
        <v>38</v>
      </c>
      <c r="J1009" s="42" t="s">
        <v>39</v>
      </c>
      <c r="K1009" s="42" t="s">
        <v>803</v>
      </c>
    </row>
    <row r="1010" spans="1:12" x14ac:dyDescent="0.25">
      <c r="A1010" s="42" t="s">
        <v>236</v>
      </c>
      <c r="B1010" s="43">
        <v>42279</v>
      </c>
      <c r="C1010" s="42" t="s">
        <v>424</v>
      </c>
      <c r="D1010" s="42" t="str">
        <f t="shared" si="34"/>
        <v>Gas</v>
      </c>
      <c r="E1010" s="42" t="s">
        <v>311</v>
      </c>
      <c r="F1010" s="42" t="s">
        <v>238</v>
      </c>
      <c r="G1010" s="42">
        <v>-30.78</v>
      </c>
      <c r="H1010" s="42">
        <f t="shared" si="33"/>
        <v>201510</v>
      </c>
      <c r="I1010" s="42">
        <f>MATCH(D1010,$O:$O,0)</f>
        <v>30</v>
      </c>
      <c r="J1010" s="42" t="s">
        <v>39</v>
      </c>
      <c r="K1010" s="42" t="s">
        <v>619</v>
      </c>
    </row>
    <row r="1011" spans="1:12" x14ac:dyDescent="0.25">
      <c r="A1011" s="42" t="s">
        <v>236</v>
      </c>
      <c r="B1011" s="43">
        <v>42279</v>
      </c>
      <c r="C1011" s="42" t="s">
        <v>435</v>
      </c>
      <c r="D1011" s="42" t="str">
        <f t="shared" si="34"/>
        <v>Credit Card Payments</v>
      </c>
      <c r="E1011" s="42" t="s">
        <v>242</v>
      </c>
      <c r="F1011" s="42" t="s">
        <v>238</v>
      </c>
      <c r="G1011" s="42">
        <v>453.84</v>
      </c>
      <c r="H1011" s="42">
        <f t="shared" si="33"/>
        <v>201510</v>
      </c>
      <c r="I1011" s="42">
        <f>MATCH(D1011,$O:$O,0)</f>
        <v>38</v>
      </c>
      <c r="J1011" s="42" t="s">
        <v>39</v>
      </c>
      <c r="K1011" s="42" t="s">
        <v>619</v>
      </c>
      <c r="L1011" s="42" t="s">
        <v>339</v>
      </c>
    </row>
    <row r="1012" spans="1:12" x14ac:dyDescent="0.25">
      <c r="A1012" s="42" t="s">
        <v>236</v>
      </c>
      <c r="B1012" s="43">
        <v>42279</v>
      </c>
      <c r="C1012" s="42" t="s">
        <v>249</v>
      </c>
      <c r="D1012" s="42" t="str">
        <f t="shared" si="34"/>
        <v>Retirement Contributions</v>
      </c>
      <c r="E1012" s="42" t="s">
        <v>263</v>
      </c>
      <c r="F1012" s="42" t="s">
        <v>238</v>
      </c>
      <c r="G1012" s="42">
        <v>536.25</v>
      </c>
      <c r="H1012" s="42">
        <f t="shared" si="33"/>
        <v>201510</v>
      </c>
      <c r="I1012" s="42">
        <f>MATCH(D1012,$O:$O,0)</f>
        <v>39</v>
      </c>
      <c r="J1012" s="42" t="s">
        <v>39</v>
      </c>
      <c r="K1012" s="42" t="s">
        <v>649</v>
      </c>
      <c r="L1012" s="42" t="s">
        <v>363</v>
      </c>
    </row>
    <row r="1013" spans="1:12" x14ac:dyDescent="0.25">
      <c r="A1013" s="42" t="s">
        <v>236</v>
      </c>
      <c r="B1013" s="43">
        <v>42279</v>
      </c>
      <c r="C1013" s="42" t="s">
        <v>707</v>
      </c>
      <c r="D1013" s="42" t="str">
        <f t="shared" si="34"/>
        <v>D-Restaurant</v>
      </c>
      <c r="E1013" s="42" t="s">
        <v>204</v>
      </c>
      <c r="F1013" s="42" t="s">
        <v>238</v>
      </c>
      <c r="G1013" s="42">
        <v>-8.32</v>
      </c>
      <c r="H1013" s="42">
        <f t="shared" si="33"/>
        <v>201510</v>
      </c>
      <c r="I1013" s="42">
        <f>MATCH(D1013,$O:$O,0)</f>
        <v>9</v>
      </c>
      <c r="J1013" s="42" t="s">
        <v>39</v>
      </c>
      <c r="K1013" s="42" t="s">
        <v>649</v>
      </c>
      <c r="L1013" s="42" t="s">
        <v>877</v>
      </c>
    </row>
    <row r="1014" spans="1:12" x14ac:dyDescent="0.25">
      <c r="A1014" s="42" t="s">
        <v>236</v>
      </c>
      <c r="B1014" s="43">
        <v>42279</v>
      </c>
      <c r="C1014" s="42" t="s">
        <v>1001</v>
      </c>
      <c r="D1014" s="42" t="str">
        <f t="shared" si="34"/>
        <v>D-Restaurant</v>
      </c>
      <c r="E1014" s="42" t="s">
        <v>204</v>
      </c>
      <c r="F1014" s="42" t="s">
        <v>238</v>
      </c>
      <c r="G1014" s="42">
        <v>-7.41</v>
      </c>
      <c r="H1014" s="42">
        <f t="shared" si="33"/>
        <v>201510</v>
      </c>
      <c r="I1014" s="42">
        <f>MATCH(D1014,$O:$O,0)</f>
        <v>9</v>
      </c>
      <c r="J1014" s="42" t="s">
        <v>39</v>
      </c>
      <c r="K1014" s="42" t="s">
        <v>649</v>
      </c>
      <c r="L1014" s="42" t="s">
        <v>879</v>
      </c>
    </row>
    <row r="1015" spans="1:12" x14ac:dyDescent="0.25">
      <c r="A1015" s="42" t="s">
        <v>236</v>
      </c>
      <c r="B1015" s="43">
        <v>42279</v>
      </c>
      <c r="C1015" s="42" t="s">
        <v>685</v>
      </c>
      <c r="D1015" s="42" t="str">
        <f t="shared" si="34"/>
        <v>D-Restaurant</v>
      </c>
      <c r="E1015" s="42" t="s">
        <v>204</v>
      </c>
      <c r="F1015" s="42" t="s">
        <v>238</v>
      </c>
      <c r="G1015" s="42">
        <v>-6.52</v>
      </c>
      <c r="H1015" s="42">
        <f t="shared" si="33"/>
        <v>201510</v>
      </c>
      <c r="I1015" s="42">
        <f>MATCH(D1015,$O:$O,0)</f>
        <v>9</v>
      </c>
      <c r="J1015" s="42" t="s">
        <v>39</v>
      </c>
      <c r="K1015" s="42" t="s">
        <v>632</v>
      </c>
      <c r="L1015" s="42" t="s">
        <v>254</v>
      </c>
    </row>
    <row r="1016" spans="1:12" x14ac:dyDescent="0.25">
      <c r="A1016" s="42" t="s">
        <v>236</v>
      </c>
      <c r="B1016" s="43">
        <v>42280</v>
      </c>
      <c r="C1016" s="42" t="s">
        <v>999</v>
      </c>
      <c r="D1016" s="42" t="str">
        <f t="shared" si="34"/>
        <v>Grocery</v>
      </c>
      <c r="E1016" s="42" t="s">
        <v>385</v>
      </c>
      <c r="F1016" s="42" t="s">
        <v>238</v>
      </c>
      <c r="G1016" s="42">
        <v>-20.84</v>
      </c>
      <c r="H1016" s="42">
        <f t="shared" si="33"/>
        <v>201510</v>
      </c>
      <c r="I1016" s="42">
        <f>MATCH(D1016,$O:$O,0)</f>
        <v>12</v>
      </c>
      <c r="J1016" s="42" t="s">
        <v>39</v>
      </c>
      <c r="K1016" s="42" t="s">
        <v>619</v>
      </c>
      <c r="L1016" s="42" t="s">
        <v>882</v>
      </c>
    </row>
    <row r="1017" spans="1:12" x14ac:dyDescent="0.25">
      <c r="A1017" s="42" t="s">
        <v>236</v>
      </c>
      <c r="B1017" s="43">
        <v>42282</v>
      </c>
      <c r="C1017" s="42" t="s">
        <v>861</v>
      </c>
      <c r="D1017" s="42" t="str">
        <f t="shared" si="34"/>
        <v>Car Related</v>
      </c>
      <c r="E1017" s="42" t="s">
        <v>185</v>
      </c>
      <c r="F1017" s="42" t="s">
        <v>238</v>
      </c>
      <c r="G1017" s="42">
        <v>-321.52</v>
      </c>
      <c r="H1017" s="42">
        <f t="shared" si="33"/>
        <v>201510</v>
      </c>
      <c r="I1017" s="42">
        <f>MATCH(D1017,$O:$O,0)</f>
        <v>31</v>
      </c>
      <c r="J1017" s="42" t="s">
        <v>39</v>
      </c>
      <c r="K1017" s="42" t="s">
        <v>675</v>
      </c>
      <c r="L1017" s="42" t="s">
        <v>252</v>
      </c>
    </row>
    <row r="1018" spans="1:12" x14ac:dyDescent="0.25">
      <c r="A1018" s="42" t="s">
        <v>236</v>
      </c>
      <c r="B1018" s="43">
        <v>42282</v>
      </c>
      <c r="C1018" s="42" t="s">
        <v>997</v>
      </c>
      <c r="D1018" s="42" t="str">
        <f t="shared" si="34"/>
        <v>Gifts</v>
      </c>
      <c r="E1018" s="42" t="s">
        <v>40</v>
      </c>
      <c r="F1018" s="42" t="s">
        <v>238</v>
      </c>
      <c r="G1018" s="42">
        <v>-350</v>
      </c>
      <c r="H1018" s="42">
        <f t="shared" si="33"/>
        <v>201510</v>
      </c>
      <c r="I1018" s="42">
        <f>MATCH(D1018,$O:$O,0)</f>
        <v>11</v>
      </c>
      <c r="J1018" s="42" t="s">
        <v>39</v>
      </c>
      <c r="K1018" s="42" t="s">
        <v>675</v>
      </c>
      <c r="L1018" s="42" t="s">
        <v>313</v>
      </c>
    </row>
    <row r="1019" spans="1:12" x14ac:dyDescent="0.25">
      <c r="A1019" s="42" t="s">
        <v>236</v>
      </c>
      <c r="B1019" s="43">
        <v>42282</v>
      </c>
      <c r="C1019" s="42" t="s">
        <v>998</v>
      </c>
      <c r="D1019" s="42" t="str">
        <f t="shared" si="34"/>
        <v>Gas</v>
      </c>
      <c r="E1019" s="42" t="s">
        <v>311</v>
      </c>
      <c r="F1019" s="42" t="s">
        <v>238</v>
      </c>
      <c r="G1019" s="42">
        <v>-28.92</v>
      </c>
      <c r="H1019" s="42">
        <f t="shared" si="33"/>
        <v>201510</v>
      </c>
      <c r="I1019" s="42">
        <f>MATCH(D1019,$O:$O,0)</f>
        <v>30</v>
      </c>
      <c r="J1019" s="42" t="s">
        <v>39</v>
      </c>
      <c r="K1019" s="42" t="s">
        <v>619</v>
      </c>
      <c r="L1019" s="42" t="s">
        <v>252</v>
      </c>
    </row>
    <row r="1020" spans="1:12" x14ac:dyDescent="0.25">
      <c r="A1020" s="42" t="s">
        <v>236</v>
      </c>
      <c r="B1020" s="43">
        <v>42283</v>
      </c>
      <c r="C1020" s="42" t="s">
        <v>995</v>
      </c>
      <c r="D1020" s="42" t="str">
        <f t="shared" si="34"/>
        <v>Transfers</v>
      </c>
      <c r="E1020" s="42" t="s">
        <v>226</v>
      </c>
      <c r="F1020" s="42" t="s">
        <v>238</v>
      </c>
      <c r="G1020" s="44">
        <v>-34985</v>
      </c>
      <c r="H1020" s="42">
        <f t="shared" si="33"/>
        <v>201510</v>
      </c>
      <c r="I1020" s="42">
        <f>MATCH(D1020,$O:$O,0)</f>
        <v>37</v>
      </c>
      <c r="J1020" s="42" t="s">
        <v>39</v>
      </c>
      <c r="K1020" s="42" t="s">
        <v>803</v>
      </c>
      <c r="L1020" s="42" t="s">
        <v>252</v>
      </c>
    </row>
    <row r="1021" spans="1:12" x14ac:dyDescent="0.25">
      <c r="A1021" s="42" t="s">
        <v>236</v>
      </c>
      <c r="B1021" s="43">
        <v>42283</v>
      </c>
      <c r="C1021" s="42" t="s">
        <v>996</v>
      </c>
      <c r="D1021" s="42" t="str">
        <f t="shared" si="34"/>
        <v>D-Restaurant</v>
      </c>
      <c r="E1021" s="42" t="s">
        <v>204</v>
      </c>
      <c r="F1021" s="42" t="s">
        <v>238</v>
      </c>
      <c r="G1021" s="42">
        <v>-16.13</v>
      </c>
      <c r="H1021" s="42">
        <f t="shared" si="33"/>
        <v>201510</v>
      </c>
      <c r="I1021" s="42">
        <f>MATCH(D1021,$O:$O,0)</f>
        <v>9</v>
      </c>
      <c r="J1021" s="42" t="s">
        <v>39</v>
      </c>
      <c r="K1021" s="42" t="s">
        <v>649</v>
      </c>
      <c r="L1021" s="42" t="s">
        <v>252</v>
      </c>
    </row>
    <row r="1022" spans="1:12" x14ac:dyDescent="0.25">
      <c r="A1022" s="42" t="s">
        <v>236</v>
      </c>
      <c r="B1022" s="43">
        <v>42284</v>
      </c>
      <c r="C1022" s="42" t="s">
        <v>565</v>
      </c>
      <c r="D1022" s="42" t="str">
        <f t="shared" si="34"/>
        <v>Grocery</v>
      </c>
      <c r="E1022" s="42" t="s">
        <v>192</v>
      </c>
      <c r="F1022" s="42" t="s">
        <v>238</v>
      </c>
      <c r="G1022" s="42">
        <v>-12.09</v>
      </c>
      <c r="H1022" s="42">
        <f t="shared" si="33"/>
        <v>201510</v>
      </c>
      <c r="I1022" s="42">
        <f>MATCH(D1022,$O:$O,0)</f>
        <v>12</v>
      </c>
      <c r="J1022" s="42" t="s">
        <v>39</v>
      </c>
      <c r="K1022" s="42" t="s">
        <v>649</v>
      </c>
      <c r="L1022" s="42"/>
    </row>
    <row r="1023" spans="1:12" x14ac:dyDescent="0.25">
      <c r="A1023" s="42" t="s">
        <v>236</v>
      </c>
      <c r="B1023" s="43">
        <v>42285</v>
      </c>
      <c r="C1023" s="42" t="s">
        <v>890</v>
      </c>
      <c r="D1023" s="42" t="str">
        <f t="shared" si="34"/>
        <v>D-Restaurant</v>
      </c>
      <c r="E1023" s="42" t="s">
        <v>204</v>
      </c>
      <c r="F1023" s="42" t="s">
        <v>238</v>
      </c>
      <c r="G1023" s="42">
        <v>-88</v>
      </c>
      <c r="H1023" s="42">
        <f t="shared" si="33"/>
        <v>201510</v>
      </c>
      <c r="I1023" s="42">
        <f>MATCH(D1023,$O:$O,0)</f>
        <v>9</v>
      </c>
      <c r="J1023" s="42" t="s">
        <v>39</v>
      </c>
      <c r="K1023" s="42" t="s">
        <v>649</v>
      </c>
      <c r="L1023" s="42" t="s">
        <v>353</v>
      </c>
    </row>
    <row r="1024" spans="1:12" x14ac:dyDescent="0.25">
      <c r="A1024" s="42" t="s">
        <v>236</v>
      </c>
      <c r="B1024" s="43">
        <v>42285</v>
      </c>
      <c r="C1024" s="42" t="s">
        <v>994</v>
      </c>
      <c r="D1024" s="42" t="str">
        <f t="shared" si="34"/>
        <v>D-Travel</v>
      </c>
      <c r="E1024" s="42" t="s">
        <v>161</v>
      </c>
      <c r="F1024" s="42" t="s">
        <v>238</v>
      </c>
      <c r="G1024" s="42">
        <v>-168</v>
      </c>
      <c r="H1024" s="42">
        <f t="shared" si="33"/>
        <v>201510</v>
      </c>
      <c r="I1024" s="42">
        <f>MATCH(D1024,$O:$O,0)</f>
        <v>10</v>
      </c>
      <c r="J1024" s="42" t="s">
        <v>39</v>
      </c>
      <c r="K1024" s="42" t="s">
        <v>649</v>
      </c>
      <c r="L1024" s="42" t="s">
        <v>353</v>
      </c>
    </row>
    <row r="1025" spans="1:12" x14ac:dyDescent="0.25">
      <c r="A1025" s="42" t="s">
        <v>236</v>
      </c>
      <c r="B1025" s="43">
        <v>42286</v>
      </c>
      <c r="C1025" s="42" t="s">
        <v>991</v>
      </c>
      <c r="D1025" s="42" t="str">
        <f t="shared" si="34"/>
        <v>Transfers</v>
      </c>
      <c r="E1025" s="42" t="s">
        <v>226</v>
      </c>
      <c r="F1025" s="42" t="s">
        <v>238</v>
      </c>
      <c r="G1025" s="42">
        <v>-219.87</v>
      </c>
      <c r="H1025" s="42">
        <f t="shared" si="33"/>
        <v>201510</v>
      </c>
      <c r="I1025" s="42">
        <f>MATCH(D1025,$O:$O,0)</f>
        <v>37</v>
      </c>
      <c r="J1025" s="42" t="s">
        <v>39</v>
      </c>
      <c r="K1025" s="42" t="s">
        <v>803</v>
      </c>
      <c r="L1025" s="42" t="s">
        <v>313</v>
      </c>
    </row>
    <row r="1026" spans="1:12" x14ac:dyDescent="0.25">
      <c r="A1026" s="42" t="s">
        <v>236</v>
      </c>
      <c r="B1026" s="43">
        <v>42286</v>
      </c>
      <c r="C1026" s="42" t="s">
        <v>863</v>
      </c>
      <c r="D1026" s="42" t="str">
        <f t="shared" si="34"/>
        <v>Parking</v>
      </c>
      <c r="E1026" s="42" t="s">
        <v>170</v>
      </c>
      <c r="F1026" s="42" t="s">
        <v>238</v>
      </c>
      <c r="G1026" s="42">
        <v>-6</v>
      </c>
      <c r="H1026" s="42">
        <f t="shared" ref="H1026:H1089" si="35">YEAR(B1026)*100+MONTH(B1026)</f>
        <v>201510</v>
      </c>
      <c r="I1026" s="42">
        <f>MATCH(D1026,$O:$O,0)</f>
        <v>32</v>
      </c>
      <c r="J1026" s="42" t="s">
        <v>39</v>
      </c>
      <c r="K1026" s="42" t="s">
        <v>649</v>
      </c>
      <c r="L1026" s="42" t="s">
        <v>313</v>
      </c>
    </row>
    <row r="1027" spans="1:12" x14ac:dyDescent="0.25">
      <c r="A1027" s="42" t="s">
        <v>236</v>
      </c>
      <c r="B1027" s="43">
        <v>42286</v>
      </c>
      <c r="C1027" s="42" t="s">
        <v>992</v>
      </c>
      <c r="D1027" s="42" t="str">
        <f t="shared" si="34"/>
        <v>Gifts</v>
      </c>
      <c r="E1027" s="42" t="s">
        <v>40</v>
      </c>
      <c r="F1027" s="42" t="s">
        <v>238</v>
      </c>
      <c r="G1027" s="42">
        <v>-30</v>
      </c>
      <c r="H1027" s="42">
        <f t="shared" si="35"/>
        <v>201510</v>
      </c>
      <c r="I1027" s="42">
        <f>MATCH(D1027,$O:$O,0)</f>
        <v>11</v>
      </c>
      <c r="J1027" s="42" t="s">
        <v>39</v>
      </c>
      <c r="K1027" s="42" t="s">
        <v>649</v>
      </c>
      <c r="L1027" s="42" t="s">
        <v>817</v>
      </c>
    </row>
    <row r="1028" spans="1:12" x14ac:dyDescent="0.25">
      <c r="A1028" s="42" t="s">
        <v>236</v>
      </c>
      <c r="B1028" s="43">
        <v>42286</v>
      </c>
      <c r="C1028" s="42" t="s">
        <v>992</v>
      </c>
      <c r="D1028" s="42" t="str">
        <f t="shared" si="34"/>
        <v>Gifts</v>
      </c>
      <c r="E1028" s="42" t="s">
        <v>40</v>
      </c>
      <c r="F1028" s="42" t="s">
        <v>238</v>
      </c>
      <c r="G1028" s="42">
        <v>-60</v>
      </c>
      <c r="H1028" s="42">
        <f t="shared" si="35"/>
        <v>201510</v>
      </c>
      <c r="I1028" s="42">
        <f>MATCH(D1028,$O:$O,0)</f>
        <v>11</v>
      </c>
      <c r="J1028" s="42" t="s">
        <v>39</v>
      </c>
      <c r="K1028" s="42" t="s">
        <v>649</v>
      </c>
      <c r="L1028" s="42" t="s">
        <v>252</v>
      </c>
    </row>
    <row r="1029" spans="1:12" x14ac:dyDescent="0.25">
      <c r="A1029" s="42" t="s">
        <v>236</v>
      </c>
      <c r="B1029" s="43">
        <v>42286</v>
      </c>
      <c r="C1029" s="42" t="s">
        <v>993</v>
      </c>
      <c r="D1029" s="42" t="str">
        <f t="shared" si="34"/>
        <v>Newspapers</v>
      </c>
      <c r="E1029" s="42" t="s">
        <v>35</v>
      </c>
      <c r="F1029" s="42" t="s">
        <v>238</v>
      </c>
      <c r="G1029" s="42">
        <v>-14.99</v>
      </c>
      <c r="H1029" s="42">
        <f t="shared" si="35"/>
        <v>201510</v>
      </c>
      <c r="I1029" s="42">
        <f>MATCH(D1029,$O:$O,0)</f>
        <v>23</v>
      </c>
      <c r="J1029" s="42" t="s">
        <v>39</v>
      </c>
      <c r="K1029" s="42" t="s">
        <v>649</v>
      </c>
      <c r="L1029" s="42" t="s">
        <v>252</v>
      </c>
    </row>
    <row r="1030" spans="1:12" x14ac:dyDescent="0.25">
      <c r="A1030" s="42" t="s">
        <v>236</v>
      </c>
      <c r="B1030" s="43">
        <v>42286</v>
      </c>
      <c r="C1030" s="42" t="s">
        <v>600</v>
      </c>
      <c r="D1030" s="42" t="str">
        <f t="shared" si="34"/>
        <v>D-Restaurant</v>
      </c>
      <c r="E1030" s="42" t="s">
        <v>204</v>
      </c>
      <c r="F1030" s="42" t="s">
        <v>238</v>
      </c>
      <c r="G1030" s="42">
        <v>-8.1999999999999993</v>
      </c>
      <c r="H1030" s="42">
        <f t="shared" si="35"/>
        <v>201510</v>
      </c>
      <c r="I1030" s="42">
        <f>MATCH(D1030,$O:$O,0)</f>
        <v>9</v>
      </c>
      <c r="J1030" s="42" t="s">
        <v>39</v>
      </c>
      <c r="K1030" s="42" t="s">
        <v>619</v>
      </c>
      <c r="L1030" s="42" t="s">
        <v>886</v>
      </c>
    </row>
    <row r="1031" spans="1:12" x14ac:dyDescent="0.25">
      <c r="A1031" s="42" t="s">
        <v>236</v>
      </c>
      <c r="B1031" s="43">
        <v>42287</v>
      </c>
      <c r="C1031" s="42" t="s">
        <v>990</v>
      </c>
      <c r="D1031" s="42" t="str">
        <f t="shared" si="34"/>
        <v>Business Expense</v>
      </c>
      <c r="E1031" s="42" t="s">
        <v>875</v>
      </c>
      <c r="F1031" s="42" t="s">
        <v>238</v>
      </c>
      <c r="G1031" s="42">
        <v>-10.69</v>
      </c>
      <c r="H1031" s="42">
        <f t="shared" si="35"/>
        <v>201510</v>
      </c>
      <c r="I1031" s="42">
        <f>MATCH(D1031,$O:$O,0)</f>
        <v>3</v>
      </c>
      <c r="J1031" s="42" t="s">
        <v>39</v>
      </c>
      <c r="K1031" s="42" t="s">
        <v>649</v>
      </c>
      <c r="L1031" s="42"/>
    </row>
    <row r="1032" spans="1:12" x14ac:dyDescent="0.25">
      <c r="A1032" s="42" t="s">
        <v>236</v>
      </c>
      <c r="B1032" s="43">
        <v>42287</v>
      </c>
      <c r="C1032" s="42" t="s">
        <v>900</v>
      </c>
      <c r="D1032" s="42" t="str">
        <f t="shared" si="34"/>
        <v>Gas</v>
      </c>
      <c r="E1032" s="42" t="s">
        <v>311</v>
      </c>
      <c r="F1032" s="42" t="s">
        <v>238</v>
      </c>
      <c r="G1032" s="42">
        <v>-31.66</v>
      </c>
      <c r="H1032" s="42">
        <f t="shared" si="35"/>
        <v>201510</v>
      </c>
      <c r="I1032" s="42">
        <f>MATCH(D1032,$O:$O,0)</f>
        <v>30</v>
      </c>
      <c r="J1032" s="42" t="s">
        <v>39</v>
      </c>
      <c r="K1032" s="42" t="s">
        <v>619</v>
      </c>
      <c r="L1032" s="42" t="s">
        <v>888</v>
      </c>
    </row>
    <row r="1033" spans="1:12" x14ac:dyDescent="0.25">
      <c r="A1033" s="42" t="s">
        <v>236</v>
      </c>
      <c r="B1033" s="43">
        <v>42289</v>
      </c>
      <c r="C1033" s="42" t="s">
        <v>583</v>
      </c>
      <c r="D1033" s="42" t="str">
        <f t="shared" si="34"/>
        <v>Grocery</v>
      </c>
      <c r="E1033" s="42" t="s">
        <v>192</v>
      </c>
      <c r="F1033" s="42" t="s">
        <v>238</v>
      </c>
      <c r="G1033" s="42">
        <v>-27.65</v>
      </c>
      <c r="H1033" s="42">
        <f t="shared" si="35"/>
        <v>201510</v>
      </c>
      <c r="I1033" s="42">
        <f>MATCH(D1033,$O:$O,0)</f>
        <v>12</v>
      </c>
      <c r="J1033" s="42" t="s">
        <v>39</v>
      </c>
      <c r="K1033" s="42" t="s">
        <v>649</v>
      </c>
      <c r="L1033" s="42"/>
    </row>
    <row r="1034" spans="1:12" x14ac:dyDescent="0.25">
      <c r="A1034" s="42" t="s">
        <v>236</v>
      </c>
      <c r="B1034" s="43">
        <v>42289</v>
      </c>
      <c r="C1034" s="42" t="s">
        <v>565</v>
      </c>
      <c r="D1034" s="42" t="str">
        <f t="shared" si="34"/>
        <v>Grocery</v>
      </c>
      <c r="E1034" s="42" t="s">
        <v>192</v>
      </c>
      <c r="F1034" s="42" t="s">
        <v>238</v>
      </c>
      <c r="G1034" s="42">
        <v>-15.16</v>
      </c>
      <c r="H1034" s="42">
        <f t="shared" si="35"/>
        <v>201510</v>
      </c>
      <c r="I1034" s="42">
        <f>MATCH(D1034,$O:$O,0)</f>
        <v>12</v>
      </c>
      <c r="J1034" s="42" t="s">
        <v>39</v>
      </c>
      <c r="K1034" s="42" t="s">
        <v>649</v>
      </c>
      <c r="L1034" s="42" t="s">
        <v>891</v>
      </c>
    </row>
    <row r="1035" spans="1:12" x14ac:dyDescent="0.25">
      <c r="A1035" s="42" t="s">
        <v>236</v>
      </c>
      <c r="B1035" s="43">
        <v>42289</v>
      </c>
      <c r="C1035" s="42" t="s">
        <v>585</v>
      </c>
      <c r="D1035" s="42" t="str">
        <f t="shared" si="34"/>
        <v>Parking</v>
      </c>
      <c r="E1035" s="42" t="s">
        <v>170</v>
      </c>
      <c r="F1035" s="42" t="s">
        <v>238</v>
      </c>
      <c r="G1035" s="42">
        <v>-3.77</v>
      </c>
      <c r="H1035" s="42">
        <f t="shared" si="35"/>
        <v>201510</v>
      </c>
      <c r="I1035" s="42">
        <f>MATCH(D1035,$O:$O,0)</f>
        <v>32</v>
      </c>
      <c r="J1035" s="42" t="s">
        <v>39</v>
      </c>
      <c r="K1035" s="42" t="s">
        <v>649</v>
      </c>
      <c r="L1035" s="42" t="s">
        <v>353</v>
      </c>
    </row>
    <row r="1036" spans="1:12" x14ac:dyDescent="0.25">
      <c r="A1036" s="42" t="s">
        <v>236</v>
      </c>
      <c r="B1036" s="43">
        <v>42289</v>
      </c>
      <c r="C1036" s="42" t="s">
        <v>571</v>
      </c>
      <c r="D1036" s="42" t="str">
        <f t="shared" si="34"/>
        <v>Gas</v>
      </c>
      <c r="E1036" s="42" t="s">
        <v>311</v>
      </c>
      <c r="F1036" s="42" t="s">
        <v>238</v>
      </c>
      <c r="G1036" s="42">
        <v>-16.989999999999998</v>
      </c>
      <c r="H1036" s="42">
        <f t="shared" si="35"/>
        <v>201510</v>
      </c>
      <c r="I1036" s="42">
        <f>MATCH(D1036,$O:$O,0)</f>
        <v>30</v>
      </c>
      <c r="J1036" s="42" t="s">
        <v>39</v>
      </c>
      <c r="K1036" s="42" t="s">
        <v>649</v>
      </c>
      <c r="L1036" s="42" t="s">
        <v>310</v>
      </c>
    </row>
    <row r="1037" spans="1:12" x14ac:dyDescent="0.25">
      <c r="A1037" s="42" t="s">
        <v>236</v>
      </c>
      <c r="B1037" s="43">
        <v>42289</v>
      </c>
      <c r="C1037" s="42" t="s">
        <v>987</v>
      </c>
      <c r="D1037" s="42" t="str">
        <f t="shared" si="34"/>
        <v>D-Restaurant</v>
      </c>
      <c r="E1037" s="42" t="s">
        <v>204</v>
      </c>
      <c r="F1037" s="42" t="s">
        <v>238</v>
      </c>
      <c r="G1037" s="42">
        <v>-40.53</v>
      </c>
      <c r="H1037" s="42">
        <f t="shared" si="35"/>
        <v>201510</v>
      </c>
      <c r="I1037" s="42">
        <f>MATCH(D1037,$O:$O,0)</f>
        <v>9</v>
      </c>
      <c r="J1037" s="42" t="s">
        <v>39</v>
      </c>
      <c r="K1037" s="42" t="s">
        <v>649</v>
      </c>
      <c r="L1037" s="42" t="s">
        <v>340</v>
      </c>
    </row>
    <row r="1038" spans="1:12" x14ac:dyDescent="0.25">
      <c r="A1038" s="42" t="s">
        <v>236</v>
      </c>
      <c r="B1038" s="43">
        <v>42289</v>
      </c>
      <c r="C1038" s="42" t="s">
        <v>988</v>
      </c>
      <c r="D1038" s="42" t="str">
        <f t="shared" si="34"/>
        <v>D-Restaurant</v>
      </c>
      <c r="E1038" s="42" t="s">
        <v>204</v>
      </c>
      <c r="F1038" s="42" t="s">
        <v>238</v>
      </c>
      <c r="G1038" s="42">
        <v>-30</v>
      </c>
      <c r="H1038" s="42">
        <f t="shared" si="35"/>
        <v>201510</v>
      </c>
      <c r="I1038" s="42">
        <f>MATCH(D1038,$O:$O,0)</f>
        <v>9</v>
      </c>
      <c r="J1038" s="42" t="s">
        <v>39</v>
      </c>
      <c r="K1038" s="42" t="s">
        <v>649</v>
      </c>
      <c r="L1038" s="42"/>
    </row>
    <row r="1039" spans="1:12" x14ac:dyDescent="0.25">
      <c r="A1039" s="42" t="s">
        <v>236</v>
      </c>
      <c r="B1039" s="43">
        <v>42290</v>
      </c>
      <c r="C1039" s="42" t="s">
        <v>925</v>
      </c>
      <c r="D1039" s="42" t="str">
        <f t="shared" si="34"/>
        <v>Parking</v>
      </c>
      <c r="E1039" s="42" t="s">
        <v>170</v>
      </c>
      <c r="F1039" s="42" t="s">
        <v>238</v>
      </c>
      <c r="G1039" s="42">
        <v>-7.5</v>
      </c>
      <c r="H1039" s="42">
        <f t="shared" si="35"/>
        <v>201510</v>
      </c>
      <c r="I1039" s="42">
        <f>MATCH(D1039,$O:$O,0)</f>
        <v>32</v>
      </c>
      <c r="J1039" s="42" t="s">
        <v>39</v>
      </c>
      <c r="K1039" s="42" t="s">
        <v>649</v>
      </c>
      <c r="L1039" s="42" t="s">
        <v>819</v>
      </c>
    </row>
    <row r="1040" spans="1:12" x14ac:dyDescent="0.25">
      <c r="A1040" s="42" t="s">
        <v>236</v>
      </c>
      <c r="B1040" s="43">
        <v>42290</v>
      </c>
      <c r="C1040" s="42" t="s">
        <v>571</v>
      </c>
      <c r="D1040" s="42" t="str">
        <f t="shared" si="34"/>
        <v>Gas</v>
      </c>
      <c r="E1040" s="42" t="s">
        <v>311</v>
      </c>
      <c r="F1040" s="42" t="s">
        <v>238</v>
      </c>
      <c r="G1040" s="42">
        <v>-16.989999999999998</v>
      </c>
      <c r="H1040" s="42">
        <f t="shared" si="35"/>
        <v>201510</v>
      </c>
      <c r="I1040" s="42">
        <f>MATCH(D1040,$O:$O,0)</f>
        <v>30</v>
      </c>
      <c r="J1040" s="42" t="s">
        <v>39</v>
      </c>
      <c r="K1040" s="42" t="s">
        <v>649</v>
      </c>
      <c r="L1040" s="42" t="s">
        <v>223</v>
      </c>
    </row>
    <row r="1041" spans="1:12" x14ac:dyDescent="0.25">
      <c r="A1041" s="42" t="s">
        <v>236</v>
      </c>
      <c r="B1041" s="43">
        <v>42290</v>
      </c>
      <c r="C1041" s="42" t="s">
        <v>982</v>
      </c>
      <c r="D1041" s="42" t="str">
        <f t="shared" si="34"/>
        <v>D-Restaurant</v>
      </c>
      <c r="E1041" s="42" t="s">
        <v>204</v>
      </c>
      <c r="F1041" s="42" t="s">
        <v>238</v>
      </c>
      <c r="G1041" s="42">
        <v>-54.35</v>
      </c>
      <c r="H1041" s="42">
        <f t="shared" si="35"/>
        <v>201510</v>
      </c>
      <c r="I1041" s="42">
        <f>MATCH(D1041,$O:$O,0)</f>
        <v>9</v>
      </c>
      <c r="J1041" s="42" t="s">
        <v>39</v>
      </c>
      <c r="K1041" s="42" t="s">
        <v>649</v>
      </c>
      <c r="L1041" s="42"/>
    </row>
    <row r="1042" spans="1:12" x14ac:dyDescent="0.25">
      <c r="A1042" s="42" t="s">
        <v>236</v>
      </c>
      <c r="B1042" s="43">
        <v>42290</v>
      </c>
      <c r="C1042" s="42" t="s">
        <v>509</v>
      </c>
      <c r="D1042" s="42" t="str">
        <f t="shared" si="34"/>
        <v>D-Coffee</v>
      </c>
      <c r="E1042" s="42" t="s">
        <v>215</v>
      </c>
      <c r="F1042" s="42" t="s">
        <v>238</v>
      </c>
      <c r="G1042" s="42">
        <v>-3.25</v>
      </c>
      <c r="H1042" s="42">
        <f t="shared" si="35"/>
        <v>201510</v>
      </c>
      <c r="I1042" s="42">
        <f>MATCH(D1042,$O:$O,0)</f>
        <v>7</v>
      </c>
      <c r="J1042" s="42" t="s">
        <v>39</v>
      </c>
      <c r="K1042" s="42" t="s">
        <v>649</v>
      </c>
      <c r="L1042" s="42" t="s">
        <v>326</v>
      </c>
    </row>
    <row r="1043" spans="1:12" x14ac:dyDescent="0.25">
      <c r="A1043" s="42" t="s">
        <v>236</v>
      </c>
      <c r="B1043" s="43">
        <v>42290</v>
      </c>
      <c r="C1043" s="42" t="s">
        <v>980</v>
      </c>
      <c r="D1043" s="42" t="str">
        <f t="shared" si="34"/>
        <v>D-Restaurant</v>
      </c>
      <c r="E1043" s="42" t="s">
        <v>204</v>
      </c>
      <c r="F1043" s="42" t="s">
        <v>238</v>
      </c>
      <c r="G1043" s="42">
        <v>-37.729999999999997</v>
      </c>
      <c r="H1043" s="42">
        <f t="shared" si="35"/>
        <v>201510</v>
      </c>
      <c r="I1043" s="42">
        <f>MATCH(D1043,$O:$O,0)</f>
        <v>9</v>
      </c>
      <c r="J1043" s="42" t="s">
        <v>39</v>
      </c>
      <c r="K1043" s="42" t="s">
        <v>649</v>
      </c>
      <c r="L1043" s="42" t="s">
        <v>888</v>
      </c>
    </row>
    <row r="1044" spans="1:12" x14ac:dyDescent="0.25">
      <c r="A1044" s="42" t="s">
        <v>236</v>
      </c>
      <c r="B1044" s="43">
        <v>42290</v>
      </c>
      <c r="C1044" s="42" t="s">
        <v>985</v>
      </c>
      <c r="D1044" s="42" t="str">
        <f t="shared" si="34"/>
        <v>Paychecks/Salary</v>
      </c>
      <c r="E1044" s="42" t="s">
        <v>375</v>
      </c>
      <c r="F1044" s="42" t="s">
        <v>238</v>
      </c>
      <c r="G1044" s="42">
        <v>75</v>
      </c>
      <c r="H1044" s="42">
        <f t="shared" si="35"/>
        <v>201510</v>
      </c>
      <c r="I1044" s="42">
        <f>MATCH(D1044,$O:$O,0)</f>
        <v>40</v>
      </c>
      <c r="J1044" s="42" t="s">
        <v>39</v>
      </c>
      <c r="K1044" s="42" t="s">
        <v>649</v>
      </c>
      <c r="L1044" s="42" t="s">
        <v>895</v>
      </c>
    </row>
    <row r="1045" spans="1:12" x14ac:dyDescent="0.25">
      <c r="A1045" s="42" t="s">
        <v>236</v>
      </c>
      <c r="B1045" s="43">
        <v>42290</v>
      </c>
      <c r="C1045" s="42" t="s">
        <v>984</v>
      </c>
      <c r="D1045" s="42" t="str">
        <f t="shared" si="34"/>
        <v>D-Restaurant</v>
      </c>
      <c r="E1045" s="42" t="s">
        <v>204</v>
      </c>
      <c r="F1045" s="42" t="s">
        <v>238</v>
      </c>
      <c r="G1045" s="42">
        <v>-21.95</v>
      </c>
      <c r="H1045" s="42">
        <f t="shared" si="35"/>
        <v>201510</v>
      </c>
      <c r="I1045" s="42">
        <f>MATCH(D1045,$O:$O,0)</f>
        <v>9</v>
      </c>
      <c r="J1045" s="42" t="s">
        <v>39</v>
      </c>
      <c r="K1045" s="42" t="s">
        <v>649</v>
      </c>
      <c r="L1045" s="42" t="s">
        <v>193</v>
      </c>
    </row>
    <row r="1046" spans="1:12" x14ac:dyDescent="0.25">
      <c r="A1046" s="42" t="s">
        <v>236</v>
      </c>
      <c r="B1046" s="43">
        <v>42290</v>
      </c>
      <c r="C1046" s="42" t="s">
        <v>600</v>
      </c>
      <c r="D1046" s="42" t="str">
        <f t="shared" si="34"/>
        <v>D-Restaurant</v>
      </c>
      <c r="E1046" s="42" t="s">
        <v>204</v>
      </c>
      <c r="F1046" s="42" t="s">
        <v>238</v>
      </c>
      <c r="G1046" s="42">
        <v>-8.1999999999999993</v>
      </c>
      <c r="H1046" s="42">
        <f t="shared" si="35"/>
        <v>201510</v>
      </c>
      <c r="I1046" s="42">
        <f>MATCH(D1046,$O:$O,0)</f>
        <v>9</v>
      </c>
      <c r="J1046" s="42" t="s">
        <v>39</v>
      </c>
      <c r="K1046" s="42" t="s">
        <v>649</v>
      </c>
      <c r="L1046" s="42" t="s">
        <v>898</v>
      </c>
    </row>
    <row r="1047" spans="1:12" x14ac:dyDescent="0.25">
      <c r="A1047" s="42" t="s">
        <v>236</v>
      </c>
      <c r="B1047" s="43">
        <v>42291</v>
      </c>
      <c r="C1047" s="42" t="s">
        <v>878</v>
      </c>
      <c r="D1047" s="42" t="str">
        <f t="shared" si="34"/>
        <v>D-Restaurant</v>
      </c>
      <c r="E1047" s="42" t="s">
        <v>204</v>
      </c>
      <c r="F1047" s="42" t="s">
        <v>238</v>
      </c>
      <c r="G1047" s="42">
        <v>-63.31</v>
      </c>
      <c r="H1047" s="42">
        <f t="shared" si="35"/>
        <v>201510</v>
      </c>
      <c r="I1047" s="42">
        <f>MATCH(D1047,$O:$O,0)</f>
        <v>9</v>
      </c>
      <c r="J1047" s="42" t="s">
        <v>39</v>
      </c>
      <c r="K1047" s="42" t="s">
        <v>803</v>
      </c>
      <c r="L1047" s="42" t="s">
        <v>252</v>
      </c>
    </row>
    <row r="1048" spans="1:12" x14ac:dyDescent="0.25">
      <c r="A1048" s="42" t="s">
        <v>236</v>
      </c>
      <c r="B1048" s="43">
        <v>42291</v>
      </c>
      <c r="C1048" s="42" t="s">
        <v>412</v>
      </c>
      <c r="D1048" s="42" t="str">
        <f t="shared" si="34"/>
        <v>Interest</v>
      </c>
      <c r="E1048" s="42" t="s">
        <v>200</v>
      </c>
      <c r="F1048" s="42" t="s">
        <v>238</v>
      </c>
      <c r="G1048" s="42">
        <v>0.91</v>
      </c>
      <c r="H1048" s="42">
        <f t="shared" si="35"/>
        <v>201510</v>
      </c>
      <c r="I1048" s="42" t="e">
        <f>MATCH(D1048,$O:$O,0)</f>
        <v>#N/A</v>
      </c>
      <c r="J1048" s="42" t="s">
        <v>39</v>
      </c>
      <c r="K1048" s="42" t="s">
        <v>803</v>
      </c>
      <c r="L1048" s="42" t="s">
        <v>252</v>
      </c>
    </row>
    <row r="1049" spans="1:12" x14ac:dyDescent="0.25">
      <c r="A1049" s="42" t="s">
        <v>236</v>
      </c>
      <c r="B1049" s="43">
        <v>42291</v>
      </c>
      <c r="C1049" s="42" t="s">
        <v>221</v>
      </c>
      <c r="D1049" s="42" t="str">
        <f t="shared" si="34"/>
        <v>Tax</v>
      </c>
      <c r="E1049" s="42" t="s">
        <v>222</v>
      </c>
      <c r="F1049" s="42" t="s">
        <v>238</v>
      </c>
      <c r="G1049" s="42">
        <v>-0.25</v>
      </c>
      <c r="H1049" s="42">
        <f t="shared" si="35"/>
        <v>201510</v>
      </c>
      <c r="I1049" s="42">
        <f>MATCH(D1049,$O:$O,0)</f>
        <v>29</v>
      </c>
      <c r="J1049" s="42" t="s">
        <v>39</v>
      </c>
      <c r="K1049" s="42" t="s">
        <v>628</v>
      </c>
      <c r="L1049" s="42"/>
    </row>
    <row r="1050" spans="1:12" x14ac:dyDescent="0.25">
      <c r="A1050" s="42" t="s">
        <v>236</v>
      </c>
      <c r="B1050" s="43">
        <v>42291</v>
      </c>
      <c r="C1050" s="42" t="s">
        <v>412</v>
      </c>
      <c r="D1050" s="42" t="str">
        <f t="shared" si="34"/>
        <v>Interest</v>
      </c>
      <c r="E1050" s="42" t="s">
        <v>200</v>
      </c>
      <c r="F1050" s="42" t="s">
        <v>238</v>
      </c>
      <c r="G1050" s="42">
        <v>0.37</v>
      </c>
      <c r="H1050" s="42">
        <f t="shared" si="35"/>
        <v>201510</v>
      </c>
      <c r="I1050" s="42" t="e">
        <f>MATCH(D1050,$O:$O,0)</f>
        <v>#N/A</v>
      </c>
      <c r="J1050" s="42" t="s">
        <v>39</v>
      </c>
      <c r="K1050" s="42" t="s">
        <v>676</v>
      </c>
      <c r="L1050" s="42" t="s">
        <v>310</v>
      </c>
    </row>
    <row r="1051" spans="1:12" x14ac:dyDescent="0.25">
      <c r="A1051" s="42" t="s">
        <v>236</v>
      </c>
      <c r="B1051" s="43">
        <v>42291</v>
      </c>
      <c r="C1051" s="42" t="s">
        <v>412</v>
      </c>
      <c r="D1051" s="42" t="str">
        <f t="shared" si="34"/>
        <v>Interest</v>
      </c>
      <c r="E1051" s="42" t="s">
        <v>200</v>
      </c>
      <c r="F1051" s="42" t="s">
        <v>238</v>
      </c>
      <c r="G1051" s="42">
        <v>0.51</v>
      </c>
      <c r="H1051" s="42">
        <f t="shared" si="35"/>
        <v>201510</v>
      </c>
      <c r="I1051" s="42" t="e">
        <f>MATCH(D1051,$O:$O,0)</f>
        <v>#N/A</v>
      </c>
      <c r="J1051" s="42" t="s">
        <v>39</v>
      </c>
      <c r="K1051" s="42" t="s">
        <v>675</v>
      </c>
      <c r="L1051" s="42" t="s">
        <v>246</v>
      </c>
    </row>
    <row r="1052" spans="1:12" x14ac:dyDescent="0.25">
      <c r="A1052" s="42" t="s">
        <v>236</v>
      </c>
      <c r="B1052" s="43">
        <v>42291</v>
      </c>
      <c r="C1052" s="42" t="s">
        <v>412</v>
      </c>
      <c r="D1052" s="42" t="str">
        <f t="shared" si="34"/>
        <v>Interest</v>
      </c>
      <c r="E1052" s="42" t="s">
        <v>200</v>
      </c>
      <c r="F1052" s="42" t="s">
        <v>238</v>
      </c>
      <c r="G1052" s="42">
        <v>0.06</v>
      </c>
      <c r="H1052" s="42">
        <f t="shared" si="35"/>
        <v>201510</v>
      </c>
      <c r="I1052" s="42" t="e">
        <f>MATCH(D1052,$O:$O,0)</f>
        <v>#N/A</v>
      </c>
      <c r="J1052" s="42" t="s">
        <v>39</v>
      </c>
      <c r="K1052" s="42" t="s">
        <v>803</v>
      </c>
      <c r="L1052" s="42" t="s">
        <v>903</v>
      </c>
    </row>
    <row r="1053" spans="1:12" x14ac:dyDescent="0.25">
      <c r="A1053" s="42" t="s">
        <v>236</v>
      </c>
      <c r="B1053" s="43">
        <v>42291</v>
      </c>
      <c r="C1053" s="42" t="s">
        <v>413</v>
      </c>
      <c r="D1053" s="42" t="str">
        <f t="shared" si="34"/>
        <v>Utility</v>
      </c>
      <c r="E1053" s="42" t="s">
        <v>19</v>
      </c>
      <c r="F1053" s="42" t="s">
        <v>238</v>
      </c>
      <c r="G1053" s="42">
        <v>-29.17</v>
      </c>
      <c r="H1053" s="42">
        <f t="shared" si="35"/>
        <v>201510</v>
      </c>
      <c r="I1053" s="42">
        <f>MATCH(D1053,$O:$O,0)</f>
        <v>34</v>
      </c>
      <c r="J1053" s="42" t="s">
        <v>39</v>
      </c>
      <c r="K1053" s="42" t="s">
        <v>628</v>
      </c>
      <c r="L1053" s="42" t="s">
        <v>888</v>
      </c>
    </row>
    <row r="1054" spans="1:12" x14ac:dyDescent="0.25">
      <c r="A1054" s="42" t="s">
        <v>236</v>
      </c>
      <c r="B1054" s="43">
        <v>42291</v>
      </c>
      <c r="C1054" s="42" t="s">
        <v>221</v>
      </c>
      <c r="D1054" s="42" t="str">
        <f t="shared" si="34"/>
        <v>Tax</v>
      </c>
      <c r="E1054" s="42" t="s">
        <v>222</v>
      </c>
      <c r="F1054" s="42" t="s">
        <v>238</v>
      </c>
      <c r="G1054" s="42">
        <v>-0.1</v>
      </c>
      <c r="H1054" s="42">
        <f t="shared" si="35"/>
        <v>201510</v>
      </c>
      <c r="I1054" s="42">
        <f>MATCH(D1054,$O:$O,0)</f>
        <v>29</v>
      </c>
      <c r="J1054" s="42" t="s">
        <v>39</v>
      </c>
      <c r="K1054" s="42" t="s">
        <v>649</v>
      </c>
      <c r="L1054" s="42"/>
    </row>
    <row r="1055" spans="1:12" x14ac:dyDescent="0.25">
      <c r="A1055" s="42" t="s">
        <v>236</v>
      </c>
      <c r="B1055" s="43">
        <v>42291</v>
      </c>
      <c r="C1055" s="42" t="s">
        <v>978</v>
      </c>
      <c r="D1055" s="42" t="str">
        <f t="shared" si="34"/>
        <v>Gas</v>
      </c>
      <c r="E1055" s="42" t="s">
        <v>311</v>
      </c>
      <c r="F1055" s="42" t="s">
        <v>238</v>
      </c>
      <c r="G1055" s="42">
        <v>-35.01</v>
      </c>
      <c r="H1055" s="42">
        <f t="shared" si="35"/>
        <v>201510</v>
      </c>
      <c r="I1055" s="42">
        <f>MATCH(D1055,$O:$O,0)</f>
        <v>30</v>
      </c>
      <c r="J1055" s="42" t="s">
        <v>39</v>
      </c>
      <c r="K1055" s="42" t="s">
        <v>649</v>
      </c>
      <c r="L1055" s="42"/>
    </row>
    <row r="1056" spans="1:12" x14ac:dyDescent="0.25">
      <c r="A1056" s="42" t="s">
        <v>236</v>
      </c>
      <c r="B1056" s="43">
        <v>42291</v>
      </c>
      <c r="C1056" s="42" t="s">
        <v>978</v>
      </c>
      <c r="D1056" s="42" t="str">
        <f t="shared" si="34"/>
        <v>Gas</v>
      </c>
      <c r="E1056" s="42" t="s">
        <v>311</v>
      </c>
      <c r="F1056" s="42" t="s">
        <v>238</v>
      </c>
      <c r="G1056" s="42">
        <v>-2.5299999999999998</v>
      </c>
      <c r="H1056" s="42">
        <f t="shared" si="35"/>
        <v>201510</v>
      </c>
      <c r="I1056" s="42">
        <f>MATCH(D1056,$O:$O,0)</f>
        <v>30</v>
      </c>
      <c r="J1056" s="42" t="s">
        <v>39</v>
      </c>
      <c r="K1056" s="42" t="s">
        <v>649</v>
      </c>
      <c r="L1056" s="42" t="s">
        <v>906</v>
      </c>
    </row>
    <row r="1057" spans="1:12" x14ac:dyDescent="0.25">
      <c r="A1057" s="42" t="s">
        <v>236</v>
      </c>
      <c r="B1057" s="43">
        <v>42292</v>
      </c>
      <c r="C1057" s="42" t="s">
        <v>976</v>
      </c>
      <c r="D1057" s="42" t="str">
        <f t="shared" si="34"/>
        <v>Credit Card Payments</v>
      </c>
      <c r="E1057" s="42" t="s">
        <v>242</v>
      </c>
      <c r="F1057" s="42" t="s">
        <v>238</v>
      </c>
      <c r="G1057" s="44">
        <v>-1400</v>
      </c>
      <c r="H1057" s="42">
        <f t="shared" si="35"/>
        <v>201510</v>
      </c>
      <c r="I1057" s="42">
        <f>MATCH(D1057,$O:$O,0)</f>
        <v>38</v>
      </c>
      <c r="J1057" s="42" t="s">
        <v>39</v>
      </c>
      <c r="K1057" s="42" t="s">
        <v>675</v>
      </c>
      <c r="L1057" s="42"/>
    </row>
    <row r="1058" spans="1:12" x14ac:dyDescent="0.25">
      <c r="A1058" s="42" t="s">
        <v>236</v>
      </c>
      <c r="B1058" s="43">
        <v>42292</v>
      </c>
      <c r="C1058" s="42" t="s">
        <v>977</v>
      </c>
      <c r="D1058" s="42" t="str">
        <f t="shared" si="34"/>
        <v>Paychecks/Salary</v>
      </c>
      <c r="E1058" s="42" t="s">
        <v>375</v>
      </c>
      <c r="F1058" s="42" t="s">
        <v>238</v>
      </c>
      <c r="G1058" s="44">
        <v>3271.61</v>
      </c>
      <c r="H1058" s="42">
        <f t="shared" si="35"/>
        <v>201510</v>
      </c>
      <c r="I1058" s="42">
        <f>MATCH(D1058,$O:$O,0)</f>
        <v>40</v>
      </c>
      <c r="J1058" s="42" t="s">
        <v>39</v>
      </c>
      <c r="K1058" s="42" t="s">
        <v>803</v>
      </c>
      <c r="L1058" s="42"/>
    </row>
    <row r="1059" spans="1:12" x14ac:dyDescent="0.25">
      <c r="A1059" s="42" t="s">
        <v>236</v>
      </c>
      <c r="B1059" s="43">
        <v>42292</v>
      </c>
      <c r="C1059" s="42" t="s">
        <v>515</v>
      </c>
      <c r="D1059" s="42" t="str">
        <f t="shared" si="34"/>
        <v>Parent support</v>
      </c>
      <c r="E1059" s="42" t="s">
        <v>1002</v>
      </c>
      <c r="F1059" s="42" t="s">
        <v>238</v>
      </c>
      <c r="G1059" s="42">
        <v>-171.32</v>
      </c>
      <c r="H1059" s="42">
        <f t="shared" si="35"/>
        <v>201510</v>
      </c>
      <c r="I1059" s="42">
        <f>MATCH(D1059,$O:$O,0)</f>
        <v>24</v>
      </c>
      <c r="J1059" s="42" t="s">
        <v>39</v>
      </c>
      <c r="K1059" s="42" t="s">
        <v>630</v>
      </c>
      <c r="L1059" s="42" t="s">
        <v>353</v>
      </c>
    </row>
    <row r="1060" spans="1:12" x14ac:dyDescent="0.25">
      <c r="A1060" s="42" t="s">
        <v>236</v>
      </c>
      <c r="B1060" s="43">
        <v>42292</v>
      </c>
      <c r="C1060" s="42" t="s">
        <v>845</v>
      </c>
      <c r="D1060" s="42" t="str">
        <f t="shared" ref="D1060:D1123" si="36">IF(ISNA(VLOOKUP(E1060,$L$2:$M$26,2,FALSE)),E1060,VLOOKUP(E1060,$L$2:$M$26,2,FALSE))</f>
        <v>Credit Card Payments</v>
      </c>
      <c r="E1060" s="42" t="s">
        <v>242</v>
      </c>
      <c r="F1060" s="42" t="s">
        <v>238</v>
      </c>
      <c r="G1060" s="48">
        <v>1400</v>
      </c>
      <c r="H1060" s="42">
        <f t="shared" si="35"/>
        <v>201510</v>
      </c>
      <c r="I1060" s="42">
        <f>MATCH(D1060,$O:$O,0)</f>
        <v>38</v>
      </c>
      <c r="J1060" s="42" t="s">
        <v>39</v>
      </c>
      <c r="K1060" s="42" t="s">
        <v>649</v>
      </c>
      <c r="L1060" s="42" t="s">
        <v>909</v>
      </c>
    </row>
    <row r="1061" spans="1:12" x14ac:dyDescent="0.25">
      <c r="A1061" s="42" t="s">
        <v>236</v>
      </c>
      <c r="B1061" s="43">
        <v>42292</v>
      </c>
      <c r="C1061" s="42" t="s">
        <v>900</v>
      </c>
      <c r="D1061" s="42" t="str">
        <f t="shared" si="36"/>
        <v>Gas</v>
      </c>
      <c r="E1061" s="42" t="s">
        <v>311</v>
      </c>
      <c r="F1061" s="42" t="s">
        <v>238</v>
      </c>
      <c r="G1061" s="46">
        <v>-32.049999999999997</v>
      </c>
      <c r="H1061" s="42">
        <f t="shared" si="35"/>
        <v>201510</v>
      </c>
      <c r="I1061" s="42">
        <f>MATCH(D1061,$O:$O,0)</f>
        <v>30</v>
      </c>
      <c r="J1061" s="42" t="s">
        <v>39</v>
      </c>
      <c r="K1061" s="42" t="s">
        <v>649</v>
      </c>
      <c r="L1061" s="42"/>
    </row>
    <row r="1062" spans="1:12" x14ac:dyDescent="0.25">
      <c r="A1062" s="42" t="s">
        <v>236</v>
      </c>
      <c r="B1062" s="43">
        <v>42292</v>
      </c>
      <c r="C1062" s="42" t="s">
        <v>600</v>
      </c>
      <c r="D1062" s="42" t="str">
        <f t="shared" si="36"/>
        <v>D-Restaurant</v>
      </c>
      <c r="E1062" s="42" t="s">
        <v>204</v>
      </c>
      <c r="F1062" s="42" t="s">
        <v>238</v>
      </c>
      <c r="G1062" s="42">
        <v>-8.1999999999999993</v>
      </c>
      <c r="H1062" s="42">
        <f t="shared" si="35"/>
        <v>201510</v>
      </c>
      <c r="I1062" s="42">
        <f>MATCH(D1062,$O:$O,0)</f>
        <v>9</v>
      </c>
      <c r="J1062" s="42" t="s">
        <v>39</v>
      </c>
      <c r="K1062" s="42" t="s">
        <v>619</v>
      </c>
      <c r="L1062" s="42" t="s">
        <v>334</v>
      </c>
    </row>
    <row r="1063" spans="1:12" x14ac:dyDescent="0.25">
      <c r="A1063" s="42" t="s">
        <v>236</v>
      </c>
      <c r="B1063" s="43">
        <v>42293</v>
      </c>
      <c r="C1063" s="42" t="s">
        <v>769</v>
      </c>
      <c r="D1063" s="42" t="str">
        <f t="shared" si="36"/>
        <v>Parking</v>
      </c>
      <c r="E1063" s="42" t="s">
        <v>170</v>
      </c>
      <c r="F1063" s="42" t="s">
        <v>238</v>
      </c>
      <c r="G1063" s="42">
        <v>-6</v>
      </c>
      <c r="H1063" s="42">
        <f t="shared" si="35"/>
        <v>201510</v>
      </c>
      <c r="I1063" s="42">
        <f>MATCH(D1063,$O:$O,0)</f>
        <v>32</v>
      </c>
      <c r="J1063" s="42" t="s">
        <v>39</v>
      </c>
      <c r="K1063" s="42" t="s">
        <v>649</v>
      </c>
      <c r="L1063" s="42" t="s">
        <v>888</v>
      </c>
    </row>
    <row r="1064" spans="1:12" x14ac:dyDescent="0.25">
      <c r="A1064" s="42" t="s">
        <v>236</v>
      </c>
      <c r="B1064" s="43">
        <v>42293</v>
      </c>
      <c r="C1064" s="42" t="s">
        <v>911</v>
      </c>
      <c r="D1064" s="42" t="str">
        <f t="shared" si="36"/>
        <v>Parking</v>
      </c>
      <c r="E1064" s="42" t="s">
        <v>170</v>
      </c>
      <c r="F1064" s="42" t="s">
        <v>238</v>
      </c>
      <c r="G1064" s="42">
        <v>-20</v>
      </c>
      <c r="H1064" s="42">
        <f t="shared" si="35"/>
        <v>201510</v>
      </c>
      <c r="I1064" s="42">
        <f>MATCH(D1064,$O:$O,0)</f>
        <v>32</v>
      </c>
      <c r="J1064" s="42" t="s">
        <v>39</v>
      </c>
      <c r="K1064" s="42" t="s">
        <v>649</v>
      </c>
      <c r="L1064" s="42"/>
    </row>
    <row r="1065" spans="1:12" x14ac:dyDescent="0.25">
      <c r="A1065" s="42" t="s">
        <v>236</v>
      </c>
      <c r="B1065" s="43">
        <v>42293</v>
      </c>
      <c r="C1065" s="42" t="s">
        <v>975</v>
      </c>
      <c r="D1065" s="42" t="str">
        <f t="shared" si="36"/>
        <v>Grocery</v>
      </c>
      <c r="E1065" s="42" t="s">
        <v>192</v>
      </c>
      <c r="F1065" s="42" t="s">
        <v>238</v>
      </c>
      <c r="G1065" s="42">
        <v>-4.9000000000000004</v>
      </c>
      <c r="H1065" s="42">
        <f t="shared" si="35"/>
        <v>201510</v>
      </c>
      <c r="I1065" s="42">
        <f>MATCH(D1065,$O:$O,0)</f>
        <v>12</v>
      </c>
      <c r="J1065" s="42" t="s">
        <v>39</v>
      </c>
      <c r="K1065" s="42" t="s">
        <v>649</v>
      </c>
      <c r="L1065" s="42" t="s">
        <v>193</v>
      </c>
    </row>
    <row r="1066" spans="1:12" x14ac:dyDescent="0.25">
      <c r="A1066" s="42" t="s">
        <v>236</v>
      </c>
      <c r="B1066" s="43">
        <v>42293</v>
      </c>
      <c r="C1066" s="42" t="s">
        <v>893</v>
      </c>
      <c r="D1066" s="42" t="str">
        <f t="shared" si="36"/>
        <v>D-Coffee</v>
      </c>
      <c r="E1066" s="42" t="s">
        <v>215</v>
      </c>
      <c r="F1066" s="42" t="s">
        <v>238</v>
      </c>
      <c r="G1066" s="42">
        <v>-2.25</v>
      </c>
      <c r="H1066" s="42">
        <f t="shared" si="35"/>
        <v>201510</v>
      </c>
      <c r="I1066" s="42">
        <f>MATCH(D1066,$O:$O,0)</f>
        <v>7</v>
      </c>
      <c r="J1066" s="42" t="s">
        <v>39</v>
      </c>
      <c r="K1066" s="42" t="s">
        <v>803</v>
      </c>
      <c r="L1066" s="42" t="s">
        <v>340</v>
      </c>
    </row>
    <row r="1067" spans="1:12" x14ac:dyDescent="0.25">
      <c r="A1067" s="42" t="s">
        <v>236</v>
      </c>
      <c r="B1067" s="43">
        <v>42293</v>
      </c>
      <c r="C1067" s="42" t="s">
        <v>900</v>
      </c>
      <c r="D1067" s="42" t="str">
        <f t="shared" si="36"/>
        <v>Gas</v>
      </c>
      <c r="E1067" s="42" t="s">
        <v>311</v>
      </c>
      <c r="F1067" s="42" t="s">
        <v>238</v>
      </c>
      <c r="G1067" s="42">
        <v>-28.41</v>
      </c>
      <c r="H1067" s="42">
        <f t="shared" si="35"/>
        <v>201510</v>
      </c>
      <c r="I1067" s="42">
        <f>MATCH(D1067,$O:$O,0)</f>
        <v>30</v>
      </c>
      <c r="J1067" s="42" t="s">
        <v>39</v>
      </c>
      <c r="K1067" s="42" t="s">
        <v>649</v>
      </c>
      <c r="L1067" s="42" t="s">
        <v>223</v>
      </c>
    </row>
    <row r="1068" spans="1:12" x14ac:dyDescent="0.25">
      <c r="A1068" s="42" t="s">
        <v>236</v>
      </c>
      <c r="B1068" s="43">
        <v>42293</v>
      </c>
      <c r="C1068" s="42" t="s">
        <v>972</v>
      </c>
      <c r="D1068" s="42" t="str">
        <f t="shared" si="36"/>
        <v>D-Restaurant</v>
      </c>
      <c r="E1068" s="42" t="s">
        <v>204</v>
      </c>
      <c r="F1068" s="42" t="s">
        <v>238</v>
      </c>
      <c r="G1068" s="42">
        <v>-24</v>
      </c>
      <c r="H1068" s="42">
        <f t="shared" si="35"/>
        <v>201510</v>
      </c>
      <c r="I1068" s="42">
        <f>MATCH(D1068,$O:$O,0)</f>
        <v>9</v>
      </c>
      <c r="J1068" s="42" t="s">
        <v>39</v>
      </c>
      <c r="K1068" s="42" t="s">
        <v>649</v>
      </c>
      <c r="L1068" s="42"/>
    </row>
    <row r="1069" spans="1:12" x14ac:dyDescent="0.25">
      <c r="A1069" s="42" t="s">
        <v>236</v>
      </c>
      <c r="B1069" s="43">
        <v>42293</v>
      </c>
      <c r="C1069" s="42" t="s">
        <v>973</v>
      </c>
      <c r="D1069" s="42" t="str">
        <f t="shared" si="36"/>
        <v>D-Restaurant</v>
      </c>
      <c r="E1069" s="42" t="s">
        <v>204</v>
      </c>
      <c r="F1069" s="42" t="s">
        <v>238</v>
      </c>
      <c r="G1069" s="42">
        <v>-13.95</v>
      </c>
      <c r="H1069" s="42">
        <f t="shared" si="35"/>
        <v>201510</v>
      </c>
      <c r="I1069" s="42">
        <f>MATCH(D1069,$O:$O,0)</f>
        <v>9</v>
      </c>
      <c r="J1069" s="42" t="s">
        <v>39</v>
      </c>
      <c r="K1069" s="42" t="s">
        <v>649</v>
      </c>
      <c r="L1069" s="42"/>
    </row>
    <row r="1070" spans="1:12" x14ac:dyDescent="0.25">
      <c r="A1070" s="42" t="s">
        <v>236</v>
      </c>
      <c r="B1070" s="43">
        <v>42293</v>
      </c>
      <c r="C1070" s="42" t="s">
        <v>662</v>
      </c>
      <c r="D1070" s="42" t="str">
        <f t="shared" si="36"/>
        <v>D-Restaurant</v>
      </c>
      <c r="E1070" s="42" t="s">
        <v>204</v>
      </c>
      <c r="F1070" s="42" t="s">
        <v>238</v>
      </c>
      <c r="G1070" s="42">
        <v>-8.43</v>
      </c>
      <c r="H1070" s="42">
        <f t="shared" si="35"/>
        <v>201510</v>
      </c>
      <c r="I1070" s="42">
        <f>MATCH(D1070,$O:$O,0)</f>
        <v>9</v>
      </c>
      <c r="J1070" s="42" t="s">
        <v>39</v>
      </c>
      <c r="K1070" s="42" t="s">
        <v>619</v>
      </c>
      <c r="L1070" s="42" t="s">
        <v>334</v>
      </c>
    </row>
    <row r="1071" spans="1:12" x14ac:dyDescent="0.25">
      <c r="A1071" s="42" t="s">
        <v>236</v>
      </c>
      <c r="B1071" s="43">
        <v>42294</v>
      </c>
      <c r="C1071" s="42" t="s">
        <v>917</v>
      </c>
      <c r="D1071" s="42" t="str">
        <f t="shared" si="36"/>
        <v>Grocery</v>
      </c>
      <c r="E1071" s="42" t="s">
        <v>385</v>
      </c>
      <c r="F1071" s="42" t="s">
        <v>238</v>
      </c>
      <c r="G1071" s="42">
        <v>-222.93</v>
      </c>
      <c r="H1071" s="42">
        <f t="shared" si="35"/>
        <v>201510</v>
      </c>
      <c r="I1071" s="42">
        <f>MATCH(D1071,$O:$O,0)</f>
        <v>12</v>
      </c>
      <c r="J1071" s="42" t="s">
        <v>39</v>
      </c>
      <c r="K1071" s="42" t="s">
        <v>619</v>
      </c>
      <c r="L1071" s="42" t="s">
        <v>194</v>
      </c>
    </row>
    <row r="1072" spans="1:12" x14ac:dyDescent="0.25">
      <c r="A1072" s="42" t="s">
        <v>236</v>
      </c>
      <c r="B1072" s="43">
        <v>42294</v>
      </c>
      <c r="C1072" s="42" t="s">
        <v>900</v>
      </c>
      <c r="D1072" s="42" t="str">
        <f t="shared" si="36"/>
        <v>Gas</v>
      </c>
      <c r="E1072" s="42" t="s">
        <v>311</v>
      </c>
      <c r="F1072" s="42" t="s">
        <v>238</v>
      </c>
      <c r="G1072" s="42">
        <v>-19.46</v>
      </c>
      <c r="H1072" s="42">
        <f t="shared" si="35"/>
        <v>201510</v>
      </c>
      <c r="I1072" s="42">
        <f>MATCH(D1072,$O:$O,0)</f>
        <v>30</v>
      </c>
      <c r="J1072" s="42" t="s">
        <v>39</v>
      </c>
      <c r="K1072" s="42" t="s">
        <v>619</v>
      </c>
      <c r="L1072" s="42" t="s">
        <v>310</v>
      </c>
    </row>
    <row r="1073" spans="1:12" x14ac:dyDescent="0.25">
      <c r="A1073" s="42" t="s">
        <v>236</v>
      </c>
      <c r="B1073" s="43">
        <v>42294</v>
      </c>
      <c r="C1073" s="42" t="s">
        <v>784</v>
      </c>
      <c r="D1073" s="42" t="str">
        <f t="shared" si="36"/>
        <v>Grocery</v>
      </c>
      <c r="E1073" s="42" t="s">
        <v>192</v>
      </c>
      <c r="F1073" s="42" t="s">
        <v>238</v>
      </c>
      <c r="G1073" s="42">
        <v>-21.03</v>
      </c>
      <c r="H1073" s="42">
        <f t="shared" si="35"/>
        <v>201510</v>
      </c>
      <c r="I1073" s="42">
        <f>MATCH(D1073,$O:$O,0)</f>
        <v>12</v>
      </c>
      <c r="J1073" s="42" t="s">
        <v>39</v>
      </c>
      <c r="K1073" s="42" t="s">
        <v>649</v>
      </c>
      <c r="L1073" s="42" t="s">
        <v>339</v>
      </c>
    </row>
    <row r="1074" spans="1:12" x14ac:dyDescent="0.25">
      <c r="A1074" s="42" t="s">
        <v>236</v>
      </c>
      <c r="B1074" s="43">
        <v>42294</v>
      </c>
      <c r="C1074" s="42" t="s">
        <v>650</v>
      </c>
      <c r="D1074" s="42" t="str">
        <f t="shared" si="36"/>
        <v>D-Coffee</v>
      </c>
      <c r="E1074" s="42" t="s">
        <v>215</v>
      </c>
      <c r="F1074" s="42" t="s">
        <v>238</v>
      </c>
      <c r="G1074" s="42">
        <v>-25</v>
      </c>
      <c r="H1074" s="42">
        <f t="shared" si="35"/>
        <v>201510</v>
      </c>
      <c r="I1074" s="42">
        <f>MATCH(D1074,$O:$O,0)</f>
        <v>7</v>
      </c>
      <c r="J1074" s="42" t="s">
        <v>39</v>
      </c>
      <c r="K1074" s="42" t="s">
        <v>649</v>
      </c>
      <c r="L1074" s="42" t="s">
        <v>888</v>
      </c>
    </row>
    <row r="1075" spans="1:12" x14ac:dyDescent="0.25">
      <c r="A1075" s="42" t="s">
        <v>236</v>
      </c>
      <c r="B1075" s="43">
        <v>42296</v>
      </c>
      <c r="C1075" s="42" t="s">
        <v>971</v>
      </c>
      <c r="D1075" s="42" t="str">
        <f t="shared" si="36"/>
        <v>D-Restaurant</v>
      </c>
      <c r="E1075" s="42" t="s">
        <v>204</v>
      </c>
      <c r="F1075" s="42" t="s">
        <v>238</v>
      </c>
      <c r="G1075" s="42">
        <v>-170</v>
      </c>
      <c r="H1075" s="42">
        <f t="shared" si="35"/>
        <v>201510</v>
      </c>
      <c r="I1075" s="42">
        <f>MATCH(D1075,$O:$O,0)</f>
        <v>9</v>
      </c>
      <c r="J1075" s="42" t="s">
        <v>39</v>
      </c>
      <c r="K1075" s="42" t="s">
        <v>675</v>
      </c>
      <c r="L1075" s="42" t="s">
        <v>193</v>
      </c>
    </row>
    <row r="1076" spans="1:12" x14ac:dyDescent="0.25">
      <c r="A1076" s="42" t="s">
        <v>236</v>
      </c>
      <c r="B1076" s="43">
        <v>42296</v>
      </c>
      <c r="C1076" s="42" t="s">
        <v>1003</v>
      </c>
      <c r="D1076" s="42" t="str">
        <f t="shared" si="36"/>
        <v>Gifts</v>
      </c>
      <c r="E1076" s="42" t="s">
        <v>40</v>
      </c>
      <c r="F1076" s="42" t="s">
        <v>238</v>
      </c>
      <c r="G1076" s="42">
        <v>-87</v>
      </c>
      <c r="H1076" s="42">
        <f t="shared" si="35"/>
        <v>201510</v>
      </c>
      <c r="I1076" s="42">
        <f>MATCH(D1076,$O:$O,0)</f>
        <v>11</v>
      </c>
      <c r="J1076" s="42" t="s">
        <v>39</v>
      </c>
      <c r="K1076" s="42" t="s">
        <v>803</v>
      </c>
      <c r="L1076" s="42" t="s">
        <v>229</v>
      </c>
    </row>
    <row r="1077" spans="1:12" x14ac:dyDescent="0.25">
      <c r="A1077" s="42" t="s">
        <v>236</v>
      </c>
      <c r="B1077" s="43">
        <v>42296</v>
      </c>
      <c r="C1077" s="42" t="s">
        <v>968</v>
      </c>
      <c r="D1077" s="42" t="str">
        <f t="shared" si="36"/>
        <v>Home Maintainence/Improvement</v>
      </c>
      <c r="E1077" s="42" t="s">
        <v>342</v>
      </c>
      <c r="F1077" s="42" t="s">
        <v>238</v>
      </c>
      <c r="G1077" s="42">
        <v>-34.840000000000003</v>
      </c>
      <c r="H1077" s="42">
        <f t="shared" si="35"/>
        <v>201510</v>
      </c>
      <c r="I1077" s="42">
        <f>MATCH(D1077,$O:$O,0)</f>
        <v>16</v>
      </c>
      <c r="J1077" s="42" t="s">
        <v>39</v>
      </c>
      <c r="K1077" s="42" t="s">
        <v>649</v>
      </c>
      <c r="L1077" s="42" t="s">
        <v>920</v>
      </c>
    </row>
    <row r="1078" spans="1:12" x14ac:dyDescent="0.25">
      <c r="A1078" s="42" t="s">
        <v>236</v>
      </c>
      <c r="B1078" s="43">
        <v>42296</v>
      </c>
      <c r="C1078" s="42" t="s">
        <v>970</v>
      </c>
      <c r="D1078" s="42" t="str">
        <f t="shared" si="36"/>
        <v>Uncategorized</v>
      </c>
      <c r="E1078" s="42" t="s">
        <v>102</v>
      </c>
      <c r="F1078" s="42" t="s">
        <v>238</v>
      </c>
      <c r="G1078" s="42">
        <v>-90.78</v>
      </c>
      <c r="H1078" s="42">
        <f t="shared" si="35"/>
        <v>201510</v>
      </c>
      <c r="I1078" s="42">
        <f>MATCH(D1078,$O:$O,0)</f>
        <v>33</v>
      </c>
      <c r="J1078" s="42" t="s">
        <v>39</v>
      </c>
      <c r="K1078" s="42" t="s">
        <v>649</v>
      </c>
      <c r="L1078" s="42" t="s">
        <v>922</v>
      </c>
    </row>
    <row r="1079" spans="1:12" x14ac:dyDescent="0.25">
      <c r="A1079" s="42" t="s">
        <v>236</v>
      </c>
      <c r="B1079" s="43">
        <v>42296</v>
      </c>
      <c r="C1079" s="42" t="s">
        <v>249</v>
      </c>
      <c r="D1079" s="42" t="str">
        <f t="shared" si="36"/>
        <v>Retirement Contributions</v>
      </c>
      <c r="E1079" s="42" t="s">
        <v>263</v>
      </c>
      <c r="F1079" s="42" t="s">
        <v>238</v>
      </c>
      <c r="G1079" s="42">
        <v>536.25</v>
      </c>
      <c r="H1079" s="42">
        <f t="shared" si="35"/>
        <v>201510</v>
      </c>
      <c r="I1079" s="42">
        <f>MATCH(D1079,$O:$O,0)</f>
        <v>39</v>
      </c>
      <c r="J1079" s="42" t="s">
        <v>39</v>
      </c>
      <c r="K1079" s="42" t="s">
        <v>632</v>
      </c>
      <c r="L1079" s="42" t="s">
        <v>886</v>
      </c>
    </row>
    <row r="1080" spans="1:12" x14ac:dyDescent="0.25">
      <c r="A1080" s="42" t="s">
        <v>236</v>
      </c>
      <c r="B1080" s="43">
        <v>42297</v>
      </c>
      <c r="C1080" s="42" t="s">
        <v>964</v>
      </c>
      <c r="D1080" s="42" t="str">
        <f t="shared" si="36"/>
        <v>D-Restaurant</v>
      </c>
      <c r="E1080" s="42" t="s">
        <v>204</v>
      </c>
      <c r="F1080" s="42" t="s">
        <v>238</v>
      </c>
      <c r="G1080" s="42">
        <v>-27</v>
      </c>
      <c r="H1080" s="42">
        <f t="shared" si="35"/>
        <v>201510</v>
      </c>
      <c r="I1080" s="42">
        <f>MATCH(D1080,$O:$O,0)</f>
        <v>9</v>
      </c>
      <c r="J1080" s="42" t="s">
        <v>39</v>
      </c>
      <c r="K1080" s="42" t="s">
        <v>649</v>
      </c>
      <c r="L1080" s="42" t="s">
        <v>888</v>
      </c>
    </row>
    <row r="1081" spans="1:12" x14ac:dyDescent="0.25">
      <c r="A1081" s="42" t="s">
        <v>236</v>
      </c>
      <c r="B1081" s="43">
        <v>42297</v>
      </c>
      <c r="C1081" s="42" t="s">
        <v>600</v>
      </c>
      <c r="D1081" s="42" t="str">
        <f t="shared" si="36"/>
        <v>D-Restaurant</v>
      </c>
      <c r="E1081" s="42" t="s">
        <v>204</v>
      </c>
      <c r="F1081" s="42" t="s">
        <v>238</v>
      </c>
      <c r="G1081" s="42">
        <v>-8.1999999999999993</v>
      </c>
      <c r="H1081" s="42">
        <f t="shared" si="35"/>
        <v>201510</v>
      </c>
      <c r="I1081" s="42">
        <f>MATCH(D1081,$O:$O,0)</f>
        <v>9</v>
      </c>
      <c r="J1081" s="42" t="s">
        <v>39</v>
      </c>
      <c r="K1081" s="42" t="s">
        <v>649</v>
      </c>
      <c r="L1081" s="42"/>
    </row>
    <row r="1082" spans="1:12" x14ac:dyDescent="0.25">
      <c r="A1082" s="42" t="s">
        <v>236</v>
      </c>
      <c r="B1082" s="43">
        <v>42297</v>
      </c>
      <c r="C1082" s="42" t="s">
        <v>966</v>
      </c>
      <c r="D1082" s="42" t="str">
        <f t="shared" si="36"/>
        <v>D-Restaurant</v>
      </c>
      <c r="E1082" s="42" t="s">
        <v>204</v>
      </c>
      <c r="F1082" s="42" t="s">
        <v>238</v>
      </c>
      <c r="G1082" s="42">
        <v>-5.1100000000000003</v>
      </c>
      <c r="H1082" s="42">
        <f t="shared" si="35"/>
        <v>201510</v>
      </c>
      <c r="I1082" s="42">
        <f>MATCH(D1082,$O:$O,0)</f>
        <v>9</v>
      </c>
      <c r="J1082" s="42" t="s">
        <v>39</v>
      </c>
      <c r="K1082" s="42" t="s">
        <v>649</v>
      </c>
      <c r="L1082" s="42"/>
    </row>
    <row r="1083" spans="1:12" x14ac:dyDescent="0.25">
      <c r="A1083" s="42" t="s">
        <v>236</v>
      </c>
      <c r="B1083" s="43">
        <v>42298</v>
      </c>
      <c r="C1083" s="42" t="s">
        <v>847</v>
      </c>
      <c r="D1083" s="42" t="str">
        <f t="shared" si="36"/>
        <v>Grocery</v>
      </c>
      <c r="E1083" s="42" t="s">
        <v>192</v>
      </c>
      <c r="F1083" s="42" t="s">
        <v>238</v>
      </c>
      <c r="G1083" s="42">
        <v>-2.4900000000000002</v>
      </c>
      <c r="H1083" s="42">
        <f t="shared" si="35"/>
        <v>201510</v>
      </c>
      <c r="I1083" s="42">
        <f>MATCH(D1083,$O:$O,0)</f>
        <v>12</v>
      </c>
      <c r="J1083" s="42" t="s">
        <v>39</v>
      </c>
      <c r="K1083" s="42" t="s">
        <v>649</v>
      </c>
      <c r="L1083" s="42"/>
    </row>
    <row r="1084" spans="1:12" x14ac:dyDescent="0.25">
      <c r="A1084" s="42" t="s">
        <v>236</v>
      </c>
      <c r="B1084" s="43">
        <v>42298</v>
      </c>
      <c r="C1084" s="42" t="s">
        <v>904</v>
      </c>
      <c r="D1084" s="42" t="str">
        <f t="shared" si="36"/>
        <v>Utility</v>
      </c>
      <c r="E1084" s="42" t="s">
        <v>95</v>
      </c>
      <c r="F1084" s="42" t="s">
        <v>238</v>
      </c>
      <c r="G1084" s="42">
        <v>-327.14</v>
      </c>
      <c r="H1084" s="42">
        <f t="shared" si="35"/>
        <v>201510</v>
      </c>
      <c r="I1084" s="42">
        <f>MATCH(D1084,$O:$O,0)</f>
        <v>34</v>
      </c>
      <c r="J1084" s="42" t="s">
        <v>39</v>
      </c>
      <c r="K1084" s="42" t="s">
        <v>649</v>
      </c>
      <c r="L1084" s="42" t="s">
        <v>334</v>
      </c>
    </row>
    <row r="1085" spans="1:12" x14ac:dyDescent="0.25">
      <c r="A1085" s="42" t="s">
        <v>236</v>
      </c>
      <c r="B1085" s="43">
        <v>42298</v>
      </c>
      <c r="C1085" s="42" t="s">
        <v>892</v>
      </c>
      <c r="D1085" s="42" t="str">
        <f t="shared" si="36"/>
        <v>Gas</v>
      </c>
      <c r="E1085" s="42" t="s">
        <v>311</v>
      </c>
      <c r="F1085" s="42" t="s">
        <v>238</v>
      </c>
      <c r="G1085" s="42">
        <v>-28.21</v>
      </c>
      <c r="H1085" s="42">
        <f t="shared" si="35"/>
        <v>201510</v>
      </c>
      <c r="I1085" s="42">
        <f>MATCH(D1085,$O:$O,0)</f>
        <v>30</v>
      </c>
      <c r="J1085" s="42" t="s">
        <v>39</v>
      </c>
      <c r="K1085" s="42" t="s">
        <v>619</v>
      </c>
      <c r="L1085" s="42" t="s">
        <v>320</v>
      </c>
    </row>
    <row r="1086" spans="1:12" x14ac:dyDescent="0.25">
      <c r="A1086" s="42" t="s">
        <v>236</v>
      </c>
      <c r="B1086" s="43">
        <v>42298</v>
      </c>
      <c r="C1086" s="42" t="s">
        <v>963</v>
      </c>
      <c r="D1086" s="42" t="str">
        <f t="shared" si="36"/>
        <v>Public Transit</v>
      </c>
      <c r="E1086" s="42" t="s">
        <v>90</v>
      </c>
      <c r="F1086" s="42" t="s">
        <v>238</v>
      </c>
      <c r="G1086" s="42">
        <v>-19.649999999999999</v>
      </c>
      <c r="H1086" s="42">
        <f t="shared" si="35"/>
        <v>201510</v>
      </c>
      <c r="I1086" s="42">
        <f>MATCH(D1086,$O:$O,0)</f>
        <v>25</v>
      </c>
      <c r="J1086" s="42" t="s">
        <v>39</v>
      </c>
      <c r="K1086" s="42" t="s">
        <v>619</v>
      </c>
      <c r="L1086" s="42" t="s">
        <v>333</v>
      </c>
    </row>
    <row r="1087" spans="1:12" x14ac:dyDescent="0.25">
      <c r="A1087" s="42" t="s">
        <v>236</v>
      </c>
      <c r="B1087" s="43">
        <v>42299</v>
      </c>
      <c r="C1087" s="42" t="s">
        <v>885</v>
      </c>
      <c r="D1087" s="42" t="str">
        <f t="shared" si="36"/>
        <v>Grocery</v>
      </c>
      <c r="E1087" s="42" t="s">
        <v>192</v>
      </c>
      <c r="F1087" s="42" t="s">
        <v>238</v>
      </c>
      <c r="G1087" s="42">
        <v>-9.41</v>
      </c>
      <c r="H1087" s="42">
        <f t="shared" si="35"/>
        <v>201510</v>
      </c>
      <c r="I1087" s="42">
        <f>MATCH(D1087,$O:$O,0)</f>
        <v>12</v>
      </c>
      <c r="J1087" s="42" t="s">
        <v>39</v>
      </c>
      <c r="K1087" s="42" t="s">
        <v>649</v>
      </c>
      <c r="L1087" s="42" t="s">
        <v>927</v>
      </c>
    </row>
    <row r="1088" spans="1:12" x14ac:dyDescent="0.25">
      <c r="A1088" s="42" t="s">
        <v>236</v>
      </c>
      <c r="B1088" s="43">
        <v>42299</v>
      </c>
      <c r="C1088" s="42" t="s">
        <v>853</v>
      </c>
      <c r="D1088" s="42" t="str">
        <f t="shared" si="36"/>
        <v>Parking</v>
      </c>
      <c r="E1088" s="42" t="s">
        <v>170</v>
      </c>
      <c r="F1088" s="42" t="s">
        <v>238</v>
      </c>
      <c r="G1088" s="42">
        <v>-7.25</v>
      </c>
      <c r="H1088" s="42">
        <f t="shared" si="35"/>
        <v>201510</v>
      </c>
      <c r="I1088" s="42">
        <f>MATCH(D1088,$O:$O,0)</f>
        <v>32</v>
      </c>
      <c r="J1088" s="42" t="s">
        <v>39</v>
      </c>
      <c r="K1088" s="42" t="s">
        <v>649</v>
      </c>
      <c r="L1088" s="42" t="s">
        <v>927</v>
      </c>
    </row>
    <row r="1089" spans="1:12" x14ac:dyDescent="0.25">
      <c r="A1089" s="42" t="s">
        <v>236</v>
      </c>
      <c r="B1089" s="43">
        <v>42300</v>
      </c>
      <c r="C1089" s="42" t="s">
        <v>567</v>
      </c>
      <c r="D1089" s="42" t="str">
        <f t="shared" si="36"/>
        <v>Uncategorized</v>
      </c>
      <c r="E1089" s="42" t="s">
        <v>102</v>
      </c>
      <c r="F1089" s="42" t="s">
        <v>238</v>
      </c>
      <c r="G1089" s="42">
        <v>-2.54</v>
      </c>
      <c r="H1089" s="42">
        <f t="shared" si="35"/>
        <v>201510</v>
      </c>
      <c r="I1089" s="42">
        <f>MATCH(D1089,$O:$O,0)</f>
        <v>33</v>
      </c>
      <c r="J1089" s="42" t="s">
        <v>39</v>
      </c>
      <c r="K1089" s="42" t="s">
        <v>649</v>
      </c>
      <c r="L1089" s="42" t="s">
        <v>252</v>
      </c>
    </row>
    <row r="1090" spans="1:12" x14ac:dyDescent="0.25">
      <c r="A1090" s="42" t="s">
        <v>236</v>
      </c>
      <c r="B1090" s="43">
        <v>42301</v>
      </c>
      <c r="C1090" s="42" t="s">
        <v>962</v>
      </c>
      <c r="D1090" s="42" t="str">
        <f t="shared" si="36"/>
        <v>Uncategorized</v>
      </c>
      <c r="E1090" s="42" t="s">
        <v>102</v>
      </c>
      <c r="F1090" s="42" t="s">
        <v>238</v>
      </c>
      <c r="G1090" s="42">
        <v>-11.67</v>
      </c>
      <c r="H1090" s="42">
        <f t="shared" ref="H1090:H1153" si="37">YEAR(B1090)*100+MONTH(B1090)</f>
        <v>201510</v>
      </c>
      <c r="I1090" s="42">
        <f>MATCH(D1090,$O:$O,0)</f>
        <v>33</v>
      </c>
      <c r="J1090" s="42" t="s">
        <v>39</v>
      </c>
      <c r="K1090" s="42" t="s">
        <v>649</v>
      </c>
      <c r="L1090" s="42" t="s">
        <v>886</v>
      </c>
    </row>
    <row r="1091" spans="1:12" x14ac:dyDescent="0.25">
      <c r="A1091" s="42" t="s">
        <v>236</v>
      </c>
      <c r="B1091" s="43">
        <v>42301</v>
      </c>
      <c r="C1091" s="42" t="s">
        <v>917</v>
      </c>
      <c r="D1091" s="42" t="str">
        <f t="shared" si="36"/>
        <v>Grocery</v>
      </c>
      <c r="E1091" s="42" t="s">
        <v>385</v>
      </c>
      <c r="F1091" s="42" t="s">
        <v>238</v>
      </c>
      <c r="G1091" s="42">
        <v>-40.590000000000003</v>
      </c>
      <c r="H1091" s="42">
        <f t="shared" si="37"/>
        <v>201510</v>
      </c>
      <c r="I1091" s="42">
        <f>MATCH(D1091,$O:$O,0)</f>
        <v>12</v>
      </c>
      <c r="J1091" s="42" t="s">
        <v>39</v>
      </c>
      <c r="K1091" s="42" t="s">
        <v>649</v>
      </c>
      <c r="L1091" s="42" t="s">
        <v>888</v>
      </c>
    </row>
    <row r="1092" spans="1:12" x14ac:dyDescent="0.25">
      <c r="A1092" s="42" t="s">
        <v>236</v>
      </c>
      <c r="B1092" s="43">
        <v>42301</v>
      </c>
      <c r="C1092" s="42" t="s">
        <v>917</v>
      </c>
      <c r="D1092" s="42" t="str">
        <f t="shared" si="36"/>
        <v>Grocery</v>
      </c>
      <c r="E1092" s="42" t="s">
        <v>385</v>
      </c>
      <c r="F1092" s="42" t="s">
        <v>238</v>
      </c>
      <c r="G1092" s="42">
        <v>-200</v>
      </c>
      <c r="H1092" s="42">
        <f t="shared" si="37"/>
        <v>201510</v>
      </c>
      <c r="I1092" s="42">
        <f>MATCH(D1092,$O:$O,0)</f>
        <v>12</v>
      </c>
      <c r="J1092" s="42" t="s">
        <v>39</v>
      </c>
      <c r="K1092" s="42" t="s">
        <v>619</v>
      </c>
      <c r="L1092" s="42"/>
    </row>
    <row r="1093" spans="1:12" x14ac:dyDescent="0.25">
      <c r="A1093" s="42" t="s">
        <v>236</v>
      </c>
      <c r="B1093" s="43">
        <v>42301</v>
      </c>
      <c r="C1093" s="42" t="s">
        <v>681</v>
      </c>
      <c r="D1093" s="42" t="str">
        <f t="shared" si="36"/>
        <v>D-Restaurant</v>
      </c>
      <c r="E1093" s="42" t="s">
        <v>204</v>
      </c>
      <c r="F1093" s="42" t="s">
        <v>238</v>
      </c>
      <c r="G1093" s="42">
        <v>-10.06</v>
      </c>
      <c r="H1093" s="42">
        <f t="shared" si="37"/>
        <v>201510</v>
      </c>
      <c r="I1093" s="42">
        <f>MATCH(D1093,$O:$O,0)</f>
        <v>9</v>
      </c>
      <c r="J1093" s="42" t="s">
        <v>39</v>
      </c>
      <c r="K1093" s="42" t="s">
        <v>619</v>
      </c>
      <c r="L1093" s="42"/>
    </row>
    <row r="1094" spans="1:12" x14ac:dyDescent="0.25">
      <c r="A1094" s="42" t="s">
        <v>236</v>
      </c>
      <c r="B1094" s="43">
        <v>42302</v>
      </c>
      <c r="C1094" s="42" t="s">
        <v>917</v>
      </c>
      <c r="D1094" s="42" t="str">
        <f t="shared" si="36"/>
        <v>Grocery</v>
      </c>
      <c r="E1094" s="42" t="s">
        <v>385</v>
      </c>
      <c r="F1094" s="42" t="s">
        <v>238</v>
      </c>
      <c r="G1094" s="42">
        <v>-30.77</v>
      </c>
      <c r="H1094" s="42">
        <f t="shared" si="37"/>
        <v>201510</v>
      </c>
      <c r="I1094" s="42">
        <f>MATCH(D1094,$O:$O,0)</f>
        <v>12</v>
      </c>
      <c r="J1094" s="42" t="s">
        <v>39</v>
      </c>
      <c r="K1094" s="42" t="s">
        <v>619</v>
      </c>
      <c r="L1094" s="42"/>
    </row>
    <row r="1095" spans="1:12" x14ac:dyDescent="0.25">
      <c r="A1095" s="42" t="s">
        <v>236</v>
      </c>
      <c r="B1095" s="43">
        <v>42302</v>
      </c>
      <c r="C1095" s="42" t="s">
        <v>900</v>
      </c>
      <c r="D1095" s="42" t="str">
        <f t="shared" si="36"/>
        <v>Gas</v>
      </c>
      <c r="E1095" s="42" t="s">
        <v>311</v>
      </c>
      <c r="F1095" s="42" t="s">
        <v>238</v>
      </c>
      <c r="G1095" s="42">
        <v>-27.27</v>
      </c>
      <c r="H1095" s="42">
        <f t="shared" si="37"/>
        <v>201510</v>
      </c>
      <c r="I1095" s="42">
        <f>MATCH(D1095,$O:$O,0)</f>
        <v>30</v>
      </c>
      <c r="J1095" s="42" t="s">
        <v>39</v>
      </c>
      <c r="K1095" s="42" t="s">
        <v>619</v>
      </c>
      <c r="L1095" s="42"/>
    </row>
    <row r="1096" spans="1:12" x14ac:dyDescent="0.25">
      <c r="A1096" s="42" t="s">
        <v>236</v>
      </c>
      <c r="B1096" s="43">
        <v>42303</v>
      </c>
      <c r="C1096" s="42" t="s">
        <v>515</v>
      </c>
      <c r="D1096" s="42" t="str">
        <f t="shared" si="36"/>
        <v>Parent support</v>
      </c>
      <c r="E1096" s="42" t="s">
        <v>1002</v>
      </c>
      <c r="F1096" s="42" t="s">
        <v>238</v>
      </c>
      <c r="G1096" s="42">
        <v>-170.96</v>
      </c>
      <c r="H1096" s="42">
        <f t="shared" si="37"/>
        <v>201510</v>
      </c>
      <c r="I1096" s="42">
        <f>MATCH(D1096,$O:$O,0)</f>
        <v>24</v>
      </c>
      <c r="J1096" s="42" t="s">
        <v>39</v>
      </c>
      <c r="K1096" s="42" t="s">
        <v>630</v>
      </c>
      <c r="L1096" s="42"/>
    </row>
    <row r="1097" spans="1:12" x14ac:dyDescent="0.25">
      <c r="A1097" s="42" t="s">
        <v>236</v>
      </c>
      <c r="B1097" s="43">
        <v>42303</v>
      </c>
      <c r="C1097" s="42" t="s">
        <v>515</v>
      </c>
      <c r="D1097" s="42" t="str">
        <f t="shared" si="36"/>
        <v>Parent support</v>
      </c>
      <c r="E1097" s="42" t="s">
        <v>1002</v>
      </c>
      <c r="F1097" s="42" t="s">
        <v>238</v>
      </c>
      <c r="G1097" s="42">
        <v>-72.819999999999993</v>
      </c>
      <c r="H1097" s="42">
        <f t="shared" si="37"/>
        <v>201510</v>
      </c>
      <c r="I1097" s="42">
        <f>MATCH(D1097,$O:$O,0)</f>
        <v>24</v>
      </c>
      <c r="J1097" s="42" t="s">
        <v>39</v>
      </c>
      <c r="K1097" s="42" t="s">
        <v>630</v>
      </c>
      <c r="L1097" s="42"/>
    </row>
    <row r="1098" spans="1:12" x14ac:dyDescent="0.25">
      <c r="A1098" s="42" t="s">
        <v>236</v>
      </c>
      <c r="B1098" s="43">
        <v>42303</v>
      </c>
      <c r="C1098" s="42" t="s">
        <v>747</v>
      </c>
      <c r="D1098" s="42" t="str">
        <f t="shared" si="36"/>
        <v>Cell Phone</v>
      </c>
      <c r="E1098" s="42" t="s">
        <v>224</v>
      </c>
      <c r="F1098" s="42" t="s">
        <v>238</v>
      </c>
      <c r="G1098" s="42">
        <v>-76.319999999999993</v>
      </c>
      <c r="H1098" s="42">
        <f t="shared" si="37"/>
        <v>201510</v>
      </c>
      <c r="I1098" s="42">
        <f>MATCH(D1098,$O:$O,0)</f>
        <v>4</v>
      </c>
      <c r="J1098" s="42" t="s">
        <v>39</v>
      </c>
      <c r="K1098" s="42" t="s">
        <v>649</v>
      </c>
      <c r="L1098" s="42"/>
    </row>
    <row r="1099" spans="1:12" x14ac:dyDescent="0.25">
      <c r="A1099" s="42" t="s">
        <v>236</v>
      </c>
      <c r="B1099" s="43">
        <v>42303</v>
      </c>
      <c r="C1099" s="42" t="s">
        <v>961</v>
      </c>
      <c r="D1099" s="42" t="str">
        <f t="shared" si="36"/>
        <v>Home Insurance</v>
      </c>
      <c r="E1099" s="42" t="s">
        <v>199</v>
      </c>
      <c r="F1099" s="42" t="s">
        <v>238</v>
      </c>
      <c r="G1099" s="42">
        <v>-550.76</v>
      </c>
      <c r="H1099" s="42">
        <f t="shared" si="37"/>
        <v>201510</v>
      </c>
      <c r="I1099" s="42">
        <f>MATCH(D1099,$O:$O,0)</f>
        <v>17</v>
      </c>
      <c r="J1099" s="42" t="s">
        <v>39</v>
      </c>
      <c r="K1099" s="42" t="s">
        <v>649</v>
      </c>
      <c r="L1099" s="42" t="s">
        <v>934</v>
      </c>
    </row>
    <row r="1100" spans="1:12" x14ac:dyDescent="0.25">
      <c r="A1100" s="42" t="s">
        <v>236</v>
      </c>
      <c r="B1100" s="43">
        <v>42304</v>
      </c>
      <c r="C1100" s="42" t="s">
        <v>957</v>
      </c>
      <c r="D1100" s="42" t="str">
        <f t="shared" si="36"/>
        <v>Gas</v>
      </c>
      <c r="E1100" s="42" t="s">
        <v>311</v>
      </c>
      <c r="F1100" s="42" t="s">
        <v>238</v>
      </c>
      <c r="G1100" s="42">
        <v>-27.26</v>
      </c>
      <c r="H1100" s="42">
        <f t="shared" si="37"/>
        <v>201510</v>
      </c>
      <c r="I1100" s="42">
        <f>MATCH(D1100,$O:$O,0)</f>
        <v>30</v>
      </c>
      <c r="J1100" s="42" t="s">
        <v>39</v>
      </c>
      <c r="K1100" s="42" t="s">
        <v>649</v>
      </c>
      <c r="L1100" s="42" t="s">
        <v>888</v>
      </c>
    </row>
    <row r="1101" spans="1:12" x14ac:dyDescent="0.25">
      <c r="A1101" s="42" t="s">
        <v>236</v>
      </c>
      <c r="B1101" s="43">
        <v>42304</v>
      </c>
      <c r="C1101" s="42" t="s">
        <v>958</v>
      </c>
      <c r="D1101" s="42" t="str">
        <f t="shared" si="36"/>
        <v>Gas</v>
      </c>
      <c r="E1101" s="42" t="s">
        <v>311</v>
      </c>
      <c r="F1101" s="42" t="s">
        <v>238</v>
      </c>
      <c r="G1101" s="42">
        <v>-32.53</v>
      </c>
      <c r="H1101" s="42">
        <f t="shared" si="37"/>
        <v>201510</v>
      </c>
      <c r="I1101" s="42">
        <f>MATCH(D1101,$O:$O,0)</f>
        <v>30</v>
      </c>
      <c r="J1101" s="42" t="s">
        <v>39</v>
      </c>
      <c r="K1101" s="42" t="s">
        <v>619</v>
      </c>
      <c r="L1101" s="42"/>
    </row>
    <row r="1102" spans="1:12" x14ac:dyDescent="0.25">
      <c r="A1102" s="42" t="s">
        <v>236</v>
      </c>
      <c r="B1102" s="43">
        <v>42304</v>
      </c>
      <c r="C1102" s="42" t="s">
        <v>959</v>
      </c>
      <c r="D1102" s="42" t="str">
        <f t="shared" si="36"/>
        <v>Grocery</v>
      </c>
      <c r="E1102" s="42" t="s">
        <v>385</v>
      </c>
      <c r="F1102" s="42" t="s">
        <v>238</v>
      </c>
      <c r="G1102" s="42">
        <v>-366.94</v>
      </c>
      <c r="H1102" s="42">
        <f t="shared" si="37"/>
        <v>201510</v>
      </c>
      <c r="I1102" s="42">
        <f>MATCH(D1102,$O:$O,0)</f>
        <v>12</v>
      </c>
      <c r="J1102" s="42" t="s">
        <v>39</v>
      </c>
      <c r="K1102" s="42" t="s">
        <v>619</v>
      </c>
      <c r="L1102" s="42" t="s">
        <v>888</v>
      </c>
    </row>
    <row r="1103" spans="1:12" x14ac:dyDescent="0.25">
      <c r="A1103" s="42" t="s">
        <v>236</v>
      </c>
      <c r="B1103" s="43">
        <v>42304</v>
      </c>
      <c r="C1103" s="42" t="s">
        <v>956</v>
      </c>
      <c r="D1103" s="42" t="str">
        <f t="shared" si="36"/>
        <v>D-Restaurant</v>
      </c>
      <c r="E1103" s="42" t="s">
        <v>204</v>
      </c>
      <c r="F1103" s="42" t="s">
        <v>238</v>
      </c>
      <c r="G1103" s="42">
        <v>-13.71</v>
      </c>
      <c r="H1103" s="42">
        <f t="shared" si="37"/>
        <v>201510</v>
      </c>
      <c r="I1103" s="42">
        <f>MATCH(D1103,$O:$O,0)</f>
        <v>9</v>
      </c>
      <c r="J1103" s="42" t="s">
        <v>39</v>
      </c>
      <c r="K1103" s="42" t="s">
        <v>619</v>
      </c>
      <c r="L1103" s="42" t="s">
        <v>937</v>
      </c>
    </row>
    <row r="1104" spans="1:12" x14ac:dyDescent="0.25">
      <c r="A1104" s="42" t="s">
        <v>236</v>
      </c>
      <c r="B1104" s="43">
        <v>42305</v>
      </c>
      <c r="C1104" s="42" t="s">
        <v>949</v>
      </c>
      <c r="D1104" s="42" t="str">
        <f t="shared" si="36"/>
        <v>D-Restaurant</v>
      </c>
      <c r="E1104" s="42" t="s">
        <v>204</v>
      </c>
      <c r="F1104" s="42" t="s">
        <v>238</v>
      </c>
      <c r="G1104" s="42">
        <v>-88.15</v>
      </c>
      <c r="H1104" s="42">
        <f t="shared" si="37"/>
        <v>201510</v>
      </c>
      <c r="I1104" s="42">
        <f>MATCH(D1104,$O:$O,0)</f>
        <v>9</v>
      </c>
      <c r="J1104" s="42" t="s">
        <v>39</v>
      </c>
      <c r="K1104" s="42" t="s">
        <v>649</v>
      </c>
      <c r="L1104" s="42" t="s">
        <v>193</v>
      </c>
    </row>
    <row r="1105" spans="1:13" x14ac:dyDescent="0.25">
      <c r="A1105" s="42" t="s">
        <v>236</v>
      </c>
      <c r="B1105" s="43">
        <v>42305</v>
      </c>
      <c r="C1105" s="42" t="s">
        <v>951</v>
      </c>
      <c r="D1105" s="42" t="str">
        <f t="shared" si="36"/>
        <v>Gas</v>
      </c>
      <c r="E1105" s="42" t="s">
        <v>311</v>
      </c>
      <c r="F1105" s="42" t="s">
        <v>238</v>
      </c>
      <c r="G1105" s="42">
        <v>-17.07</v>
      </c>
      <c r="H1105" s="42">
        <f t="shared" si="37"/>
        <v>201510</v>
      </c>
      <c r="I1105" s="42">
        <f>MATCH(D1105,$O:$O,0)</f>
        <v>30</v>
      </c>
      <c r="J1105" s="42" t="s">
        <v>39</v>
      </c>
      <c r="K1105" s="42" t="s">
        <v>619</v>
      </c>
      <c r="L1105" s="42" t="s">
        <v>939</v>
      </c>
    </row>
    <row r="1106" spans="1:13" x14ac:dyDescent="0.25">
      <c r="A1106" s="42" t="s">
        <v>236</v>
      </c>
      <c r="B1106" s="43">
        <v>42305</v>
      </c>
      <c r="C1106" s="42" t="s">
        <v>953</v>
      </c>
      <c r="D1106" s="42" t="str">
        <f t="shared" si="36"/>
        <v>Grocery</v>
      </c>
      <c r="E1106" s="42" t="s">
        <v>385</v>
      </c>
      <c r="F1106" s="42" t="s">
        <v>238</v>
      </c>
      <c r="G1106" s="42">
        <v>-70.56</v>
      </c>
      <c r="H1106" s="42">
        <f t="shared" si="37"/>
        <v>201510</v>
      </c>
      <c r="I1106" s="42">
        <f>MATCH(D1106,$O:$O,0)</f>
        <v>12</v>
      </c>
      <c r="J1106" s="42" t="s">
        <v>39</v>
      </c>
      <c r="K1106" s="42" t="s">
        <v>619</v>
      </c>
      <c r="L1106" s="42" t="s">
        <v>888</v>
      </c>
    </row>
    <row r="1107" spans="1:13" x14ac:dyDescent="0.25">
      <c r="A1107" s="42" t="s">
        <v>236</v>
      </c>
      <c r="B1107" s="43">
        <v>42305</v>
      </c>
      <c r="C1107" s="42" t="s">
        <v>954</v>
      </c>
      <c r="D1107" s="42" t="str">
        <f t="shared" si="36"/>
        <v>Gas</v>
      </c>
      <c r="E1107" s="42" t="s">
        <v>311</v>
      </c>
      <c r="F1107" s="42" t="s">
        <v>238</v>
      </c>
      <c r="G1107" s="42">
        <v>-27.72</v>
      </c>
      <c r="H1107" s="42">
        <f t="shared" si="37"/>
        <v>201510</v>
      </c>
      <c r="I1107" s="42">
        <f>MATCH(D1107,$O:$O,0)</f>
        <v>30</v>
      </c>
      <c r="J1107" s="42" t="s">
        <v>39</v>
      </c>
      <c r="K1107" s="42" t="s">
        <v>619</v>
      </c>
      <c r="L1107" s="42" t="s">
        <v>940</v>
      </c>
    </row>
    <row r="1108" spans="1:13" x14ac:dyDescent="0.25">
      <c r="A1108" s="42" t="s">
        <v>236</v>
      </c>
      <c r="B1108" s="43">
        <v>42305</v>
      </c>
      <c r="C1108" s="42" t="s">
        <v>955</v>
      </c>
      <c r="D1108" s="42" t="str">
        <f t="shared" si="36"/>
        <v>Gas</v>
      </c>
      <c r="E1108" s="42" t="s">
        <v>311</v>
      </c>
      <c r="F1108" s="42" t="s">
        <v>238</v>
      </c>
      <c r="G1108" s="42">
        <v>-15.33</v>
      </c>
      <c r="H1108" s="42">
        <f t="shared" si="37"/>
        <v>201510</v>
      </c>
      <c r="I1108" s="42">
        <f>MATCH(D1108,$O:$O,0)</f>
        <v>30</v>
      </c>
      <c r="J1108" s="42" t="s">
        <v>39</v>
      </c>
      <c r="K1108" s="42" t="s">
        <v>619</v>
      </c>
      <c r="L1108" s="42"/>
    </row>
    <row r="1109" spans="1:13" x14ac:dyDescent="0.25">
      <c r="A1109" s="42" t="s">
        <v>236</v>
      </c>
      <c r="B1109" s="43">
        <v>42306</v>
      </c>
      <c r="C1109" s="42" t="s">
        <v>948</v>
      </c>
      <c r="D1109" s="42" t="str">
        <f t="shared" si="36"/>
        <v>D-Restaurant</v>
      </c>
      <c r="E1109" s="42" t="s">
        <v>204</v>
      </c>
      <c r="F1109" s="42" t="s">
        <v>238</v>
      </c>
      <c r="G1109" s="42">
        <v>-14.13</v>
      </c>
      <c r="H1109" s="42">
        <f t="shared" si="37"/>
        <v>201510</v>
      </c>
      <c r="I1109" s="42">
        <f>MATCH(D1109,$O:$O,0)</f>
        <v>9</v>
      </c>
      <c r="J1109" s="42" t="s">
        <v>39</v>
      </c>
      <c r="K1109" s="42" t="s">
        <v>649</v>
      </c>
      <c r="L1109" s="42" t="s">
        <v>888</v>
      </c>
    </row>
    <row r="1110" spans="1:13" x14ac:dyDescent="0.25">
      <c r="A1110" s="42" t="s">
        <v>236</v>
      </c>
      <c r="B1110" s="43">
        <v>42307</v>
      </c>
      <c r="C1110" s="42" t="s">
        <v>947</v>
      </c>
      <c r="D1110" s="42" t="str">
        <f t="shared" si="36"/>
        <v>Paychecks/Salary</v>
      </c>
      <c r="E1110" s="42" t="s">
        <v>375</v>
      </c>
      <c r="F1110" s="42" t="s">
        <v>238</v>
      </c>
      <c r="G1110" s="44">
        <v>3303.27</v>
      </c>
      <c r="H1110" s="42">
        <f t="shared" si="37"/>
        <v>201510</v>
      </c>
      <c r="I1110" s="42">
        <f>MATCH(D1110,$O:$O,0)</f>
        <v>40</v>
      </c>
      <c r="J1110" s="42" t="s">
        <v>39</v>
      </c>
      <c r="K1110" s="42" t="s">
        <v>803</v>
      </c>
      <c r="L1110" s="42" t="s">
        <v>942</v>
      </c>
      <c r="M1110">
        <v>1</v>
      </c>
    </row>
    <row r="1111" spans="1:13" x14ac:dyDescent="0.25">
      <c r="A1111" s="42" t="s">
        <v>236</v>
      </c>
      <c r="B1111" s="43">
        <v>42307</v>
      </c>
      <c r="C1111" s="42" t="s">
        <v>411</v>
      </c>
      <c r="D1111" s="42" t="str">
        <f t="shared" si="36"/>
        <v>Retirement Contributions</v>
      </c>
      <c r="E1111" s="42" t="s">
        <v>263</v>
      </c>
      <c r="F1111" s="42" t="s">
        <v>238</v>
      </c>
      <c r="G1111" s="42">
        <v>11.66</v>
      </c>
      <c r="H1111" s="42">
        <f t="shared" si="37"/>
        <v>201510</v>
      </c>
      <c r="I1111" s="42">
        <f>MATCH(D1111,$O:$O,0)</f>
        <v>39</v>
      </c>
      <c r="J1111" s="42" t="s">
        <v>39</v>
      </c>
      <c r="K1111" s="42" t="s">
        <v>649</v>
      </c>
      <c r="L1111" s="42"/>
    </row>
    <row r="1112" spans="1:13" x14ac:dyDescent="0.25">
      <c r="A1112" s="42" t="s">
        <v>236</v>
      </c>
      <c r="B1112" s="43">
        <v>42307</v>
      </c>
      <c r="C1112" s="42" t="s">
        <v>575</v>
      </c>
      <c r="D1112" s="42" t="str">
        <f t="shared" si="36"/>
        <v>D-Restaurant</v>
      </c>
      <c r="E1112" s="42" t="s">
        <v>204</v>
      </c>
      <c r="F1112" s="42" t="s">
        <v>238</v>
      </c>
      <c r="G1112" s="42">
        <v>-8.1999999999999993</v>
      </c>
      <c r="H1112" s="42">
        <f t="shared" si="37"/>
        <v>201510</v>
      </c>
      <c r="I1112" s="42">
        <f>MATCH(D1112,$O:$O,0)</f>
        <v>9</v>
      </c>
      <c r="J1112" s="42" t="s">
        <v>39</v>
      </c>
      <c r="K1112" s="42" t="s">
        <v>632</v>
      </c>
      <c r="L1112" s="42" t="s">
        <v>888</v>
      </c>
    </row>
    <row r="1113" spans="1:13" x14ac:dyDescent="0.25">
      <c r="A1113" s="42" t="s">
        <v>236</v>
      </c>
      <c r="B1113" s="43">
        <v>42308</v>
      </c>
      <c r="C1113" s="42" t="s">
        <v>646</v>
      </c>
      <c r="D1113" s="42" t="str">
        <f t="shared" si="36"/>
        <v>Cell Phone</v>
      </c>
      <c r="E1113" s="42" t="s">
        <v>224</v>
      </c>
      <c r="F1113" s="42" t="s">
        <v>238</v>
      </c>
      <c r="G1113" s="42">
        <v>-177.95</v>
      </c>
      <c r="H1113" s="42">
        <f t="shared" si="37"/>
        <v>201510</v>
      </c>
      <c r="I1113" s="42">
        <f>MATCH(D1113,$O:$O,0)</f>
        <v>4</v>
      </c>
      <c r="J1113" s="42" t="s">
        <v>39</v>
      </c>
      <c r="K1113" s="42" t="s">
        <v>630</v>
      </c>
      <c r="L1113" s="42" t="s">
        <v>241</v>
      </c>
    </row>
    <row r="1114" spans="1:13" x14ac:dyDescent="0.25">
      <c r="A1114" s="42" t="s">
        <v>236</v>
      </c>
      <c r="B1114" s="43">
        <v>42308</v>
      </c>
      <c r="C1114" s="42" t="s">
        <v>945</v>
      </c>
      <c r="D1114" s="42" t="str">
        <f t="shared" si="36"/>
        <v>Grocery</v>
      </c>
      <c r="E1114" s="42" t="s">
        <v>192</v>
      </c>
      <c r="F1114" s="42" t="s">
        <v>238</v>
      </c>
      <c r="G1114" s="42">
        <v>-111.98</v>
      </c>
      <c r="H1114" s="42">
        <f t="shared" si="37"/>
        <v>201510</v>
      </c>
      <c r="I1114" s="42">
        <f>MATCH(D1114,$O:$O,0)</f>
        <v>12</v>
      </c>
      <c r="J1114" s="42" t="s">
        <v>39</v>
      </c>
      <c r="K1114" s="42" t="s">
        <v>649</v>
      </c>
      <c r="L1114" s="42" t="s">
        <v>723</v>
      </c>
    </row>
    <row r="1115" spans="1:13" x14ac:dyDescent="0.25">
      <c r="A1115" s="42" t="s">
        <v>236</v>
      </c>
      <c r="B1115" s="43">
        <v>42308</v>
      </c>
      <c r="C1115" s="42" t="s">
        <v>946</v>
      </c>
      <c r="D1115" s="42" t="str">
        <f t="shared" si="36"/>
        <v>Uncategorized</v>
      </c>
      <c r="E1115" s="42" t="s">
        <v>102</v>
      </c>
      <c r="F1115" s="42" t="s">
        <v>238</v>
      </c>
      <c r="G1115" s="42">
        <v>-14.46</v>
      </c>
      <c r="H1115" s="42">
        <f t="shared" si="37"/>
        <v>201510</v>
      </c>
      <c r="I1115" s="42">
        <f>MATCH(D1115,$O:$O,0)</f>
        <v>33</v>
      </c>
      <c r="J1115" s="42" t="s">
        <v>39</v>
      </c>
      <c r="K1115" s="42" t="s">
        <v>649</v>
      </c>
      <c r="L1115" s="42" t="s">
        <v>248</v>
      </c>
    </row>
    <row r="1116" spans="1:13" x14ac:dyDescent="0.25">
      <c r="A1116" s="42" t="s">
        <v>236</v>
      </c>
      <c r="B1116" s="43">
        <v>42308</v>
      </c>
      <c r="C1116" s="42" t="s">
        <v>585</v>
      </c>
      <c r="D1116" s="42" t="str">
        <f t="shared" si="36"/>
        <v>Parking</v>
      </c>
      <c r="E1116" s="42" t="s">
        <v>170</v>
      </c>
      <c r="F1116" s="42" t="s">
        <v>238</v>
      </c>
      <c r="G1116" s="42">
        <v>-4.1100000000000003</v>
      </c>
      <c r="H1116" s="42">
        <f t="shared" si="37"/>
        <v>201510</v>
      </c>
      <c r="I1116" s="42">
        <f>MATCH(D1116,$O:$O,0)</f>
        <v>32</v>
      </c>
      <c r="J1116" s="42" t="s">
        <v>39</v>
      </c>
      <c r="K1116" s="42" t="s">
        <v>649</v>
      </c>
      <c r="L1116" s="42" t="s">
        <v>310</v>
      </c>
    </row>
    <row r="1117" spans="1:13" x14ac:dyDescent="0.25">
      <c r="A1117" s="42" t="s">
        <v>236</v>
      </c>
      <c r="B1117" s="43">
        <v>42308</v>
      </c>
      <c r="C1117" s="42" t="s">
        <v>509</v>
      </c>
      <c r="D1117" s="42" t="str">
        <f t="shared" si="36"/>
        <v>D-Coffee</v>
      </c>
      <c r="E1117" s="42" t="s">
        <v>215</v>
      </c>
      <c r="F1117" s="42" t="s">
        <v>238</v>
      </c>
      <c r="G1117" s="42">
        <v>-1.95</v>
      </c>
      <c r="H1117" s="42">
        <f t="shared" si="37"/>
        <v>201510</v>
      </c>
      <c r="I1117" s="42">
        <f>MATCH(D1117,$O:$O,0)</f>
        <v>7</v>
      </c>
      <c r="J1117" s="42" t="s">
        <v>39</v>
      </c>
      <c r="K1117" s="42" t="s">
        <v>649</v>
      </c>
      <c r="L1117" s="42" t="s">
        <v>246</v>
      </c>
    </row>
    <row r="1118" spans="1:13" x14ac:dyDescent="0.25">
      <c r="A1118" s="42" t="s">
        <v>236</v>
      </c>
      <c r="B1118" s="43">
        <v>42310</v>
      </c>
      <c r="C1118" s="42" t="s">
        <v>681</v>
      </c>
      <c r="D1118" s="42" t="str">
        <f t="shared" si="36"/>
        <v>D-Restaurant</v>
      </c>
      <c r="E1118" s="42" t="s">
        <v>204</v>
      </c>
      <c r="F1118" s="42" t="s">
        <v>238</v>
      </c>
      <c r="G1118" s="42">
        <v>-10.82</v>
      </c>
      <c r="H1118" s="42">
        <f t="shared" si="37"/>
        <v>201511</v>
      </c>
      <c r="I1118" s="42">
        <f>MATCH(D1118,$O:$O,0)</f>
        <v>9</v>
      </c>
      <c r="J1118" s="42" t="s">
        <v>39</v>
      </c>
      <c r="K1118" s="42" t="s">
        <v>803</v>
      </c>
      <c r="L1118" s="42"/>
      <c r="M1118">
        <v>1</v>
      </c>
    </row>
    <row r="1119" spans="1:13" x14ac:dyDescent="0.25">
      <c r="A1119" s="42" t="s">
        <v>236</v>
      </c>
      <c r="B1119" s="43">
        <v>42310</v>
      </c>
      <c r="C1119" s="42" t="s">
        <v>943</v>
      </c>
      <c r="D1119" s="42" t="str">
        <f t="shared" si="36"/>
        <v>Credit Card Payments</v>
      </c>
      <c r="E1119" s="42" t="s">
        <v>242</v>
      </c>
      <c r="F1119" s="42" t="s">
        <v>238</v>
      </c>
      <c r="G1119" s="46">
        <v>-495.51</v>
      </c>
      <c r="H1119" s="42">
        <f t="shared" si="37"/>
        <v>201511</v>
      </c>
      <c r="I1119" s="42">
        <f>MATCH(D1119,$O:$O,0)</f>
        <v>38</v>
      </c>
      <c r="J1119" s="42" t="s">
        <v>39</v>
      </c>
      <c r="K1119" s="42" t="s">
        <v>803</v>
      </c>
      <c r="L1119" s="42" t="s">
        <v>341</v>
      </c>
    </row>
    <row r="1120" spans="1:13" x14ac:dyDescent="0.25">
      <c r="A1120" s="42" t="s">
        <v>236</v>
      </c>
      <c r="B1120" s="43">
        <v>42310</v>
      </c>
      <c r="C1120" s="42" t="s">
        <v>591</v>
      </c>
      <c r="D1120" s="42" t="str">
        <f t="shared" si="36"/>
        <v>Mortgage/Rent</v>
      </c>
      <c r="E1120" s="42" t="s">
        <v>202</v>
      </c>
      <c r="F1120" s="42" t="s">
        <v>238</v>
      </c>
      <c r="G1120" s="48">
        <v>-3116.77</v>
      </c>
      <c r="H1120" s="42">
        <f t="shared" si="37"/>
        <v>201511</v>
      </c>
      <c r="I1120" s="42">
        <f>MATCH(D1120,$O:$O,0)</f>
        <v>21</v>
      </c>
      <c r="J1120" s="42" t="s">
        <v>39</v>
      </c>
      <c r="K1120" s="42" t="s">
        <v>619</v>
      </c>
      <c r="L1120" s="42" t="s">
        <v>363</v>
      </c>
    </row>
    <row r="1121" spans="1:13" x14ac:dyDescent="0.25">
      <c r="A1121" s="42" t="s">
        <v>236</v>
      </c>
      <c r="B1121" s="43">
        <v>42310</v>
      </c>
      <c r="C1121" s="42" t="s">
        <v>435</v>
      </c>
      <c r="D1121" s="42" t="str">
        <f t="shared" si="36"/>
        <v>Credit Card Payments</v>
      </c>
      <c r="E1121" s="42" t="s">
        <v>242</v>
      </c>
      <c r="F1121" s="42" t="s">
        <v>238</v>
      </c>
      <c r="G1121" s="42">
        <v>495.51</v>
      </c>
      <c r="H1121" s="42">
        <f t="shared" si="37"/>
        <v>201511</v>
      </c>
      <c r="I1121" s="42">
        <f>MATCH(D1121,$O:$O,0)</f>
        <v>38</v>
      </c>
      <c r="J1121" s="42" t="s">
        <v>39</v>
      </c>
      <c r="K1121" s="42" t="s">
        <v>619</v>
      </c>
      <c r="L1121" s="42" t="s">
        <v>810</v>
      </c>
      <c r="M1121">
        <v>1</v>
      </c>
    </row>
    <row r="1122" spans="1:13" x14ac:dyDescent="0.25">
      <c r="A1122" s="42" t="s">
        <v>236</v>
      </c>
      <c r="B1122" s="43">
        <v>42310</v>
      </c>
      <c r="C1122" s="42" t="s">
        <v>900</v>
      </c>
      <c r="D1122" s="42" t="str">
        <f t="shared" si="36"/>
        <v>Gas</v>
      </c>
      <c r="E1122" s="42" t="s">
        <v>311</v>
      </c>
      <c r="F1122" s="42" t="s">
        <v>238</v>
      </c>
      <c r="G1122" s="42">
        <v>-31.79</v>
      </c>
      <c r="H1122" s="42">
        <f t="shared" si="37"/>
        <v>201511</v>
      </c>
      <c r="I1122" s="42">
        <f>MATCH(D1122,$O:$O,0)</f>
        <v>30</v>
      </c>
      <c r="J1122" s="42" t="s">
        <v>39</v>
      </c>
      <c r="K1122" s="42" t="s">
        <v>649</v>
      </c>
      <c r="L1122" s="42"/>
      <c r="M1122">
        <v>1</v>
      </c>
    </row>
    <row r="1123" spans="1:13" x14ac:dyDescent="0.25">
      <c r="A1123" s="42" t="s">
        <v>236</v>
      </c>
      <c r="B1123" s="43">
        <v>42310</v>
      </c>
      <c r="C1123" s="42" t="s">
        <v>944</v>
      </c>
      <c r="D1123" s="42" t="str">
        <f t="shared" si="36"/>
        <v>Uncategorized</v>
      </c>
      <c r="E1123" s="42" t="s">
        <v>102</v>
      </c>
      <c r="F1123" s="42" t="s">
        <v>238</v>
      </c>
      <c r="G1123" s="42">
        <v>-32</v>
      </c>
      <c r="H1123" s="42">
        <f t="shared" si="37"/>
        <v>201511</v>
      </c>
      <c r="I1123" s="42">
        <f>MATCH(D1123,$O:$O,0)</f>
        <v>33</v>
      </c>
      <c r="J1123" s="42" t="s">
        <v>39</v>
      </c>
      <c r="K1123" s="42" t="s">
        <v>649</v>
      </c>
      <c r="L1123" s="42"/>
    </row>
    <row r="1124" spans="1:13" x14ac:dyDescent="0.25">
      <c r="A1124" s="42" t="s">
        <v>236</v>
      </c>
      <c r="B1124" s="43">
        <v>42310</v>
      </c>
      <c r="C1124" s="42" t="s">
        <v>687</v>
      </c>
      <c r="D1124" s="42" t="str">
        <f t="shared" ref="D1124:D1187" si="38">IF(ISNA(VLOOKUP(E1124,$L$2:$M$26,2,FALSE)),E1124,VLOOKUP(E1124,$L$2:$M$26,2,FALSE))</f>
        <v>Home Maintainence/Improvement</v>
      </c>
      <c r="E1124" s="42" t="s">
        <v>342</v>
      </c>
      <c r="F1124" s="42" t="s">
        <v>238</v>
      </c>
      <c r="G1124" s="42">
        <v>-6.54</v>
      </c>
      <c r="H1124" s="42">
        <f t="shared" si="37"/>
        <v>201511</v>
      </c>
      <c r="I1124" s="42">
        <f>MATCH(D1124,$O:$O,0)</f>
        <v>16</v>
      </c>
      <c r="J1124" s="42" t="s">
        <v>39</v>
      </c>
      <c r="K1124" s="42" t="s">
        <v>649</v>
      </c>
      <c r="L1124" s="42"/>
    </row>
    <row r="1125" spans="1:13" x14ac:dyDescent="0.25">
      <c r="A1125" s="42" t="s">
        <v>236</v>
      </c>
      <c r="B1125" s="43">
        <v>42311</v>
      </c>
      <c r="C1125" s="42" t="s">
        <v>887</v>
      </c>
      <c r="D1125" s="42" t="str">
        <f t="shared" si="38"/>
        <v>D-Restaurant</v>
      </c>
      <c r="E1125" s="42" t="s">
        <v>204</v>
      </c>
      <c r="F1125" s="42" t="s">
        <v>238</v>
      </c>
      <c r="G1125" s="42">
        <v>-8.27</v>
      </c>
      <c r="H1125" s="42">
        <f t="shared" si="37"/>
        <v>201511</v>
      </c>
      <c r="I1125" s="42">
        <f>MATCH(D1125,$O:$O,0)</f>
        <v>9</v>
      </c>
      <c r="J1125" s="42" t="s">
        <v>39</v>
      </c>
      <c r="K1125" s="42" t="s">
        <v>649</v>
      </c>
      <c r="L1125" s="42" t="s">
        <v>339</v>
      </c>
    </row>
    <row r="1126" spans="1:13" x14ac:dyDescent="0.25">
      <c r="A1126" s="42" t="s">
        <v>236</v>
      </c>
      <c r="B1126" s="43">
        <v>42312</v>
      </c>
      <c r="C1126" s="42" t="s">
        <v>861</v>
      </c>
      <c r="D1126" s="42" t="str">
        <f t="shared" si="38"/>
        <v>Car Related</v>
      </c>
      <c r="E1126" s="42" t="s">
        <v>185</v>
      </c>
      <c r="F1126" s="42" t="s">
        <v>238</v>
      </c>
      <c r="G1126" s="42">
        <v>-321.52</v>
      </c>
      <c r="H1126" s="42">
        <f t="shared" si="37"/>
        <v>201511</v>
      </c>
      <c r="I1126" s="42">
        <f>MATCH(D1126,$O:$O,0)</f>
        <v>31</v>
      </c>
      <c r="J1126" s="42" t="s">
        <v>39</v>
      </c>
      <c r="K1126" s="42" t="s">
        <v>675</v>
      </c>
      <c r="L1126" s="42"/>
    </row>
    <row r="1127" spans="1:13" x14ac:dyDescent="0.25">
      <c r="A1127" s="42" t="s">
        <v>236</v>
      </c>
      <c r="B1127" s="43">
        <v>42312</v>
      </c>
      <c r="C1127" s="42" t="s">
        <v>716</v>
      </c>
      <c r="D1127" s="42" t="str">
        <f t="shared" si="38"/>
        <v>Finance Charges</v>
      </c>
      <c r="E1127" s="42" t="s">
        <v>220</v>
      </c>
      <c r="F1127" s="42" t="s">
        <v>238</v>
      </c>
      <c r="G1127" s="42">
        <v>-25</v>
      </c>
      <c r="H1127" s="42">
        <f t="shared" si="37"/>
        <v>201511</v>
      </c>
      <c r="I1127" s="42">
        <f>MATCH(D1127,$O:$O,0)</f>
        <v>35</v>
      </c>
      <c r="J1127" s="42" t="s">
        <v>39</v>
      </c>
      <c r="K1127" s="42" t="s">
        <v>630</v>
      </c>
      <c r="L1127" s="42"/>
    </row>
    <row r="1128" spans="1:13" x14ac:dyDescent="0.25">
      <c r="A1128" s="42" t="s">
        <v>236</v>
      </c>
      <c r="B1128" s="43">
        <v>42312</v>
      </c>
      <c r="C1128" s="42" t="s">
        <v>941</v>
      </c>
      <c r="D1128" s="42" t="str">
        <f t="shared" si="38"/>
        <v>Uncategorized</v>
      </c>
      <c r="E1128" s="42" t="s">
        <v>102</v>
      </c>
      <c r="F1128" s="42" t="s">
        <v>238</v>
      </c>
      <c r="G1128" s="42">
        <v>-79.36</v>
      </c>
      <c r="H1128" s="42">
        <f t="shared" si="37"/>
        <v>201511</v>
      </c>
      <c r="I1128" s="42">
        <f>MATCH(D1128,$O:$O,0)</f>
        <v>33</v>
      </c>
      <c r="J1128" s="42" t="s">
        <v>39</v>
      </c>
      <c r="K1128" s="42" t="s">
        <v>649</v>
      </c>
      <c r="L1128" s="42"/>
    </row>
    <row r="1129" spans="1:13" x14ac:dyDescent="0.25">
      <c r="A1129" s="42" t="s">
        <v>236</v>
      </c>
      <c r="B1129" s="43">
        <v>42312</v>
      </c>
      <c r="C1129" s="42" t="s">
        <v>249</v>
      </c>
      <c r="D1129" s="42" t="str">
        <f t="shared" si="38"/>
        <v>Retirement Contributions</v>
      </c>
      <c r="E1129" s="42" t="s">
        <v>263</v>
      </c>
      <c r="F1129" s="42" t="s">
        <v>238</v>
      </c>
      <c r="G1129" s="42">
        <v>536.25</v>
      </c>
      <c r="H1129" s="42">
        <f t="shared" si="37"/>
        <v>201511</v>
      </c>
      <c r="I1129" s="42">
        <f>MATCH(D1129,$O:$O,0)</f>
        <v>39</v>
      </c>
      <c r="J1129" s="42" t="s">
        <v>39</v>
      </c>
      <c r="K1129" s="42" t="s">
        <v>649</v>
      </c>
      <c r="L1129" s="42" t="s">
        <v>950</v>
      </c>
    </row>
    <row r="1130" spans="1:13" x14ac:dyDescent="0.25">
      <c r="A1130" s="42" t="s">
        <v>236</v>
      </c>
      <c r="B1130" s="43">
        <v>42312</v>
      </c>
      <c r="C1130" s="42" t="s">
        <v>887</v>
      </c>
      <c r="D1130" s="42" t="str">
        <f t="shared" si="38"/>
        <v>D-Restaurant</v>
      </c>
      <c r="E1130" s="42" t="s">
        <v>204</v>
      </c>
      <c r="F1130" s="42" t="s">
        <v>238</v>
      </c>
      <c r="G1130" s="42">
        <v>-8.27</v>
      </c>
      <c r="H1130" s="42">
        <f t="shared" si="37"/>
        <v>201511</v>
      </c>
      <c r="I1130" s="42">
        <f>MATCH(D1130,$O:$O,0)</f>
        <v>9</v>
      </c>
      <c r="J1130" s="42" t="s">
        <v>39</v>
      </c>
      <c r="K1130" s="42" t="s">
        <v>632</v>
      </c>
      <c r="L1130" s="42" t="s">
        <v>952</v>
      </c>
    </row>
    <row r="1131" spans="1:13" x14ac:dyDescent="0.25">
      <c r="A1131" s="42" t="s">
        <v>236</v>
      </c>
      <c r="B1131" s="43">
        <v>42313</v>
      </c>
      <c r="C1131" s="42" t="s">
        <v>887</v>
      </c>
      <c r="D1131" s="42" t="str">
        <f t="shared" si="38"/>
        <v>D-Restaurant</v>
      </c>
      <c r="E1131" s="42" t="s">
        <v>204</v>
      </c>
      <c r="F1131" s="42" t="s">
        <v>238</v>
      </c>
      <c r="G1131" s="42">
        <v>-8.5299999999999994</v>
      </c>
      <c r="H1131" s="42">
        <f t="shared" si="37"/>
        <v>201511</v>
      </c>
      <c r="I1131" s="42">
        <f>MATCH(D1131,$O:$O,0)</f>
        <v>9</v>
      </c>
      <c r="J1131" s="42" t="s">
        <v>39</v>
      </c>
      <c r="K1131" s="42" t="s">
        <v>649</v>
      </c>
      <c r="L1131" s="42" t="s">
        <v>193</v>
      </c>
    </row>
    <row r="1132" spans="1:13" x14ac:dyDescent="0.25">
      <c r="A1132" s="42" t="s">
        <v>236</v>
      </c>
      <c r="B1132" s="43">
        <v>42314</v>
      </c>
      <c r="C1132" s="42" t="s">
        <v>936</v>
      </c>
      <c r="D1132" s="42" t="str">
        <f t="shared" si="38"/>
        <v>Gifts</v>
      </c>
      <c r="E1132" s="42" t="s">
        <v>40</v>
      </c>
      <c r="F1132" s="42" t="s">
        <v>238</v>
      </c>
      <c r="G1132" s="42">
        <v>-11.97</v>
      </c>
      <c r="H1132" s="42">
        <f t="shared" si="37"/>
        <v>201511</v>
      </c>
      <c r="I1132" s="42">
        <f>MATCH(D1132,$O:$O,0)</f>
        <v>11</v>
      </c>
      <c r="J1132" s="42" t="s">
        <v>39</v>
      </c>
      <c r="K1132" s="42" t="s">
        <v>649</v>
      </c>
      <c r="L1132" s="42" t="s">
        <v>310</v>
      </c>
    </row>
    <row r="1133" spans="1:13" x14ac:dyDescent="0.25">
      <c r="A1133" s="42" t="s">
        <v>236</v>
      </c>
      <c r="B1133" s="43">
        <v>42314</v>
      </c>
      <c r="C1133" s="42" t="s">
        <v>917</v>
      </c>
      <c r="D1133" s="42" t="str">
        <f t="shared" si="38"/>
        <v>Grocery</v>
      </c>
      <c r="E1133" s="42" t="s">
        <v>385</v>
      </c>
      <c r="F1133" s="42" t="s">
        <v>238</v>
      </c>
      <c r="G1133" s="42">
        <v>-7.49</v>
      </c>
      <c r="H1133" s="42">
        <f t="shared" si="37"/>
        <v>201511</v>
      </c>
      <c r="I1133" s="42">
        <f>MATCH(D1133,$O:$O,0)</f>
        <v>12</v>
      </c>
      <c r="J1133" s="42" t="s">
        <v>39</v>
      </c>
      <c r="K1133" s="42" t="s">
        <v>649</v>
      </c>
      <c r="L1133" s="42" t="s">
        <v>310</v>
      </c>
    </row>
    <row r="1134" spans="1:13" x14ac:dyDescent="0.25">
      <c r="A1134" s="42" t="s">
        <v>236</v>
      </c>
      <c r="B1134" s="43">
        <v>42314</v>
      </c>
      <c r="C1134" s="42" t="s">
        <v>938</v>
      </c>
      <c r="D1134" s="42" t="str">
        <f t="shared" si="38"/>
        <v>Public Transit</v>
      </c>
      <c r="E1134" s="42" t="s">
        <v>90</v>
      </c>
      <c r="F1134" s="42" t="s">
        <v>238</v>
      </c>
      <c r="G1134" s="42">
        <v>-7.2</v>
      </c>
      <c r="H1134" s="42">
        <f t="shared" si="37"/>
        <v>201511</v>
      </c>
      <c r="I1134" s="42">
        <f>MATCH(D1134,$O:$O,0)</f>
        <v>25</v>
      </c>
      <c r="J1134" s="42" t="s">
        <v>39</v>
      </c>
      <c r="K1134" s="42" t="s">
        <v>619</v>
      </c>
      <c r="L1134" s="42" t="s">
        <v>352</v>
      </c>
    </row>
    <row r="1135" spans="1:13" x14ac:dyDescent="0.25">
      <c r="A1135" s="42" t="s">
        <v>236</v>
      </c>
      <c r="B1135" s="43">
        <v>42314</v>
      </c>
      <c r="C1135" s="42" t="s">
        <v>887</v>
      </c>
      <c r="D1135" s="42" t="str">
        <f t="shared" si="38"/>
        <v>D-Restaurant</v>
      </c>
      <c r="E1135" s="42" t="s">
        <v>204</v>
      </c>
      <c r="F1135" s="42" t="s">
        <v>238</v>
      </c>
      <c r="G1135" s="42">
        <v>-8.01</v>
      </c>
      <c r="H1135" s="42">
        <f t="shared" si="37"/>
        <v>201511</v>
      </c>
      <c r="I1135" s="42">
        <f>MATCH(D1135,$O:$O,0)</f>
        <v>9</v>
      </c>
      <c r="J1135" s="42" t="s">
        <v>39</v>
      </c>
      <c r="K1135" s="42" t="s">
        <v>619</v>
      </c>
      <c r="L1135" s="42" t="s">
        <v>310</v>
      </c>
    </row>
    <row r="1136" spans="1:13" x14ac:dyDescent="0.25">
      <c r="A1136" s="42" t="s">
        <v>236</v>
      </c>
      <c r="B1136" s="43">
        <v>42315</v>
      </c>
      <c r="C1136" s="42" t="s">
        <v>887</v>
      </c>
      <c r="D1136" s="42" t="str">
        <f t="shared" si="38"/>
        <v>D-Restaurant</v>
      </c>
      <c r="E1136" s="42" t="s">
        <v>204</v>
      </c>
      <c r="F1136" s="42" t="s">
        <v>238</v>
      </c>
      <c r="G1136" s="42">
        <v>-21.96</v>
      </c>
      <c r="H1136" s="42">
        <f t="shared" si="37"/>
        <v>201511</v>
      </c>
      <c r="I1136" s="42">
        <f>MATCH(D1136,$O:$O,0)</f>
        <v>9</v>
      </c>
      <c r="J1136" s="42" t="s">
        <v>39</v>
      </c>
      <c r="K1136" s="42" t="s">
        <v>649</v>
      </c>
      <c r="L1136" s="42" t="s">
        <v>310</v>
      </c>
    </row>
    <row r="1137" spans="1:13" x14ac:dyDescent="0.25">
      <c r="A1137" s="42" t="s">
        <v>236</v>
      </c>
      <c r="B1137" s="43">
        <v>42315</v>
      </c>
      <c r="C1137" s="42" t="s">
        <v>852</v>
      </c>
      <c r="D1137" s="42" t="str">
        <f t="shared" si="38"/>
        <v>Charity</v>
      </c>
      <c r="E1137" s="42" t="s">
        <v>37</v>
      </c>
      <c r="F1137" s="42" t="s">
        <v>238</v>
      </c>
      <c r="G1137" s="42">
        <v>-200</v>
      </c>
      <c r="H1137" s="42">
        <f t="shared" si="37"/>
        <v>201511</v>
      </c>
      <c r="I1137" s="42">
        <f>MATCH(D1137,$O:$O,0)</f>
        <v>5</v>
      </c>
      <c r="J1137" s="42" t="s">
        <v>39</v>
      </c>
      <c r="K1137" s="42" t="s">
        <v>649</v>
      </c>
      <c r="L1137" s="42" t="s">
        <v>193</v>
      </c>
    </row>
    <row r="1138" spans="1:13" x14ac:dyDescent="0.25">
      <c r="A1138" s="42" t="s">
        <v>236</v>
      </c>
      <c r="B1138" s="43">
        <v>42315</v>
      </c>
      <c r="C1138" s="42" t="s">
        <v>935</v>
      </c>
      <c r="D1138" s="42" t="str">
        <f t="shared" si="38"/>
        <v>D-Coffee</v>
      </c>
      <c r="E1138" s="42" t="s">
        <v>215</v>
      </c>
      <c r="F1138" s="42" t="s">
        <v>238</v>
      </c>
      <c r="G1138" s="42">
        <v>-3.25</v>
      </c>
      <c r="H1138" s="42">
        <f t="shared" si="37"/>
        <v>201511</v>
      </c>
      <c r="I1138" s="42">
        <f>MATCH(D1138,$O:$O,0)</f>
        <v>7</v>
      </c>
      <c r="J1138" s="42" t="s">
        <v>39</v>
      </c>
      <c r="K1138" s="42" t="s">
        <v>649</v>
      </c>
      <c r="L1138" s="42" t="s">
        <v>960</v>
      </c>
    </row>
    <row r="1139" spans="1:13" x14ac:dyDescent="0.25">
      <c r="A1139" s="42" t="s">
        <v>236</v>
      </c>
      <c r="B1139" s="43">
        <v>42315</v>
      </c>
      <c r="C1139" s="42" t="s">
        <v>933</v>
      </c>
      <c r="D1139" s="42" t="str">
        <f t="shared" si="38"/>
        <v>D-Restaurant</v>
      </c>
      <c r="E1139" s="42" t="s">
        <v>204</v>
      </c>
      <c r="F1139" s="42" t="s">
        <v>238</v>
      </c>
      <c r="G1139" s="42">
        <v>-6.87</v>
      </c>
      <c r="H1139" s="42">
        <f t="shared" si="37"/>
        <v>201511</v>
      </c>
      <c r="I1139" s="42">
        <f>MATCH(D1139,$O:$O,0)</f>
        <v>9</v>
      </c>
      <c r="J1139" s="42" t="s">
        <v>39</v>
      </c>
      <c r="K1139" s="42" t="s">
        <v>619</v>
      </c>
      <c r="L1139" s="42" t="s">
        <v>960</v>
      </c>
    </row>
    <row r="1140" spans="1:13" x14ac:dyDescent="0.25">
      <c r="A1140" s="42" t="s">
        <v>236</v>
      </c>
      <c r="B1140" s="43">
        <v>42317</v>
      </c>
      <c r="C1140" s="42" t="s">
        <v>929</v>
      </c>
      <c r="D1140" s="42" t="str">
        <f t="shared" si="38"/>
        <v>Credit Card Payments</v>
      </c>
      <c r="E1140" s="42" t="s">
        <v>242</v>
      </c>
      <c r="F1140" s="42" t="s">
        <v>238</v>
      </c>
      <c r="G1140" s="44">
        <v>-1000</v>
      </c>
      <c r="H1140" s="42">
        <f t="shared" si="37"/>
        <v>201511</v>
      </c>
      <c r="I1140" s="42">
        <f>MATCH(D1140,$O:$O,0)</f>
        <v>38</v>
      </c>
      <c r="J1140" s="42" t="s">
        <v>39</v>
      </c>
      <c r="K1140" s="42" t="s">
        <v>675</v>
      </c>
      <c r="L1140" s="42" t="s">
        <v>223</v>
      </c>
    </row>
    <row r="1141" spans="1:13" x14ac:dyDescent="0.25">
      <c r="A1141" s="42" t="s">
        <v>236</v>
      </c>
      <c r="B1141" s="43">
        <v>42317</v>
      </c>
      <c r="C1141" s="42" t="s">
        <v>930</v>
      </c>
      <c r="D1141" s="42" t="str">
        <f t="shared" si="38"/>
        <v>Credit Card Payments</v>
      </c>
      <c r="E1141" s="42" t="s">
        <v>242</v>
      </c>
      <c r="F1141" s="42" t="s">
        <v>238</v>
      </c>
      <c r="G1141" s="44">
        <v>-2100</v>
      </c>
      <c r="H1141" s="42">
        <f t="shared" si="37"/>
        <v>201511</v>
      </c>
      <c r="I1141" s="42">
        <f>MATCH(D1141,$O:$O,0)</f>
        <v>38</v>
      </c>
      <c r="J1141" s="42" t="s">
        <v>39</v>
      </c>
      <c r="K1141" s="42" t="s">
        <v>675</v>
      </c>
      <c r="L1141" s="42" t="s">
        <v>198</v>
      </c>
    </row>
    <row r="1142" spans="1:13" x14ac:dyDescent="0.25">
      <c r="A1142" s="42" t="s">
        <v>236</v>
      </c>
      <c r="B1142" s="43">
        <v>42317</v>
      </c>
      <c r="C1142" s="42" t="s">
        <v>931</v>
      </c>
      <c r="D1142" s="42" t="str">
        <f t="shared" si="38"/>
        <v>Transfers</v>
      </c>
      <c r="E1142" s="42" t="s">
        <v>226</v>
      </c>
      <c r="F1142" s="42" t="s">
        <v>238</v>
      </c>
      <c r="G1142" s="44">
        <v>9965.43</v>
      </c>
      <c r="H1142" s="42">
        <f t="shared" si="37"/>
        <v>201511</v>
      </c>
      <c r="I1142" s="42">
        <f>MATCH(D1142,$O:$O,0)</f>
        <v>37</v>
      </c>
      <c r="J1142" s="42" t="s">
        <v>39</v>
      </c>
      <c r="K1142" s="42" t="s">
        <v>675</v>
      </c>
      <c r="L1142" s="42" t="s">
        <v>193</v>
      </c>
    </row>
    <row r="1143" spans="1:13" x14ac:dyDescent="0.25">
      <c r="A1143" s="42" t="s">
        <v>236</v>
      </c>
      <c r="B1143" s="43">
        <v>42317</v>
      </c>
      <c r="C1143" s="42" t="s">
        <v>845</v>
      </c>
      <c r="D1143" s="42" t="str">
        <f t="shared" si="38"/>
        <v>Credit Card Payments</v>
      </c>
      <c r="E1143" s="42" t="s">
        <v>242</v>
      </c>
      <c r="F1143" s="42" t="s">
        <v>238</v>
      </c>
      <c r="G1143" s="44">
        <v>1000</v>
      </c>
      <c r="H1143" s="42">
        <f t="shared" si="37"/>
        <v>201511</v>
      </c>
      <c r="I1143" s="42">
        <f>MATCH(D1143,$O:$O,0)</f>
        <v>38</v>
      </c>
      <c r="J1143" s="42" t="s">
        <v>39</v>
      </c>
      <c r="K1143" s="42" t="s">
        <v>630</v>
      </c>
      <c r="L1143" s="42" t="s">
        <v>310</v>
      </c>
    </row>
    <row r="1144" spans="1:13" x14ac:dyDescent="0.25">
      <c r="A1144" s="42" t="s">
        <v>236</v>
      </c>
      <c r="B1144" s="43">
        <v>42317</v>
      </c>
      <c r="C1144" s="42" t="s">
        <v>845</v>
      </c>
      <c r="D1144" s="42" t="str">
        <f t="shared" si="38"/>
        <v>Credit Card Payments</v>
      </c>
      <c r="E1144" s="42" t="s">
        <v>242</v>
      </c>
      <c r="F1144" s="42" t="s">
        <v>238</v>
      </c>
      <c r="G1144" s="44">
        <v>2100</v>
      </c>
      <c r="H1144" s="42">
        <f t="shared" si="37"/>
        <v>201511</v>
      </c>
      <c r="I1144" s="42">
        <f>MATCH(D1144,$O:$O,0)</f>
        <v>38</v>
      </c>
      <c r="J1144" s="42" t="s">
        <v>39</v>
      </c>
      <c r="K1144" s="42" t="s">
        <v>649</v>
      </c>
      <c r="L1144" s="42"/>
      <c r="M1144">
        <v>1</v>
      </c>
    </row>
    <row r="1145" spans="1:13" x14ac:dyDescent="0.25">
      <c r="A1145" s="42" t="s">
        <v>236</v>
      </c>
      <c r="B1145" s="43">
        <v>42317</v>
      </c>
      <c r="C1145" s="42" t="s">
        <v>932</v>
      </c>
      <c r="D1145" s="42" t="str">
        <f t="shared" si="38"/>
        <v>Newspapers</v>
      </c>
      <c r="E1145" s="42" t="s">
        <v>35</v>
      </c>
      <c r="F1145" s="42" t="s">
        <v>238</v>
      </c>
      <c r="G1145" s="42">
        <v>-14.99</v>
      </c>
      <c r="H1145" s="42">
        <f t="shared" si="37"/>
        <v>201511</v>
      </c>
      <c r="I1145" s="42">
        <f>MATCH(D1145,$O:$O,0)</f>
        <v>23</v>
      </c>
      <c r="J1145" s="42" t="s">
        <v>39</v>
      </c>
      <c r="K1145" s="42" t="s">
        <v>619</v>
      </c>
      <c r="L1145" s="42" t="s">
        <v>246</v>
      </c>
    </row>
    <row r="1146" spans="1:13" x14ac:dyDescent="0.25">
      <c r="A1146" s="42" t="s">
        <v>236</v>
      </c>
      <c r="B1146" s="43">
        <v>42318</v>
      </c>
      <c r="C1146" s="42" t="s">
        <v>926</v>
      </c>
      <c r="D1146" s="42" t="str">
        <f t="shared" si="38"/>
        <v>Parent support</v>
      </c>
      <c r="E1146" s="42" t="s">
        <v>1002</v>
      </c>
      <c r="F1146" s="42" t="s">
        <v>238</v>
      </c>
      <c r="G1146" s="42">
        <v>-229.2</v>
      </c>
      <c r="H1146" s="42">
        <f t="shared" si="37"/>
        <v>201511</v>
      </c>
      <c r="I1146" s="42">
        <f>MATCH(D1146,$O:$O,0)</f>
        <v>24</v>
      </c>
      <c r="J1146" s="42" t="s">
        <v>39</v>
      </c>
      <c r="K1146" s="42" t="s">
        <v>649</v>
      </c>
      <c r="L1146" s="42" t="s">
        <v>193</v>
      </c>
    </row>
    <row r="1147" spans="1:13" x14ac:dyDescent="0.25">
      <c r="A1147" s="42" t="s">
        <v>236</v>
      </c>
      <c r="B1147" s="43">
        <v>42318</v>
      </c>
      <c r="C1147" s="42" t="s">
        <v>928</v>
      </c>
      <c r="D1147" s="42" t="str">
        <f t="shared" si="38"/>
        <v>Parent support</v>
      </c>
      <c r="E1147" s="42" t="s">
        <v>1002</v>
      </c>
      <c r="F1147" s="42" t="s">
        <v>238</v>
      </c>
      <c r="G1147" s="42">
        <v>-229.2</v>
      </c>
      <c r="H1147" s="42">
        <f t="shared" si="37"/>
        <v>201511</v>
      </c>
      <c r="I1147" s="42">
        <f>MATCH(D1147,$O:$O,0)</f>
        <v>24</v>
      </c>
      <c r="J1147" s="42" t="s">
        <v>39</v>
      </c>
      <c r="K1147" s="42" t="s">
        <v>649</v>
      </c>
      <c r="L1147" s="42" t="s">
        <v>193</v>
      </c>
    </row>
    <row r="1148" spans="1:13" x14ac:dyDescent="0.25">
      <c r="A1148" s="42" t="s">
        <v>236</v>
      </c>
      <c r="B1148" s="43">
        <v>42318</v>
      </c>
      <c r="C1148" s="42" t="s">
        <v>565</v>
      </c>
      <c r="D1148" s="42" t="str">
        <f t="shared" si="38"/>
        <v>Grocery</v>
      </c>
      <c r="E1148" s="42" t="s">
        <v>192</v>
      </c>
      <c r="F1148" s="42" t="s">
        <v>238</v>
      </c>
      <c r="G1148" s="42">
        <v>-23.55</v>
      </c>
      <c r="H1148" s="42">
        <f t="shared" si="37"/>
        <v>201511</v>
      </c>
      <c r="I1148" s="42">
        <f>MATCH(D1148,$O:$O,0)</f>
        <v>12</v>
      </c>
      <c r="J1148" s="42" t="s">
        <v>39</v>
      </c>
      <c r="K1148" s="42" t="s">
        <v>649</v>
      </c>
      <c r="L1148" s="42" t="s">
        <v>333</v>
      </c>
    </row>
    <row r="1149" spans="1:13" x14ac:dyDescent="0.25">
      <c r="A1149" s="42" t="s">
        <v>236</v>
      </c>
      <c r="B1149" s="43">
        <v>42318</v>
      </c>
      <c r="C1149" s="42" t="s">
        <v>885</v>
      </c>
      <c r="D1149" s="42" t="str">
        <f t="shared" si="38"/>
        <v>Grocery</v>
      </c>
      <c r="E1149" s="42" t="s">
        <v>192</v>
      </c>
      <c r="F1149" s="42" t="s">
        <v>238</v>
      </c>
      <c r="G1149" s="42">
        <v>-11.98</v>
      </c>
      <c r="H1149" s="42">
        <f t="shared" si="37"/>
        <v>201511</v>
      </c>
      <c r="I1149" s="42">
        <f>MATCH(D1149,$O:$O,0)</f>
        <v>12</v>
      </c>
      <c r="J1149" s="42" t="s">
        <v>39</v>
      </c>
      <c r="K1149" s="42" t="s">
        <v>649</v>
      </c>
      <c r="L1149" s="42" t="s">
        <v>886</v>
      </c>
    </row>
    <row r="1150" spans="1:13" x14ac:dyDescent="0.25">
      <c r="A1150" s="42" t="s">
        <v>236</v>
      </c>
      <c r="B1150" s="43">
        <v>42318</v>
      </c>
      <c r="C1150" s="42" t="s">
        <v>887</v>
      </c>
      <c r="D1150" s="42" t="str">
        <f t="shared" si="38"/>
        <v>D-Restaurant</v>
      </c>
      <c r="E1150" s="42" t="s">
        <v>204</v>
      </c>
      <c r="F1150" s="42" t="s">
        <v>238</v>
      </c>
      <c r="G1150" s="42">
        <v>-8.01</v>
      </c>
      <c r="H1150" s="42">
        <f t="shared" si="37"/>
        <v>201511</v>
      </c>
      <c r="I1150" s="42">
        <f>MATCH(D1150,$O:$O,0)</f>
        <v>9</v>
      </c>
      <c r="J1150" s="42" t="s">
        <v>39</v>
      </c>
      <c r="K1150" s="42" t="s">
        <v>649</v>
      </c>
      <c r="L1150" s="42"/>
    </row>
    <row r="1151" spans="1:13" x14ac:dyDescent="0.25">
      <c r="A1151" s="42" t="s">
        <v>236</v>
      </c>
      <c r="B1151" s="43">
        <v>42319</v>
      </c>
      <c r="C1151" s="42" t="s">
        <v>923</v>
      </c>
      <c r="D1151" s="42" t="str">
        <f t="shared" si="38"/>
        <v>D-Restaurant</v>
      </c>
      <c r="E1151" s="42" t="s">
        <v>204</v>
      </c>
      <c r="F1151" s="42" t="s">
        <v>238</v>
      </c>
      <c r="G1151" s="42">
        <v>-60.69</v>
      </c>
      <c r="H1151" s="42">
        <f t="shared" si="37"/>
        <v>201511</v>
      </c>
      <c r="I1151" s="42">
        <f>MATCH(D1151,$O:$O,0)</f>
        <v>9</v>
      </c>
      <c r="J1151" s="42" t="s">
        <v>39</v>
      </c>
      <c r="K1151" s="42" t="s">
        <v>649</v>
      </c>
      <c r="L1151" s="42" t="s">
        <v>326</v>
      </c>
    </row>
    <row r="1152" spans="1:13" x14ac:dyDescent="0.25">
      <c r="A1152" s="42" t="s">
        <v>236</v>
      </c>
      <c r="B1152" s="43">
        <v>42319</v>
      </c>
      <c r="C1152" s="42" t="s">
        <v>924</v>
      </c>
      <c r="D1152" s="42" t="str">
        <f t="shared" si="38"/>
        <v>D-Restaurant</v>
      </c>
      <c r="E1152" s="42" t="s">
        <v>204</v>
      </c>
      <c r="F1152" s="42" t="s">
        <v>238</v>
      </c>
      <c r="G1152" s="42">
        <v>-60.45</v>
      </c>
      <c r="H1152" s="42">
        <f t="shared" si="37"/>
        <v>201511</v>
      </c>
      <c r="I1152" s="42">
        <f>MATCH(D1152,$O:$O,0)</f>
        <v>9</v>
      </c>
      <c r="J1152" s="42" t="s">
        <v>39</v>
      </c>
      <c r="K1152" s="42" t="s">
        <v>649</v>
      </c>
      <c r="L1152" s="42"/>
    </row>
    <row r="1153" spans="1:13" x14ac:dyDescent="0.25">
      <c r="A1153" s="42" t="s">
        <v>236</v>
      </c>
      <c r="B1153" s="43">
        <v>42319</v>
      </c>
      <c r="C1153" s="42" t="s">
        <v>911</v>
      </c>
      <c r="D1153" s="42" t="str">
        <f t="shared" si="38"/>
        <v>Public Transit</v>
      </c>
      <c r="E1153" s="42" t="s">
        <v>90</v>
      </c>
      <c r="F1153" s="42" t="s">
        <v>238</v>
      </c>
      <c r="G1153" s="42">
        <v>-20</v>
      </c>
      <c r="H1153" s="42">
        <f t="shared" si="37"/>
        <v>201511</v>
      </c>
      <c r="I1153" s="42">
        <f>MATCH(D1153,$O:$O,0)</f>
        <v>25</v>
      </c>
      <c r="J1153" s="42" t="s">
        <v>39</v>
      </c>
      <c r="K1153" s="42" t="s">
        <v>649</v>
      </c>
      <c r="L1153" s="42" t="s">
        <v>310</v>
      </c>
    </row>
    <row r="1154" spans="1:13" x14ac:dyDescent="0.25">
      <c r="A1154" s="42" t="s">
        <v>236</v>
      </c>
      <c r="B1154" s="43">
        <v>42319</v>
      </c>
      <c r="C1154" s="42" t="s">
        <v>925</v>
      </c>
      <c r="D1154" s="42" t="str">
        <f t="shared" si="38"/>
        <v>Parking</v>
      </c>
      <c r="E1154" s="42" t="s">
        <v>170</v>
      </c>
      <c r="F1154" s="42" t="s">
        <v>238</v>
      </c>
      <c r="G1154" s="42">
        <v>-7.5</v>
      </c>
      <c r="H1154" s="42">
        <f t="shared" ref="H1154:H1217" si="39">YEAR(B1154)*100+MONTH(B1154)</f>
        <v>201511</v>
      </c>
      <c r="I1154" s="42">
        <f>MATCH(D1154,$O:$O,0)</f>
        <v>32</v>
      </c>
      <c r="J1154" s="42" t="s">
        <v>39</v>
      </c>
      <c r="K1154" s="42" t="s">
        <v>649</v>
      </c>
      <c r="L1154" s="42" t="s">
        <v>939</v>
      </c>
    </row>
    <row r="1155" spans="1:13" x14ac:dyDescent="0.25">
      <c r="A1155" s="42" t="s">
        <v>236</v>
      </c>
      <c r="B1155" s="43">
        <v>42319</v>
      </c>
      <c r="C1155" s="42" t="s">
        <v>567</v>
      </c>
      <c r="D1155" s="42" t="str">
        <f t="shared" si="38"/>
        <v>Uncategorized</v>
      </c>
      <c r="E1155" s="42" t="s">
        <v>102</v>
      </c>
      <c r="F1155" s="42" t="s">
        <v>238</v>
      </c>
      <c r="G1155" s="42">
        <v>-1.2</v>
      </c>
      <c r="H1155" s="42">
        <f t="shared" si="39"/>
        <v>201511</v>
      </c>
      <c r="I1155" s="42">
        <f>MATCH(D1155,$O:$O,0)</f>
        <v>33</v>
      </c>
      <c r="J1155" s="42" t="s">
        <v>39</v>
      </c>
      <c r="K1155" s="42" t="s">
        <v>649</v>
      </c>
      <c r="L1155" s="42" t="s">
        <v>965</v>
      </c>
    </row>
    <row r="1156" spans="1:13" x14ac:dyDescent="0.25">
      <c r="A1156" s="42" t="s">
        <v>236</v>
      </c>
      <c r="B1156" s="43">
        <v>42320</v>
      </c>
      <c r="C1156" s="42" t="s">
        <v>921</v>
      </c>
      <c r="D1156" s="42" t="str">
        <f t="shared" si="38"/>
        <v>D-Restaurant</v>
      </c>
      <c r="E1156" s="42" t="s">
        <v>204</v>
      </c>
      <c r="F1156" s="42" t="s">
        <v>238</v>
      </c>
      <c r="G1156" s="42">
        <v>-9.2100000000000009</v>
      </c>
      <c r="H1156" s="42">
        <f t="shared" si="39"/>
        <v>201511</v>
      </c>
      <c r="I1156" s="42">
        <f>MATCH(D1156,$O:$O,0)</f>
        <v>9</v>
      </c>
      <c r="J1156" s="42" t="s">
        <v>39</v>
      </c>
      <c r="K1156" s="42" t="s">
        <v>803</v>
      </c>
      <c r="L1156" s="42" t="s">
        <v>967</v>
      </c>
    </row>
    <row r="1157" spans="1:13" x14ac:dyDescent="0.25">
      <c r="A1157" s="42" t="s">
        <v>236</v>
      </c>
      <c r="B1157" s="43">
        <v>42320</v>
      </c>
      <c r="C1157" s="42" t="s">
        <v>918</v>
      </c>
      <c r="D1157" s="42" t="str">
        <f t="shared" si="38"/>
        <v>Utility</v>
      </c>
      <c r="E1157" s="42" t="s">
        <v>19</v>
      </c>
      <c r="F1157" s="42" t="s">
        <v>238</v>
      </c>
      <c r="G1157" s="42">
        <v>-54.31</v>
      </c>
      <c r="H1157" s="42">
        <f t="shared" si="39"/>
        <v>201511</v>
      </c>
      <c r="I1157" s="42">
        <f>MATCH(D1157,$O:$O,0)</f>
        <v>34</v>
      </c>
      <c r="J1157" s="42" t="s">
        <v>39</v>
      </c>
      <c r="K1157" s="42" t="s">
        <v>649</v>
      </c>
      <c r="L1157" s="42"/>
    </row>
    <row r="1158" spans="1:13" x14ac:dyDescent="0.25">
      <c r="A1158" s="42" t="s">
        <v>236</v>
      </c>
      <c r="B1158" s="43">
        <v>42320</v>
      </c>
      <c r="C1158" s="42" t="s">
        <v>887</v>
      </c>
      <c r="D1158" s="42" t="str">
        <f t="shared" si="38"/>
        <v>D-Restaurant</v>
      </c>
      <c r="E1158" s="42" t="s">
        <v>204</v>
      </c>
      <c r="F1158" s="42" t="s">
        <v>238</v>
      </c>
      <c r="G1158" s="42">
        <v>-8.27</v>
      </c>
      <c r="H1158" s="42">
        <f t="shared" si="39"/>
        <v>201511</v>
      </c>
      <c r="I1158" s="42">
        <f>MATCH(D1158,$O:$O,0)</f>
        <v>9</v>
      </c>
      <c r="J1158" s="42" t="s">
        <v>39</v>
      </c>
      <c r="K1158" s="42" t="s">
        <v>649</v>
      </c>
      <c r="L1158" s="42"/>
    </row>
    <row r="1159" spans="1:13" x14ac:dyDescent="0.25">
      <c r="A1159" s="42" t="s">
        <v>236</v>
      </c>
      <c r="B1159" s="43">
        <v>42320</v>
      </c>
      <c r="C1159" s="42" t="s">
        <v>885</v>
      </c>
      <c r="D1159" s="42" t="str">
        <f t="shared" si="38"/>
        <v>Grocery</v>
      </c>
      <c r="E1159" s="42" t="s">
        <v>192</v>
      </c>
      <c r="F1159" s="42" t="s">
        <v>238</v>
      </c>
      <c r="G1159" s="42">
        <v>-8.81</v>
      </c>
      <c r="H1159" s="42">
        <f t="shared" si="39"/>
        <v>201511</v>
      </c>
      <c r="I1159" s="42">
        <f>MATCH(D1159,$O:$O,0)</f>
        <v>12</v>
      </c>
      <c r="J1159" s="42" t="s">
        <v>39</v>
      </c>
      <c r="K1159" s="42" t="s">
        <v>649</v>
      </c>
      <c r="L1159" s="42" t="s">
        <v>969</v>
      </c>
    </row>
    <row r="1160" spans="1:13" x14ac:dyDescent="0.25">
      <c r="A1160" s="42" t="s">
        <v>236</v>
      </c>
      <c r="B1160" s="43">
        <v>42320</v>
      </c>
      <c r="C1160" s="42" t="s">
        <v>893</v>
      </c>
      <c r="D1160" s="42" t="str">
        <f t="shared" si="38"/>
        <v>D-Coffee</v>
      </c>
      <c r="E1160" s="42" t="s">
        <v>215</v>
      </c>
      <c r="F1160" s="42" t="s">
        <v>238</v>
      </c>
      <c r="G1160" s="42">
        <v>-2.75</v>
      </c>
      <c r="H1160" s="42">
        <f t="shared" si="39"/>
        <v>201511</v>
      </c>
      <c r="I1160" s="42">
        <f>MATCH(D1160,$O:$O,0)</f>
        <v>7</v>
      </c>
      <c r="J1160" s="42" t="s">
        <v>39</v>
      </c>
      <c r="K1160" s="42" t="s">
        <v>649</v>
      </c>
      <c r="L1160" s="42"/>
      <c r="M1160">
        <v>1</v>
      </c>
    </row>
    <row r="1161" spans="1:13" x14ac:dyDescent="0.25">
      <c r="A1161" s="42" t="s">
        <v>236</v>
      </c>
      <c r="B1161" s="43">
        <v>42320</v>
      </c>
      <c r="C1161" s="42" t="s">
        <v>919</v>
      </c>
      <c r="D1161" s="42" t="str">
        <f t="shared" si="38"/>
        <v>D-Restaurant</v>
      </c>
      <c r="E1161" s="42" t="s">
        <v>204</v>
      </c>
      <c r="F1161" s="42" t="s">
        <v>238</v>
      </c>
      <c r="G1161" s="42">
        <v>-2.63</v>
      </c>
      <c r="H1161" s="42">
        <f t="shared" si="39"/>
        <v>201511</v>
      </c>
      <c r="I1161" s="42">
        <f>MATCH(D1161,$O:$O,0)</f>
        <v>9</v>
      </c>
      <c r="J1161" s="42" t="s">
        <v>39</v>
      </c>
      <c r="K1161" s="42" t="s">
        <v>649</v>
      </c>
      <c r="L1161" s="42"/>
    </row>
    <row r="1162" spans="1:13" x14ac:dyDescent="0.25">
      <c r="A1162" s="42" t="s">
        <v>236</v>
      </c>
      <c r="B1162" s="43">
        <v>42321</v>
      </c>
      <c r="C1162" s="42" t="s">
        <v>887</v>
      </c>
      <c r="D1162" s="42" t="str">
        <f t="shared" si="38"/>
        <v>D-Restaurant</v>
      </c>
      <c r="E1162" s="42" t="s">
        <v>204</v>
      </c>
      <c r="F1162" s="42" t="s">
        <v>238</v>
      </c>
      <c r="G1162" s="46">
        <v>-8.27</v>
      </c>
      <c r="H1162" s="42">
        <f t="shared" si="39"/>
        <v>201511</v>
      </c>
      <c r="I1162" s="42">
        <f>MATCH(D1162,$O:$O,0)</f>
        <v>9</v>
      </c>
      <c r="J1162" s="42" t="s">
        <v>39</v>
      </c>
      <c r="K1162" s="42" t="s">
        <v>803</v>
      </c>
      <c r="L1162" s="42"/>
    </row>
    <row r="1163" spans="1:13" x14ac:dyDescent="0.25">
      <c r="A1163" s="42" t="s">
        <v>236</v>
      </c>
      <c r="B1163" s="43">
        <v>42321</v>
      </c>
      <c r="C1163" s="42" t="s">
        <v>916</v>
      </c>
      <c r="D1163" s="42" t="str">
        <f t="shared" si="38"/>
        <v>Paychecks/Salary</v>
      </c>
      <c r="E1163" s="42" t="s">
        <v>375</v>
      </c>
      <c r="F1163" s="42" t="s">
        <v>238</v>
      </c>
      <c r="G1163" s="48">
        <v>3258.94</v>
      </c>
      <c r="H1163" s="42">
        <f t="shared" si="39"/>
        <v>201511</v>
      </c>
      <c r="I1163" s="42">
        <f>MATCH(D1163,$O:$O,0)</f>
        <v>40</v>
      </c>
      <c r="J1163" s="42" t="s">
        <v>39</v>
      </c>
      <c r="K1163" s="42" t="s">
        <v>649</v>
      </c>
      <c r="L1163" s="42" t="s">
        <v>193</v>
      </c>
    </row>
    <row r="1164" spans="1:13" x14ac:dyDescent="0.25">
      <c r="A1164" s="42" t="s">
        <v>236</v>
      </c>
      <c r="B1164" s="43">
        <v>42321</v>
      </c>
      <c r="C1164" s="42" t="s">
        <v>917</v>
      </c>
      <c r="D1164" s="42" t="str">
        <f t="shared" si="38"/>
        <v>Grocery</v>
      </c>
      <c r="E1164" s="42" t="s">
        <v>385</v>
      </c>
      <c r="F1164" s="42" t="s">
        <v>238</v>
      </c>
      <c r="G1164" s="42">
        <v>-97.41</v>
      </c>
      <c r="H1164" s="42">
        <f t="shared" si="39"/>
        <v>201511</v>
      </c>
      <c r="I1164" s="42">
        <f>MATCH(D1164,$O:$O,0)</f>
        <v>12</v>
      </c>
      <c r="J1164" s="42" t="s">
        <v>39</v>
      </c>
      <c r="K1164" s="42" t="s">
        <v>619</v>
      </c>
      <c r="L1164" s="42" t="s">
        <v>310</v>
      </c>
    </row>
    <row r="1165" spans="1:13" x14ac:dyDescent="0.25">
      <c r="A1165" s="42" t="s">
        <v>236</v>
      </c>
      <c r="B1165" s="43">
        <v>42322</v>
      </c>
      <c r="C1165" s="42" t="s">
        <v>911</v>
      </c>
      <c r="D1165" s="42" t="str">
        <f t="shared" si="38"/>
        <v>Public Transit</v>
      </c>
      <c r="E1165" s="42" t="s">
        <v>90</v>
      </c>
      <c r="F1165" s="42" t="s">
        <v>238</v>
      </c>
      <c r="G1165" s="42">
        <v>-20</v>
      </c>
      <c r="H1165" s="42">
        <f t="shared" si="39"/>
        <v>201511</v>
      </c>
      <c r="I1165" s="42">
        <f>MATCH(D1165,$O:$O,0)</f>
        <v>25</v>
      </c>
      <c r="J1165" s="42" t="s">
        <v>39</v>
      </c>
      <c r="K1165" s="42" t="s">
        <v>649</v>
      </c>
      <c r="L1165" s="42" t="s">
        <v>819</v>
      </c>
    </row>
    <row r="1166" spans="1:13" x14ac:dyDescent="0.25">
      <c r="A1166" s="42" t="s">
        <v>236</v>
      </c>
      <c r="B1166" s="43">
        <v>42322</v>
      </c>
      <c r="C1166" s="42" t="s">
        <v>915</v>
      </c>
      <c r="D1166" s="42" t="str">
        <f t="shared" si="38"/>
        <v>Grocery</v>
      </c>
      <c r="E1166" s="42" t="s">
        <v>385</v>
      </c>
      <c r="F1166" s="42" t="s">
        <v>238</v>
      </c>
      <c r="G1166" s="42">
        <v>-4.24</v>
      </c>
      <c r="H1166" s="42">
        <f t="shared" si="39"/>
        <v>201511</v>
      </c>
      <c r="I1166" s="42">
        <f>MATCH(D1166,$O:$O,0)</f>
        <v>12</v>
      </c>
      <c r="J1166" s="42" t="s">
        <v>39</v>
      </c>
      <c r="K1166" s="42" t="s">
        <v>649</v>
      </c>
      <c r="L1166" s="42"/>
    </row>
    <row r="1167" spans="1:13" x14ac:dyDescent="0.25">
      <c r="A1167" s="42" t="s">
        <v>236</v>
      </c>
      <c r="B1167" s="43">
        <v>42322</v>
      </c>
      <c r="C1167" s="42" t="s">
        <v>900</v>
      </c>
      <c r="D1167" s="42" t="str">
        <f t="shared" si="38"/>
        <v>Gas</v>
      </c>
      <c r="E1167" s="42" t="s">
        <v>311</v>
      </c>
      <c r="F1167" s="42" t="s">
        <v>238</v>
      </c>
      <c r="G1167" s="42">
        <v>-24.31</v>
      </c>
      <c r="H1167" s="42">
        <f t="shared" si="39"/>
        <v>201511</v>
      </c>
      <c r="I1167" s="42">
        <f>MATCH(D1167,$O:$O,0)</f>
        <v>30</v>
      </c>
      <c r="J1167" s="42" t="s">
        <v>39</v>
      </c>
      <c r="K1167" s="42" t="s">
        <v>619</v>
      </c>
      <c r="L1167" s="42" t="s">
        <v>340</v>
      </c>
    </row>
    <row r="1168" spans="1:13" x14ac:dyDescent="0.25">
      <c r="A1168" s="42" t="s">
        <v>236</v>
      </c>
      <c r="B1168" s="43">
        <v>42324</v>
      </c>
      <c r="C1168" s="42" t="s">
        <v>914</v>
      </c>
      <c r="D1168" s="42" t="str">
        <f t="shared" si="38"/>
        <v>D-Restaurant</v>
      </c>
      <c r="E1168" s="42" t="s">
        <v>204</v>
      </c>
      <c r="F1168" s="42" t="s">
        <v>238</v>
      </c>
      <c r="G1168" s="42">
        <v>-58.23</v>
      </c>
      <c r="H1168" s="42">
        <f t="shared" si="39"/>
        <v>201511</v>
      </c>
      <c r="I1168" s="42">
        <f>MATCH(D1168,$O:$O,0)</f>
        <v>9</v>
      </c>
      <c r="J1168" s="42" t="s">
        <v>39</v>
      </c>
      <c r="K1168" s="42" t="s">
        <v>619</v>
      </c>
      <c r="L1168" s="42"/>
    </row>
    <row r="1169" spans="1:12" x14ac:dyDescent="0.25">
      <c r="A1169" s="42" t="s">
        <v>236</v>
      </c>
      <c r="B1169" s="43">
        <v>42324</v>
      </c>
      <c r="C1169" s="42" t="s">
        <v>912</v>
      </c>
      <c r="D1169" s="42" t="str">
        <f t="shared" si="38"/>
        <v>Grocery</v>
      </c>
      <c r="E1169" s="42" t="s">
        <v>385</v>
      </c>
      <c r="F1169" s="42" t="s">
        <v>238</v>
      </c>
      <c r="G1169" s="42">
        <v>-20.56</v>
      </c>
      <c r="H1169" s="42">
        <f t="shared" si="39"/>
        <v>201511</v>
      </c>
      <c r="I1169" s="42">
        <f>MATCH(D1169,$O:$O,0)</f>
        <v>12</v>
      </c>
      <c r="J1169" s="42" t="s">
        <v>39</v>
      </c>
      <c r="K1169" s="42" t="s">
        <v>649</v>
      </c>
      <c r="L1169" s="42" t="s">
        <v>334</v>
      </c>
    </row>
    <row r="1170" spans="1:12" x14ac:dyDescent="0.25">
      <c r="A1170" s="42" t="s">
        <v>236</v>
      </c>
      <c r="B1170" s="43">
        <v>42324</v>
      </c>
      <c r="C1170" s="42" t="s">
        <v>682</v>
      </c>
      <c r="D1170" s="42" t="str">
        <f t="shared" si="38"/>
        <v>Parking</v>
      </c>
      <c r="E1170" s="42" t="s">
        <v>170</v>
      </c>
      <c r="F1170" s="42" t="s">
        <v>238</v>
      </c>
      <c r="G1170" s="42">
        <v>-6</v>
      </c>
      <c r="H1170" s="42">
        <f t="shared" si="39"/>
        <v>201511</v>
      </c>
      <c r="I1170" s="42">
        <f>MATCH(D1170,$O:$O,0)</f>
        <v>32</v>
      </c>
      <c r="J1170" s="42" t="s">
        <v>39</v>
      </c>
      <c r="K1170" s="42" t="s">
        <v>649</v>
      </c>
      <c r="L1170" s="42" t="s">
        <v>811</v>
      </c>
    </row>
    <row r="1171" spans="1:12" x14ac:dyDescent="0.25">
      <c r="A1171" s="42" t="s">
        <v>236</v>
      </c>
      <c r="B1171" s="43">
        <v>42324</v>
      </c>
      <c r="C1171" s="42" t="s">
        <v>913</v>
      </c>
      <c r="D1171" s="42" t="str">
        <f t="shared" si="38"/>
        <v>Gifts</v>
      </c>
      <c r="E1171" s="42" t="s">
        <v>40</v>
      </c>
      <c r="F1171" s="42" t="s">
        <v>238</v>
      </c>
      <c r="G1171" s="42">
        <v>-45</v>
      </c>
      <c r="H1171" s="42">
        <f t="shared" si="39"/>
        <v>201511</v>
      </c>
      <c r="I1171" s="42">
        <f>MATCH(D1171,$O:$O,0)</f>
        <v>11</v>
      </c>
      <c r="J1171" s="42" t="s">
        <v>39</v>
      </c>
      <c r="K1171" s="42" t="s">
        <v>649</v>
      </c>
      <c r="L1171" s="42" t="s">
        <v>974</v>
      </c>
    </row>
    <row r="1172" spans="1:12" x14ac:dyDescent="0.25">
      <c r="A1172" s="42" t="s">
        <v>236</v>
      </c>
      <c r="B1172" s="43">
        <v>42324</v>
      </c>
      <c r="C1172" s="42" t="s">
        <v>853</v>
      </c>
      <c r="D1172" s="42" t="str">
        <f t="shared" si="38"/>
        <v>Parking</v>
      </c>
      <c r="E1172" s="42" t="s">
        <v>170</v>
      </c>
      <c r="F1172" s="42" t="s">
        <v>238</v>
      </c>
      <c r="G1172" s="42">
        <v>-7.25</v>
      </c>
      <c r="H1172" s="42">
        <f t="shared" si="39"/>
        <v>201511</v>
      </c>
      <c r="I1172" s="42">
        <f>MATCH(D1172,$O:$O,0)</f>
        <v>32</v>
      </c>
      <c r="J1172" s="42" t="s">
        <v>39</v>
      </c>
      <c r="K1172" s="42" t="s">
        <v>649</v>
      </c>
      <c r="L1172" s="42" t="s">
        <v>333</v>
      </c>
    </row>
    <row r="1173" spans="1:12" x14ac:dyDescent="0.25">
      <c r="A1173" s="42" t="s">
        <v>236</v>
      </c>
      <c r="B1173" s="43">
        <v>42325</v>
      </c>
      <c r="C1173" s="42" t="s">
        <v>887</v>
      </c>
      <c r="D1173" s="42" t="str">
        <f t="shared" si="38"/>
        <v>D-Restaurant</v>
      </c>
      <c r="E1173" s="42" t="s">
        <v>204</v>
      </c>
      <c r="F1173" s="42" t="s">
        <v>238</v>
      </c>
      <c r="G1173" s="42">
        <v>-8.9700000000000006</v>
      </c>
      <c r="H1173" s="42">
        <f t="shared" si="39"/>
        <v>201511</v>
      </c>
      <c r="I1173" s="42">
        <f>MATCH(D1173,$O:$O,0)</f>
        <v>9</v>
      </c>
      <c r="J1173" s="42" t="s">
        <v>39</v>
      </c>
      <c r="K1173" s="42" t="s">
        <v>649</v>
      </c>
      <c r="L1173" s="42"/>
    </row>
    <row r="1174" spans="1:12" x14ac:dyDescent="0.25">
      <c r="A1174" s="42" t="s">
        <v>236</v>
      </c>
      <c r="B1174" s="43">
        <v>42325</v>
      </c>
      <c r="C1174" s="42" t="s">
        <v>249</v>
      </c>
      <c r="D1174" s="42" t="str">
        <f t="shared" si="38"/>
        <v>Retirement Contributions</v>
      </c>
      <c r="E1174" s="42" t="s">
        <v>263</v>
      </c>
      <c r="F1174" s="42" t="s">
        <v>238</v>
      </c>
      <c r="G1174" s="42">
        <v>536.25</v>
      </c>
      <c r="H1174" s="42">
        <f t="shared" si="39"/>
        <v>201511</v>
      </c>
      <c r="I1174" s="42">
        <f>MATCH(D1174,$O:$O,0)</f>
        <v>39</v>
      </c>
      <c r="J1174" s="42" t="s">
        <v>39</v>
      </c>
      <c r="K1174" s="42" t="s">
        <v>632</v>
      </c>
      <c r="L1174" s="42" t="s">
        <v>310</v>
      </c>
    </row>
    <row r="1175" spans="1:12" x14ac:dyDescent="0.25">
      <c r="A1175" s="42" t="s">
        <v>236</v>
      </c>
      <c r="B1175" s="43">
        <v>42326</v>
      </c>
      <c r="C1175" s="42" t="s">
        <v>907</v>
      </c>
      <c r="D1175" s="42" t="str">
        <f t="shared" si="38"/>
        <v>D-Restaurant</v>
      </c>
      <c r="E1175" s="42" t="s">
        <v>204</v>
      </c>
      <c r="F1175" s="42" t="s">
        <v>238</v>
      </c>
      <c r="G1175" s="42">
        <v>-62</v>
      </c>
      <c r="H1175" s="42">
        <f t="shared" si="39"/>
        <v>201511</v>
      </c>
      <c r="I1175" s="42">
        <f>MATCH(D1175,$O:$O,0)</f>
        <v>9</v>
      </c>
      <c r="J1175" s="42" t="s">
        <v>39</v>
      </c>
      <c r="K1175" s="42" t="s">
        <v>649</v>
      </c>
      <c r="L1175" s="42"/>
    </row>
    <row r="1176" spans="1:12" x14ac:dyDescent="0.25">
      <c r="A1176" s="42" t="s">
        <v>236</v>
      </c>
      <c r="B1176" s="43">
        <v>42326</v>
      </c>
      <c r="C1176" s="42" t="s">
        <v>858</v>
      </c>
      <c r="D1176" s="42" t="str">
        <f t="shared" si="38"/>
        <v>Grocery</v>
      </c>
      <c r="E1176" s="42" t="s">
        <v>192</v>
      </c>
      <c r="F1176" s="42" t="s">
        <v>238</v>
      </c>
      <c r="G1176" s="42">
        <v>-15.14</v>
      </c>
      <c r="H1176" s="42">
        <f t="shared" si="39"/>
        <v>201511</v>
      </c>
      <c r="I1176" s="42">
        <f>MATCH(D1176,$O:$O,0)</f>
        <v>12</v>
      </c>
      <c r="J1176" s="42" t="s">
        <v>39</v>
      </c>
      <c r="K1176" s="42" t="s">
        <v>649</v>
      </c>
      <c r="L1176" s="42" t="s">
        <v>339</v>
      </c>
    </row>
    <row r="1177" spans="1:12" x14ac:dyDescent="0.25">
      <c r="A1177" s="42" t="s">
        <v>236</v>
      </c>
      <c r="B1177" s="43">
        <v>42326</v>
      </c>
      <c r="C1177" s="42" t="s">
        <v>908</v>
      </c>
      <c r="D1177" s="42" t="str">
        <f t="shared" si="38"/>
        <v>Gifts</v>
      </c>
      <c r="E1177" s="42" t="s">
        <v>40</v>
      </c>
      <c r="F1177" s="42" t="s">
        <v>238</v>
      </c>
      <c r="G1177" s="42">
        <v>-87.58</v>
      </c>
      <c r="H1177" s="42">
        <f t="shared" si="39"/>
        <v>201511</v>
      </c>
      <c r="I1177" s="42">
        <f>MATCH(D1177,$O:$O,0)</f>
        <v>11</v>
      </c>
      <c r="J1177" s="42" t="s">
        <v>39</v>
      </c>
      <c r="K1177" s="42" t="s">
        <v>649</v>
      </c>
      <c r="L1177" s="42" t="s">
        <v>960</v>
      </c>
    </row>
    <row r="1178" spans="1:12" x14ac:dyDescent="0.25">
      <c r="A1178" s="42" t="s">
        <v>236</v>
      </c>
      <c r="B1178" s="43">
        <v>42326</v>
      </c>
      <c r="C1178" s="42" t="s">
        <v>910</v>
      </c>
      <c r="D1178" s="42" t="str">
        <f t="shared" si="38"/>
        <v>Parking</v>
      </c>
      <c r="E1178" s="42" t="s">
        <v>170</v>
      </c>
      <c r="F1178" s="42" t="s">
        <v>238</v>
      </c>
      <c r="G1178" s="42">
        <v>-8.25</v>
      </c>
      <c r="H1178" s="42">
        <f t="shared" si="39"/>
        <v>201511</v>
      </c>
      <c r="I1178" s="42">
        <f>MATCH(D1178,$O:$O,0)</f>
        <v>32</v>
      </c>
      <c r="J1178" s="42" t="s">
        <v>39</v>
      </c>
      <c r="K1178" s="42" t="s">
        <v>649</v>
      </c>
      <c r="L1178" s="42"/>
    </row>
    <row r="1179" spans="1:12" x14ac:dyDescent="0.25">
      <c r="A1179" s="42" t="s">
        <v>236</v>
      </c>
      <c r="B1179" s="43">
        <v>42326</v>
      </c>
      <c r="C1179" s="42" t="s">
        <v>911</v>
      </c>
      <c r="D1179" s="42" t="str">
        <f t="shared" si="38"/>
        <v>Public Transit</v>
      </c>
      <c r="E1179" s="42" t="s">
        <v>90</v>
      </c>
      <c r="F1179" s="42" t="s">
        <v>238</v>
      </c>
      <c r="G1179" s="42">
        <v>-20</v>
      </c>
      <c r="H1179" s="42">
        <f t="shared" si="39"/>
        <v>201511</v>
      </c>
      <c r="I1179" s="42">
        <f>MATCH(D1179,$O:$O,0)</f>
        <v>25</v>
      </c>
      <c r="J1179" s="42" t="s">
        <v>39</v>
      </c>
      <c r="K1179" s="42" t="s">
        <v>649</v>
      </c>
      <c r="L1179" s="42"/>
    </row>
    <row r="1180" spans="1:12" x14ac:dyDescent="0.25">
      <c r="A1180" s="42" t="s">
        <v>236</v>
      </c>
      <c r="B1180" s="43">
        <v>42327</v>
      </c>
      <c r="C1180" s="42" t="s">
        <v>600</v>
      </c>
      <c r="D1180" s="42" t="str">
        <f t="shared" si="38"/>
        <v>D-Restaurant</v>
      </c>
      <c r="E1180" s="42" t="s">
        <v>204</v>
      </c>
      <c r="F1180" s="42" t="s">
        <v>238</v>
      </c>
      <c r="G1180" s="42">
        <v>-8.1999999999999993</v>
      </c>
      <c r="H1180" s="42">
        <f t="shared" si="39"/>
        <v>201511</v>
      </c>
      <c r="I1180" s="42">
        <f>MATCH(D1180,$O:$O,0)</f>
        <v>9</v>
      </c>
      <c r="J1180" s="42" t="s">
        <v>39</v>
      </c>
      <c r="K1180" s="42" t="s">
        <v>649</v>
      </c>
      <c r="L1180" s="42" t="s">
        <v>310</v>
      </c>
    </row>
    <row r="1181" spans="1:12" x14ac:dyDescent="0.25">
      <c r="A1181" s="42" t="s">
        <v>236</v>
      </c>
      <c r="B1181" s="43">
        <v>42327</v>
      </c>
      <c r="C1181" s="42" t="s">
        <v>656</v>
      </c>
      <c r="D1181" s="42" t="str">
        <f t="shared" si="38"/>
        <v>D-Restaurant</v>
      </c>
      <c r="E1181" s="42" t="s">
        <v>204</v>
      </c>
      <c r="F1181" s="42" t="s">
        <v>238</v>
      </c>
      <c r="G1181" s="42">
        <v>-4.5</v>
      </c>
      <c r="H1181" s="42">
        <f t="shared" si="39"/>
        <v>201511</v>
      </c>
      <c r="I1181" s="42">
        <f>MATCH(D1181,$O:$O,0)</f>
        <v>9</v>
      </c>
      <c r="J1181" s="42" t="s">
        <v>39</v>
      </c>
      <c r="K1181" s="42" t="s">
        <v>649</v>
      </c>
      <c r="L1181" s="42" t="s">
        <v>200</v>
      </c>
    </row>
    <row r="1182" spans="1:12" x14ac:dyDescent="0.25">
      <c r="A1182" s="42" t="s">
        <v>236</v>
      </c>
      <c r="B1182" s="43">
        <v>42328</v>
      </c>
      <c r="C1182" s="42" t="s">
        <v>902</v>
      </c>
      <c r="D1182" s="42" t="str">
        <f t="shared" si="38"/>
        <v>D-Restaurant</v>
      </c>
      <c r="E1182" s="42" t="s">
        <v>204</v>
      </c>
      <c r="F1182" s="42" t="s">
        <v>238</v>
      </c>
      <c r="G1182" s="42">
        <v>-30.45</v>
      </c>
      <c r="H1182" s="42">
        <f t="shared" si="39"/>
        <v>201511</v>
      </c>
      <c r="I1182" s="42">
        <f>MATCH(D1182,$O:$O,0)</f>
        <v>9</v>
      </c>
      <c r="J1182" s="42" t="s">
        <v>39</v>
      </c>
      <c r="K1182" s="42" t="s">
        <v>803</v>
      </c>
      <c r="L1182" s="42"/>
    </row>
    <row r="1183" spans="1:12" x14ac:dyDescent="0.25">
      <c r="A1183" s="42" t="s">
        <v>236</v>
      </c>
      <c r="B1183" s="43">
        <v>42328</v>
      </c>
      <c r="C1183" s="42" t="s">
        <v>901</v>
      </c>
      <c r="D1183" s="42" t="str">
        <f t="shared" si="38"/>
        <v>D-Restaurant</v>
      </c>
      <c r="E1183" s="42" t="s">
        <v>204</v>
      </c>
      <c r="F1183" s="42" t="s">
        <v>238</v>
      </c>
      <c r="G1183" s="42">
        <v>-30.29</v>
      </c>
      <c r="H1183" s="42">
        <f t="shared" si="39"/>
        <v>201511</v>
      </c>
      <c r="I1183" s="42">
        <f>MATCH(D1183,$O:$O,0)</f>
        <v>9</v>
      </c>
      <c r="J1183" s="42" t="s">
        <v>39</v>
      </c>
      <c r="K1183" s="42" t="s">
        <v>619</v>
      </c>
      <c r="L1183" s="42" t="s">
        <v>200</v>
      </c>
    </row>
    <row r="1184" spans="1:12" x14ac:dyDescent="0.25">
      <c r="A1184" s="42" t="s">
        <v>236</v>
      </c>
      <c r="B1184" s="43">
        <v>42328</v>
      </c>
      <c r="C1184" s="42" t="s">
        <v>887</v>
      </c>
      <c r="D1184" s="42" t="str">
        <f t="shared" si="38"/>
        <v>D-Restaurant</v>
      </c>
      <c r="E1184" s="42" t="s">
        <v>204</v>
      </c>
      <c r="F1184" s="42" t="s">
        <v>238</v>
      </c>
      <c r="G1184" s="42">
        <v>-8.9700000000000006</v>
      </c>
      <c r="H1184" s="42">
        <f t="shared" si="39"/>
        <v>201511</v>
      </c>
      <c r="I1184" s="42">
        <f>MATCH(D1184,$O:$O,0)</f>
        <v>9</v>
      </c>
      <c r="J1184" s="42" t="s">
        <v>39</v>
      </c>
      <c r="K1184" s="42" t="s">
        <v>649</v>
      </c>
      <c r="L1184" s="42" t="s">
        <v>200</v>
      </c>
    </row>
    <row r="1185" spans="1:12" x14ac:dyDescent="0.25">
      <c r="A1185" s="42" t="s">
        <v>236</v>
      </c>
      <c r="B1185" s="43">
        <v>42328</v>
      </c>
      <c r="C1185" s="42" t="s">
        <v>475</v>
      </c>
      <c r="D1185" s="42" t="str">
        <f t="shared" si="38"/>
        <v>Public Transit</v>
      </c>
      <c r="E1185" s="42" t="s">
        <v>90</v>
      </c>
      <c r="F1185" s="42" t="s">
        <v>238</v>
      </c>
      <c r="G1185" s="42">
        <v>6</v>
      </c>
      <c r="H1185" s="42">
        <f t="shared" si="39"/>
        <v>201511</v>
      </c>
      <c r="I1185" s="42">
        <f>MATCH(D1185,$O:$O,0)</f>
        <v>25</v>
      </c>
      <c r="J1185" s="42" t="s">
        <v>39</v>
      </c>
      <c r="K1185" s="42" t="s">
        <v>649</v>
      </c>
      <c r="L1185" s="42" t="s">
        <v>200</v>
      </c>
    </row>
    <row r="1186" spans="1:12" x14ac:dyDescent="0.25">
      <c r="A1186" s="42" t="s">
        <v>236</v>
      </c>
      <c r="B1186" s="43">
        <v>42328</v>
      </c>
      <c r="C1186" s="42" t="s">
        <v>900</v>
      </c>
      <c r="D1186" s="42" t="str">
        <f t="shared" si="38"/>
        <v>Gas</v>
      </c>
      <c r="E1186" s="42" t="s">
        <v>311</v>
      </c>
      <c r="F1186" s="42" t="s">
        <v>238</v>
      </c>
      <c r="G1186" s="42">
        <v>-27.8</v>
      </c>
      <c r="H1186" s="42">
        <f t="shared" si="39"/>
        <v>201511</v>
      </c>
      <c r="I1186" s="42">
        <f>MATCH(D1186,$O:$O,0)</f>
        <v>30</v>
      </c>
      <c r="J1186" s="42" t="s">
        <v>39</v>
      </c>
      <c r="K1186" s="42" t="s">
        <v>649</v>
      </c>
      <c r="L1186" s="42" t="s">
        <v>229</v>
      </c>
    </row>
    <row r="1187" spans="1:12" x14ac:dyDescent="0.25">
      <c r="A1187" s="42" t="s">
        <v>236</v>
      </c>
      <c r="B1187" s="43">
        <v>42328</v>
      </c>
      <c r="C1187" s="42" t="s">
        <v>904</v>
      </c>
      <c r="D1187" s="42" t="str">
        <f t="shared" si="38"/>
        <v>Utility</v>
      </c>
      <c r="E1187" s="42" t="s">
        <v>19</v>
      </c>
      <c r="F1187" s="42" t="s">
        <v>238</v>
      </c>
      <c r="G1187" s="42">
        <v>-267.62</v>
      </c>
      <c r="H1187" s="42">
        <f t="shared" si="39"/>
        <v>201511</v>
      </c>
      <c r="I1187" s="42">
        <f>MATCH(D1187,$O:$O,0)</f>
        <v>34</v>
      </c>
      <c r="J1187" s="42" t="s">
        <v>39</v>
      </c>
      <c r="K1187" s="42" t="s">
        <v>649</v>
      </c>
      <c r="L1187" s="42"/>
    </row>
    <row r="1188" spans="1:12" x14ac:dyDescent="0.25">
      <c r="A1188" s="42" t="s">
        <v>236</v>
      </c>
      <c r="B1188" s="43">
        <v>42328</v>
      </c>
      <c r="C1188" s="42" t="s">
        <v>905</v>
      </c>
      <c r="D1188" s="42" t="str">
        <f t="shared" ref="D1188:D1251" si="40">IF(ISNA(VLOOKUP(E1188,$L$2:$M$26,2,FALSE)),E1188,VLOOKUP(E1188,$L$2:$M$26,2,FALSE))</f>
        <v>D-Restaurant</v>
      </c>
      <c r="E1188" s="42" t="s">
        <v>204</v>
      </c>
      <c r="F1188" s="42" t="s">
        <v>238</v>
      </c>
      <c r="G1188" s="42">
        <v>-2.75</v>
      </c>
      <c r="H1188" s="42">
        <f t="shared" si="39"/>
        <v>201511</v>
      </c>
      <c r="I1188" s="42">
        <f>MATCH(D1188,$O:$O,0)</f>
        <v>9</v>
      </c>
      <c r="J1188" s="42" t="s">
        <v>39</v>
      </c>
      <c r="K1188" s="42" t="s">
        <v>649</v>
      </c>
      <c r="L1188" s="42" t="s">
        <v>979</v>
      </c>
    </row>
    <row r="1189" spans="1:12" x14ac:dyDescent="0.25">
      <c r="A1189" s="42" t="s">
        <v>236</v>
      </c>
      <c r="B1189" s="43">
        <v>42329</v>
      </c>
      <c r="C1189" s="42" t="s">
        <v>899</v>
      </c>
      <c r="D1189" s="42" t="str">
        <f t="shared" si="40"/>
        <v>Grocery</v>
      </c>
      <c r="E1189" s="42" t="s">
        <v>192</v>
      </c>
      <c r="F1189" s="42" t="s">
        <v>238</v>
      </c>
      <c r="G1189" s="42">
        <v>-37.19</v>
      </c>
      <c r="H1189" s="42">
        <f t="shared" si="39"/>
        <v>201511</v>
      </c>
      <c r="I1189" s="42">
        <f>MATCH(D1189,$O:$O,0)</f>
        <v>12</v>
      </c>
      <c r="J1189" s="42" t="s">
        <v>39</v>
      </c>
      <c r="K1189" s="42" t="s">
        <v>649</v>
      </c>
      <c r="L1189" s="42" t="s">
        <v>879</v>
      </c>
    </row>
    <row r="1190" spans="1:12" x14ac:dyDescent="0.25">
      <c r="A1190" s="42" t="s">
        <v>236</v>
      </c>
      <c r="B1190" s="43">
        <v>42331</v>
      </c>
      <c r="C1190" s="42" t="s">
        <v>897</v>
      </c>
      <c r="D1190" s="42" t="str">
        <f t="shared" si="40"/>
        <v>D-Coffee</v>
      </c>
      <c r="E1190" s="42" t="s">
        <v>215</v>
      </c>
      <c r="F1190" s="42" t="s">
        <v>238</v>
      </c>
      <c r="G1190" s="42">
        <v>-2.4500000000000002</v>
      </c>
      <c r="H1190" s="42">
        <f t="shared" si="39"/>
        <v>201511</v>
      </c>
      <c r="I1190" s="42">
        <f>MATCH(D1190,$O:$O,0)</f>
        <v>7</v>
      </c>
      <c r="J1190" s="42" t="s">
        <v>39</v>
      </c>
      <c r="K1190" s="42" t="s">
        <v>649</v>
      </c>
      <c r="L1190" s="42" t="s">
        <v>979</v>
      </c>
    </row>
    <row r="1191" spans="1:12" x14ac:dyDescent="0.25">
      <c r="A1191" s="42" t="s">
        <v>236</v>
      </c>
      <c r="B1191" s="43">
        <v>42331</v>
      </c>
      <c r="C1191" s="42" t="s">
        <v>565</v>
      </c>
      <c r="D1191" s="42" t="str">
        <f t="shared" si="40"/>
        <v>Grocery</v>
      </c>
      <c r="E1191" s="42" t="s">
        <v>192</v>
      </c>
      <c r="F1191" s="42" t="s">
        <v>238</v>
      </c>
      <c r="G1191" s="42">
        <v>-17.47</v>
      </c>
      <c r="H1191" s="42">
        <f t="shared" si="39"/>
        <v>201511</v>
      </c>
      <c r="I1191" s="42">
        <f>MATCH(D1191,$O:$O,0)</f>
        <v>12</v>
      </c>
      <c r="J1191" s="42" t="s">
        <v>39</v>
      </c>
      <c r="K1191" s="42" t="s">
        <v>649</v>
      </c>
      <c r="L1191" s="42" t="s">
        <v>981</v>
      </c>
    </row>
    <row r="1192" spans="1:12" x14ac:dyDescent="0.25">
      <c r="A1192" s="42" t="s">
        <v>236</v>
      </c>
      <c r="B1192" s="43">
        <v>42332</v>
      </c>
      <c r="C1192" s="42" t="s">
        <v>887</v>
      </c>
      <c r="D1192" s="42" t="str">
        <f t="shared" si="40"/>
        <v>D-Restaurant</v>
      </c>
      <c r="E1192" s="42" t="s">
        <v>204</v>
      </c>
      <c r="F1192" s="42" t="s">
        <v>238</v>
      </c>
      <c r="G1192" s="42">
        <v>-8.01</v>
      </c>
      <c r="H1192" s="42">
        <f t="shared" si="39"/>
        <v>201511</v>
      </c>
      <c r="I1192" s="42">
        <f>MATCH(D1192,$O:$O,0)</f>
        <v>9</v>
      </c>
      <c r="J1192" s="42" t="s">
        <v>39</v>
      </c>
      <c r="K1192" s="42" t="s">
        <v>649</v>
      </c>
      <c r="L1192" s="42" t="s">
        <v>320</v>
      </c>
    </row>
    <row r="1193" spans="1:12" x14ac:dyDescent="0.25">
      <c r="A1193" s="42" t="s">
        <v>236</v>
      </c>
      <c r="B1193" s="43">
        <v>42332</v>
      </c>
      <c r="C1193" s="42" t="s">
        <v>847</v>
      </c>
      <c r="D1193" s="42" t="str">
        <f t="shared" si="40"/>
        <v>Grocery</v>
      </c>
      <c r="E1193" s="42" t="s">
        <v>192</v>
      </c>
      <c r="F1193" s="42" t="s">
        <v>238</v>
      </c>
      <c r="G1193" s="42">
        <v>-109.25</v>
      </c>
      <c r="H1193" s="42">
        <f t="shared" si="39"/>
        <v>201511</v>
      </c>
      <c r="I1193" s="42">
        <f>MATCH(D1193,$O:$O,0)</f>
        <v>12</v>
      </c>
      <c r="J1193" s="42" t="s">
        <v>39</v>
      </c>
      <c r="K1193" s="42" t="s">
        <v>649</v>
      </c>
      <c r="L1193" s="42" t="s">
        <v>727</v>
      </c>
    </row>
    <row r="1194" spans="1:12" x14ac:dyDescent="0.25">
      <c r="A1194" s="42" t="s">
        <v>236</v>
      </c>
      <c r="B1194" s="43">
        <v>42332</v>
      </c>
      <c r="C1194" s="42" t="s">
        <v>894</v>
      </c>
      <c r="D1194" s="42" t="str">
        <f t="shared" si="40"/>
        <v>Movies/Software/Online Service</v>
      </c>
      <c r="E1194" s="42" t="s">
        <v>167</v>
      </c>
      <c r="F1194" s="42" t="s">
        <v>238</v>
      </c>
      <c r="G1194" s="42">
        <v>-7.99</v>
      </c>
      <c r="H1194" s="42">
        <f t="shared" si="39"/>
        <v>201511</v>
      </c>
      <c r="I1194" s="42">
        <f>MATCH(D1194,$O:$O,0)</f>
        <v>22</v>
      </c>
      <c r="J1194" s="42" t="s">
        <v>39</v>
      </c>
      <c r="K1194" s="42" t="s">
        <v>649</v>
      </c>
      <c r="L1194" s="42" t="s">
        <v>983</v>
      </c>
    </row>
    <row r="1195" spans="1:12" x14ac:dyDescent="0.25">
      <c r="A1195" s="42" t="s">
        <v>236</v>
      </c>
      <c r="B1195" s="43">
        <v>42332</v>
      </c>
      <c r="C1195" s="42" t="s">
        <v>896</v>
      </c>
      <c r="D1195" s="42" t="str">
        <f t="shared" si="40"/>
        <v>Grocery</v>
      </c>
      <c r="E1195" s="42" t="s">
        <v>385</v>
      </c>
      <c r="F1195" s="42" t="s">
        <v>238</v>
      </c>
      <c r="G1195" s="42">
        <v>-55.94</v>
      </c>
      <c r="H1195" s="42">
        <f t="shared" si="39"/>
        <v>201511</v>
      </c>
      <c r="I1195" s="42">
        <f>MATCH(D1195,$O:$O,0)</f>
        <v>12</v>
      </c>
      <c r="J1195" s="42" t="s">
        <v>39</v>
      </c>
      <c r="K1195" s="42" t="s">
        <v>619</v>
      </c>
      <c r="L1195" s="42"/>
    </row>
    <row r="1196" spans="1:12" x14ac:dyDescent="0.25">
      <c r="A1196" s="42" t="s">
        <v>236</v>
      </c>
      <c r="B1196" s="43">
        <v>42333</v>
      </c>
      <c r="C1196" s="42" t="s">
        <v>682</v>
      </c>
      <c r="D1196" s="42" t="str">
        <f t="shared" si="40"/>
        <v>Parking</v>
      </c>
      <c r="E1196" s="42" t="s">
        <v>170</v>
      </c>
      <c r="F1196" s="42" t="s">
        <v>238</v>
      </c>
      <c r="G1196" s="42">
        <v>-4</v>
      </c>
      <c r="H1196" s="42">
        <f t="shared" si="39"/>
        <v>201511</v>
      </c>
      <c r="I1196" s="42">
        <f>MATCH(D1196,$O:$O,0)</f>
        <v>32</v>
      </c>
      <c r="J1196" s="42" t="s">
        <v>39</v>
      </c>
      <c r="K1196" s="42" t="s">
        <v>649</v>
      </c>
      <c r="L1196" s="42"/>
    </row>
    <row r="1197" spans="1:12" x14ac:dyDescent="0.25">
      <c r="A1197" s="42" t="s">
        <v>236</v>
      </c>
      <c r="B1197" s="43">
        <v>42333</v>
      </c>
      <c r="C1197" s="42" t="s">
        <v>863</v>
      </c>
      <c r="D1197" s="42" t="str">
        <f t="shared" si="40"/>
        <v>Parking</v>
      </c>
      <c r="E1197" s="42" t="s">
        <v>170</v>
      </c>
      <c r="F1197" s="42" t="s">
        <v>238</v>
      </c>
      <c r="G1197" s="42">
        <v>-6</v>
      </c>
      <c r="H1197" s="42">
        <f t="shared" si="39"/>
        <v>201511</v>
      </c>
      <c r="I1197" s="42">
        <f>MATCH(D1197,$O:$O,0)</f>
        <v>32</v>
      </c>
      <c r="J1197" s="42" t="s">
        <v>39</v>
      </c>
      <c r="K1197" s="42" t="s">
        <v>649</v>
      </c>
      <c r="L1197" s="42"/>
    </row>
    <row r="1198" spans="1:12" x14ac:dyDescent="0.25">
      <c r="A1198" s="42" t="s">
        <v>236</v>
      </c>
      <c r="B1198" s="43">
        <v>42333</v>
      </c>
      <c r="C1198" s="42" t="s">
        <v>784</v>
      </c>
      <c r="D1198" s="42" t="str">
        <f t="shared" si="40"/>
        <v>Grocery</v>
      </c>
      <c r="E1198" s="42" t="s">
        <v>192</v>
      </c>
      <c r="F1198" s="42" t="s">
        <v>238</v>
      </c>
      <c r="G1198" s="42">
        <v>-5.37</v>
      </c>
      <c r="H1198" s="42">
        <f t="shared" si="39"/>
        <v>201511</v>
      </c>
      <c r="I1198" s="42">
        <f>MATCH(D1198,$O:$O,0)</f>
        <v>12</v>
      </c>
      <c r="J1198" s="42" t="s">
        <v>39</v>
      </c>
      <c r="K1198" s="42" t="s">
        <v>649</v>
      </c>
      <c r="L1198" s="42" t="s">
        <v>986</v>
      </c>
    </row>
    <row r="1199" spans="1:12" x14ac:dyDescent="0.25">
      <c r="A1199" s="42" t="s">
        <v>236</v>
      </c>
      <c r="B1199" s="43">
        <v>42333</v>
      </c>
      <c r="C1199" s="42" t="s">
        <v>747</v>
      </c>
      <c r="D1199" s="42" t="str">
        <f t="shared" si="40"/>
        <v>Cell Phone</v>
      </c>
      <c r="E1199" s="42" t="s">
        <v>224</v>
      </c>
      <c r="F1199" s="42" t="s">
        <v>238</v>
      </c>
      <c r="G1199" s="42">
        <v>-76.319999999999993</v>
      </c>
      <c r="H1199" s="42">
        <f t="shared" si="39"/>
        <v>201511</v>
      </c>
      <c r="I1199" s="42">
        <f>MATCH(D1199,$O:$O,0)</f>
        <v>4</v>
      </c>
      <c r="J1199" s="42" t="s">
        <v>39</v>
      </c>
      <c r="K1199" s="42" t="s">
        <v>649</v>
      </c>
      <c r="L1199" s="42" t="s">
        <v>353</v>
      </c>
    </row>
    <row r="1200" spans="1:12" x14ac:dyDescent="0.25">
      <c r="A1200" s="42" t="s">
        <v>236</v>
      </c>
      <c r="B1200" s="43">
        <v>42333</v>
      </c>
      <c r="C1200" s="42" t="s">
        <v>893</v>
      </c>
      <c r="D1200" s="42" t="str">
        <f t="shared" si="40"/>
        <v>D-Coffee</v>
      </c>
      <c r="E1200" s="42" t="s">
        <v>215</v>
      </c>
      <c r="F1200" s="42" t="s">
        <v>238</v>
      </c>
      <c r="G1200" s="42">
        <v>-4.41</v>
      </c>
      <c r="H1200" s="42">
        <f t="shared" si="39"/>
        <v>201511</v>
      </c>
      <c r="I1200" s="42">
        <f>MATCH(D1200,$O:$O,0)</f>
        <v>7</v>
      </c>
      <c r="J1200" s="42" t="s">
        <v>39</v>
      </c>
      <c r="K1200" s="42" t="s">
        <v>649</v>
      </c>
      <c r="L1200" s="42" t="s">
        <v>252</v>
      </c>
    </row>
    <row r="1201" spans="1:12" x14ac:dyDescent="0.25">
      <c r="A1201" s="42" t="s">
        <v>236</v>
      </c>
      <c r="B1201" s="43">
        <v>42334</v>
      </c>
      <c r="C1201" s="42" t="s">
        <v>892</v>
      </c>
      <c r="D1201" s="42" t="str">
        <f t="shared" si="40"/>
        <v>Gas</v>
      </c>
      <c r="E1201" s="42" t="s">
        <v>311</v>
      </c>
      <c r="F1201" s="42" t="s">
        <v>238</v>
      </c>
      <c r="G1201" s="42">
        <v>-24.86</v>
      </c>
      <c r="H1201" s="42">
        <f t="shared" si="39"/>
        <v>201511</v>
      </c>
      <c r="I1201" s="42">
        <f>MATCH(D1201,$O:$O,0)</f>
        <v>30</v>
      </c>
      <c r="J1201" s="42" t="s">
        <v>39</v>
      </c>
      <c r="K1201" s="42" t="s">
        <v>619</v>
      </c>
      <c r="L1201" s="42"/>
    </row>
    <row r="1202" spans="1:12" x14ac:dyDescent="0.25">
      <c r="A1202" s="42" t="s">
        <v>236</v>
      </c>
      <c r="B1202" s="43">
        <v>42335</v>
      </c>
      <c r="C1202" s="42" t="s">
        <v>890</v>
      </c>
      <c r="D1202" s="42" t="str">
        <f t="shared" si="40"/>
        <v>D-Restaurant</v>
      </c>
      <c r="E1202" s="42" t="s">
        <v>204</v>
      </c>
      <c r="F1202" s="42" t="s">
        <v>238</v>
      </c>
      <c r="G1202" s="42">
        <v>-72</v>
      </c>
      <c r="H1202" s="42">
        <f t="shared" si="39"/>
        <v>201511</v>
      </c>
      <c r="I1202" s="42">
        <f>MATCH(D1202,$O:$O,0)</f>
        <v>9</v>
      </c>
      <c r="J1202" s="42" t="s">
        <v>39</v>
      </c>
      <c r="K1202" s="42" t="s">
        <v>649</v>
      </c>
      <c r="L1202" s="42"/>
    </row>
    <row r="1203" spans="1:12" x14ac:dyDescent="0.25">
      <c r="A1203" s="42" t="s">
        <v>236</v>
      </c>
      <c r="B1203" s="43">
        <v>42335</v>
      </c>
      <c r="C1203" s="42" t="s">
        <v>782</v>
      </c>
      <c r="D1203" s="42" t="str">
        <f t="shared" si="40"/>
        <v>D-Restaurant</v>
      </c>
      <c r="E1203" s="42" t="s">
        <v>204</v>
      </c>
      <c r="F1203" s="42" t="s">
        <v>238</v>
      </c>
      <c r="G1203" s="42">
        <v>-27</v>
      </c>
      <c r="H1203" s="42">
        <f t="shared" si="39"/>
        <v>201511</v>
      </c>
      <c r="I1203" s="42">
        <f>MATCH(D1203,$O:$O,0)</f>
        <v>9</v>
      </c>
      <c r="J1203" s="42" t="s">
        <v>39</v>
      </c>
      <c r="K1203" s="42" t="s">
        <v>649</v>
      </c>
      <c r="L1203" s="42" t="s">
        <v>727</v>
      </c>
    </row>
    <row r="1204" spans="1:12" x14ac:dyDescent="0.25">
      <c r="A1204" s="42" t="s">
        <v>236</v>
      </c>
      <c r="B1204" s="43">
        <v>42335</v>
      </c>
      <c r="C1204" s="42" t="s">
        <v>887</v>
      </c>
      <c r="D1204" s="42" t="str">
        <f t="shared" si="40"/>
        <v>D-Restaurant</v>
      </c>
      <c r="E1204" s="42" t="s">
        <v>204</v>
      </c>
      <c r="F1204" s="42" t="s">
        <v>238</v>
      </c>
      <c r="G1204" s="42">
        <v>-8.41</v>
      </c>
      <c r="H1204" s="42">
        <f t="shared" si="39"/>
        <v>201511</v>
      </c>
      <c r="I1204" s="42">
        <f>MATCH(D1204,$O:$O,0)</f>
        <v>9</v>
      </c>
      <c r="J1204" s="42" t="s">
        <v>39</v>
      </c>
      <c r="K1204" s="42" t="s">
        <v>649</v>
      </c>
      <c r="L1204" s="42" t="s">
        <v>989</v>
      </c>
    </row>
    <row r="1205" spans="1:12" x14ac:dyDescent="0.25">
      <c r="A1205" s="42" t="s">
        <v>236</v>
      </c>
      <c r="B1205" s="43">
        <v>42335</v>
      </c>
      <c r="C1205" s="42" t="s">
        <v>565</v>
      </c>
      <c r="D1205" s="42" t="str">
        <f t="shared" si="40"/>
        <v>Grocery</v>
      </c>
      <c r="E1205" s="42" t="s">
        <v>192</v>
      </c>
      <c r="F1205" s="42" t="s">
        <v>238</v>
      </c>
      <c r="G1205" s="42">
        <v>-10.11</v>
      </c>
      <c r="H1205" s="42">
        <f t="shared" si="39"/>
        <v>201511</v>
      </c>
      <c r="I1205" s="42">
        <f>MATCH(D1205,$O:$O,0)</f>
        <v>12</v>
      </c>
      <c r="J1205" s="42" t="s">
        <v>39</v>
      </c>
      <c r="K1205" s="42" t="s">
        <v>649</v>
      </c>
      <c r="L1205" s="42" t="s">
        <v>333</v>
      </c>
    </row>
    <row r="1206" spans="1:12" x14ac:dyDescent="0.25">
      <c r="A1206" s="42" t="s">
        <v>236</v>
      </c>
      <c r="B1206" s="43">
        <v>42335</v>
      </c>
      <c r="C1206" s="42" t="s">
        <v>565</v>
      </c>
      <c r="D1206" s="42" t="str">
        <f t="shared" si="40"/>
        <v>Grocery</v>
      </c>
      <c r="E1206" s="42" t="s">
        <v>192</v>
      </c>
      <c r="F1206" s="42" t="s">
        <v>238</v>
      </c>
      <c r="G1206" s="42">
        <v>-23.46</v>
      </c>
      <c r="H1206" s="42">
        <f t="shared" si="39"/>
        <v>201511</v>
      </c>
      <c r="I1206" s="42">
        <f>MATCH(D1206,$O:$O,0)</f>
        <v>12</v>
      </c>
      <c r="J1206" s="42" t="s">
        <v>39</v>
      </c>
      <c r="K1206" s="42" t="s">
        <v>649</v>
      </c>
      <c r="L1206" s="42" t="s">
        <v>310</v>
      </c>
    </row>
    <row r="1207" spans="1:12" x14ac:dyDescent="0.25">
      <c r="A1207" s="42" t="s">
        <v>236</v>
      </c>
      <c r="B1207" s="43">
        <v>42335</v>
      </c>
      <c r="C1207" s="42" t="s">
        <v>885</v>
      </c>
      <c r="D1207" s="42" t="str">
        <f t="shared" si="40"/>
        <v>Grocery</v>
      </c>
      <c r="E1207" s="42" t="s">
        <v>192</v>
      </c>
      <c r="F1207" s="42" t="s">
        <v>238</v>
      </c>
      <c r="G1207" s="42">
        <v>-25.43</v>
      </c>
      <c r="H1207" s="42">
        <f t="shared" si="39"/>
        <v>201511</v>
      </c>
      <c r="I1207" s="42">
        <f>MATCH(D1207,$O:$O,0)</f>
        <v>12</v>
      </c>
      <c r="J1207" s="42" t="s">
        <v>39</v>
      </c>
      <c r="K1207" s="42" t="s">
        <v>649</v>
      </c>
      <c r="L1207" s="42" t="s">
        <v>965</v>
      </c>
    </row>
    <row r="1208" spans="1:12" x14ac:dyDescent="0.25">
      <c r="A1208" s="42" t="s">
        <v>236</v>
      </c>
      <c r="B1208" s="43">
        <v>42335</v>
      </c>
      <c r="C1208" s="42" t="s">
        <v>650</v>
      </c>
      <c r="D1208" s="42" t="str">
        <f t="shared" si="40"/>
        <v>D-Coffee</v>
      </c>
      <c r="E1208" s="42" t="s">
        <v>215</v>
      </c>
      <c r="F1208" s="42" t="s">
        <v>238</v>
      </c>
      <c r="G1208" s="42">
        <v>-25</v>
      </c>
      <c r="H1208" s="42">
        <f t="shared" si="39"/>
        <v>201511</v>
      </c>
      <c r="I1208" s="42">
        <f>MATCH(D1208,$O:$O,0)</f>
        <v>7</v>
      </c>
      <c r="J1208" s="42" t="s">
        <v>39</v>
      </c>
      <c r="K1208" s="42" t="s">
        <v>649</v>
      </c>
      <c r="L1208" s="42"/>
    </row>
    <row r="1209" spans="1:12" x14ac:dyDescent="0.25">
      <c r="A1209" s="42" t="s">
        <v>236</v>
      </c>
      <c r="B1209" s="43">
        <v>42335</v>
      </c>
      <c r="C1209" s="42" t="s">
        <v>889</v>
      </c>
      <c r="D1209" s="42" t="str">
        <f t="shared" si="40"/>
        <v>Uncategorized</v>
      </c>
      <c r="E1209" s="42" t="s">
        <v>102</v>
      </c>
      <c r="F1209" s="42" t="s">
        <v>238</v>
      </c>
      <c r="G1209" s="42">
        <v>-4.3499999999999996</v>
      </c>
      <c r="H1209" s="42">
        <f t="shared" si="39"/>
        <v>201511</v>
      </c>
      <c r="I1209" s="42">
        <f>MATCH(D1209,$O:$O,0)</f>
        <v>33</v>
      </c>
      <c r="J1209" s="42" t="s">
        <v>39</v>
      </c>
      <c r="K1209" s="42" t="s">
        <v>649</v>
      </c>
      <c r="L1209" s="42"/>
    </row>
    <row r="1210" spans="1:12" x14ac:dyDescent="0.25">
      <c r="A1210" s="42" t="s">
        <v>236</v>
      </c>
      <c r="B1210" s="43">
        <v>42335</v>
      </c>
      <c r="C1210" s="42" t="s">
        <v>583</v>
      </c>
      <c r="D1210" s="42" t="str">
        <f t="shared" si="40"/>
        <v>Grocery</v>
      </c>
      <c r="E1210" s="42" t="s">
        <v>192</v>
      </c>
      <c r="F1210" s="42" t="s">
        <v>238</v>
      </c>
      <c r="G1210" s="42">
        <v>-98.58</v>
      </c>
      <c r="H1210" s="42">
        <f t="shared" si="39"/>
        <v>201511</v>
      </c>
      <c r="I1210" s="42">
        <f>MATCH(D1210,$O:$O,0)</f>
        <v>12</v>
      </c>
      <c r="J1210" s="42" t="s">
        <v>39</v>
      </c>
      <c r="K1210" s="42" t="s">
        <v>649</v>
      </c>
      <c r="L1210" s="42"/>
    </row>
    <row r="1211" spans="1:12" x14ac:dyDescent="0.25">
      <c r="A1211" s="42" t="s">
        <v>236</v>
      </c>
      <c r="B1211" s="43">
        <v>42336</v>
      </c>
      <c r="C1211" s="42" t="s">
        <v>565</v>
      </c>
      <c r="D1211" s="42" t="str">
        <f t="shared" si="40"/>
        <v>Grocery</v>
      </c>
      <c r="E1211" s="42" t="s">
        <v>192</v>
      </c>
      <c r="F1211" s="42" t="s">
        <v>238</v>
      </c>
      <c r="G1211" s="42">
        <v>-7.39</v>
      </c>
      <c r="H1211" s="42">
        <f t="shared" si="39"/>
        <v>201511</v>
      </c>
      <c r="I1211" s="42">
        <f>MATCH(D1211,$O:$O,0)</f>
        <v>12</v>
      </c>
      <c r="J1211" s="42" t="s">
        <v>39</v>
      </c>
      <c r="K1211" s="42" t="s">
        <v>649</v>
      </c>
      <c r="L1211" s="42"/>
    </row>
    <row r="1212" spans="1:12" x14ac:dyDescent="0.25">
      <c r="A1212" s="42" t="s">
        <v>236</v>
      </c>
      <c r="B1212" s="43">
        <v>42336</v>
      </c>
      <c r="C1212" s="42" t="s">
        <v>863</v>
      </c>
      <c r="D1212" s="42" t="str">
        <f t="shared" si="40"/>
        <v>Parking</v>
      </c>
      <c r="E1212" s="42" t="s">
        <v>170</v>
      </c>
      <c r="F1212" s="42" t="s">
        <v>238</v>
      </c>
      <c r="G1212" s="42">
        <v>-6</v>
      </c>
      <c r="H1212" s="42">
        <f t="shared" si="39"/>
        <v>201511</v>
      </c>
      <c r="I1212" s="42">
        <f>MATCH(D1212,$O:$O,0)</f>
        <v>32</v>
      </c>
      <c r="J1212" s="42" t="s">
        <v>39</v>
      </c>
      <c r="K1212" s="42" t="s">
        <v>649</v>
      </c>
      <c r="L1212" s="42"/>
    </row>
    <row r="1213" spans="1:12" x14ac:dyDescent="0.25">
      <c r="A1213" s="42" t="s">
        <v>236</v>
      </c>
      <c r="B1213" s="43">
        <v>42336</v>
      </c>
      <c r="C1213" s="42" t="s">
        <v>858</v>
      </c>
      <c r="D1213" s="42" t="str">
        <f t="shared" si="40"/>
        <v>Grocery</v>
      </c>
      <c r="E1213" s="42" t="s">
        <v>192</v>
      </c>
      <c r="F1213" s="42" t="s">
        <v>238</v>
      </c>
      <c r="G1213" s="42">
        <v>-3.68</v>
      </c>
      <c r="H1213" s="42">
        <f t="shared" si="39"/>
        <v>201511</v>
      </c>
      <c r="I1213" s="42">
        <f>MATCH(D1213,$O:$O,0)</f>
        <v>12</v>
      </c>
      <c r="J1213" s="42" t="s">
        <v>39</v>
      </c>
      <c r="K1213" s="42" t="s">
        <v>649</v>
      </c>
      <c r="L1213" s="42" t="s">
        <v>891</v>
      </c>
    </row>
    <row r="1214" spans="1:12" x14ac:dyDescent="0.25">
      <c r="A1214" s="42" t="s">
        <v>236</v>
      </c>
      <c r="B1214" s="43">
        <v>42336</v>
      </c>
      <c r="C1214" s="42" t="s">
        <v>858</v>
      </c>
      <c r="D1214" s="42" t="str">
        <f t="shared" si="40"/>
        <v>Grocery</v>
      </c>
      <c r="E1214" s="42" t="s">
        <v>192</v>
      </c>
      <c r="F1214" s="42" t="s">
        <v>238</v>
      </c>
      <c r="G1214" s="42">
        <v>-11.3</v>
      </c>
      <c r="H1214" s="42">
        <f t="shared" si="39"/>
        <v>201511</v>
      </c>
      <c r="I1214" s="42">
        <f>MATCH(D1214,$O:$O,0)</f>
        <v>12</v>
      </c>
      <c r="J1214" s="42" t="s">
        <v>39</v>
      </c>
      <c r="K1214" s="42" t="s">
        <v>649</v>
      </c>
      <c r="L1214" s="42" t="s">
        <v>207</v>
      </c>
    </row>
    <row r="1215" spans="1:12" x14ac:dyDescent="0.25">
      <c r="A1215" s="42" t="s">
        <v>236</v>
      </c>
      <c r="B1215" s="43">
        <v>42336</v>
      </c>
      <c r="C1215" s="42" t="s">
        <v>884</v>
      </c>
      <c r="D1215" s="42" t="str">
        <f t="shared" si="40"/>
        <v>Gifts</v>
      </c>
      <c r="E1215" s="42" t="s">
        <v>40</v>
      </c>
      <c r="F1215" s="42" t="s">
        <v>238</v>
      </c>
      <c r="G1215" s="42">
        <v>-10.91</v>
      </c>
      <c r="H1215" s="42">
        <f t="shared" si="39"/>
        <v>201511</v>
      </c>
      <c r="I1215" s="42">
        <f>MATCH(D1215,$O:$O,0)</f>
        <v>11</v>
      </c>
      <c r="J1215" s="42" t="s">
        <v>39</v>
      </c>
      <c r="K1215" s="42" t="s">
        <v>649</v>
      </c>
      <c r="L1215" s="42" t="s">
        <v>252</v>
      </c>
    </row>
    <row r="1216" spans="1:12" x14ac:dyDescent="0.25">
      <c r="A1216" s="42" t="s">
        <v>236</v>
      </c>
      <c r="B1216" s="43">
        <v>42336</v>
      </c>
      <c r="C1216" s="42" t="s">
        <v>884</v>
      </c>
      <c r="D1216" s="42" t="str">
        <f t="shared" si="40"/>
        <v>Gifts</v>
      </c>
      <c r="E1216" s="42" t="s">
        <v>40</v>
      </c>
      <c r="F1216" s="42" t="s">
        <v>238</v>
      </c>
      <c r="G1216" s="42">
        <v>-145.25</v>
      </c>
      <c r="H1216" s="42">
        <f t="shared" si="39"/>
        <v>201511</v>
      </c>
      <c r="I1216" s="42">
        <f>MATCH(D1216,$O:$O,0)</f>
        <v>11</v>
      </c>
      <c r="J1216" s="42" t="s">
        <v>39</v>
      </c>
      <c r="K1216" s="42" t="s">
        <v>649</v>
      </c>
      <c r="L1216" s="42" t="s">
        <v>239</v>
      </c>
    </row>
    <row r="1217" spans="1:13" x14ac:dyDescent="0.25">
      <c r="A1217" s="42" t="s">
        <v>236</v>
      </c>
      <c r="B1217" s="43">
        <v>42338</v>
      </c>
      <c r="C1217" s="42" t="s">
        <v>878</v>
      </c>
      <c r="D1217" s="42" t="str">
        <f t="shared" si="40"/>
        <v>D-Restaurant</v>
      </c>
      <c r="E1217" s="42" t="s">
        <v>204</v>
      </c>
      <c r="F1217" s="42" t="s">
        <v>238</v>
      </c>
      <c r="G1217" s="46">
        <v>-58</v>
      </c>
      <c r="H1217" s="42">
        <f t="shared" si="39"/>
        <v>201511</v>
      </c>
      <c r="I1217" s="42">
        <f>MATCH(D1217,$O:$O,0)</f>
        <v>9</v>
      </c>
      <c r="J1217" s="42" t="s">
        <v>39</v>
      </c>
      <c r="K1217" s="42" t="s">
        <v>803</v>
      </c>
      <c r="L1217" s="42" t="s">
        <v>352</v>
      </c>
    </row>
    <row r="1218" spans="1:13" x14ac:dyDescent="0.25">
      <c r="A1218" s="42" t="s">
        <v>236</v>
      </c>
      <c r="B1218" s="43">
        <v>42338</v>
      </c>
      <c r="C1218" s="42" t="s">
        <v>598</v>
      </c>
      <c r="D1218" s="42" t="str">
        <f t="shared" si="40"/>
        <v>Paychecks/Salary</v>
      </c>
      <c r="E1218" s="42" t="s">
        <v>375</v>
      </c>
      <c r="F1218" s="42" t="s">
        <v>238</v>
      </c>
      <c r="G1218" s="48">
        <v>3303.27</v>
      </c>
      <c r="H1218" s="42">
        <f t="shared" ref="H1218:H1281" si="41">YEAR(B1218)*100+MONTH(B1218)</f>
        <v>201511</v>
      </c>
      <c r="I1218" s="42">
        <f>MATCH(D1218,$O:$O,0)</f>
        <v>40</v>
      </c>
      <c r="J1218" s="42" t="s">
        <v>39</v>
      </c>
      <c r="K1218" s="42" t="s">
        <v>630</v>
      </c>
      <c r="L1218" s="42" t="s">
        <v>940</v>
      </c>
    </row>
    <row r="1219" spans="1:13" x14ac:dyDescent="0.25">
      <c r="A1219" s="42" t="s">
        <v>236</v>
      </c>
      <c r="B1219" s="43">
        <v>42338</v>
      </c>
      <c r="C1219" s="42" t="s">
        <v>646</v>
      </c>
      <c r="D1219" s="42" t="str">
        <f t="shared" si="40"/>
        <v>Cell Phone</v>
      </c>
      <c r="E1219" s="42" t="s">
        <v>224</v>
      </c>
      <c r="F1219" s="42" t="s">
        <v>238</v>
      </c>
      <c r="G1219" s="42">
        <v>-177.95</v>
      </c>
      <c r="H1219" s="42">
        <f t="shared" si="41"/>
        <v>201511</v>
      </c>
      <c r="I1219" s="42">
        <f>MATCH(D1219,$O:$O,0)</f>
        <v>4</v>
      </c>
      <c r="J1219" s="42" t="s">
        <v>39</v>
      </c>
      <c r="K1219" s="42" t="s">
        <v>649</v>
      </c>
      <c r="L1219" s="42"/>
    </row>
    <row r="1220" spans="1:13" x14ac:dyDescent="0.25">
      <c r="A1220" s="42" t="s">
        <v>236</v>
      </c>
      <c r="B1220" s="43">
        <v>42338</v>
      </c>
      <c r="C1220" s="42" t="s">
        <v>876</v>
      </c>
      <c r="D1220" s="42" t="str">
        <f t="shared" si="40"/>
        <v>Gifts</v>
      </c>
      <c r="E1220" s="42" t="s">
        <v>40</v>
      </c>
      <c r="F1220" s="42" t="s">
        <v>238</v>
      </c>
      <c r="G1220" s="42">
        <v>-81.92</v>
      </c>
      <c r="H1220" s="42">
        <f t="shared" si="41"/>
        <v>201511</v>
      </c>
      <c r="I1220" s="42">
        <f>MATCH(D1220,$O:$O,0)</f>
        <v>11</v>
      </c>
      <c r="J1220" s="42" t="s">
        <v>39</v>
      </c>
      <c r="K1220" s="42" t="s">
        <v>649</v>
      </c>
      <c r="L1220" s="42" t="s">
        <v>310</v>
      </c>
    </row>
    <row r="1221" spans="1:13" x14ac:dyDescent="0.25">
      <c r="A1221" s="42" t="s">
        <v>236</v>
      </c>
      <c r="B1221" s="43">
        <v>42338</v>
      </c>
      <c r="C1221" s="42" t="s">
        <v>880</v>
      </c>
      <c r="D1221" s="42" t="str">
        <f t="shared" si="40"/>
        <v>Gifts</v>
      </c>
      <c r="E1221" s="42" t="s">
        <v>40</v>
      </c>
      <c r="F1221" s="42" t="s">
        <v>238</v>
      </c>
      <c r="G1221" s="42">
        <v>-52.44</v>
      </c>
      <c r="H1221" s="42">
        <f t="shared" si="41"/>
        <v>201511</v>
      </c>
      <c r="I1221" s="42">
        <f>MATCH(D1221,$O:$O,0)</f>
        <v>11</v>
      </c>
      <c r="J1221" s="42" t="s">
        <v>39</v>
      </c>
      <c r="K1221" s="42" t="s">
        <v>649</v>
      </c>
      <c r="L1221" s="42" t="s">
        <v>193</v>
      </c>
    </row>
    <row r="1222" spans="1:13" x14ac:dyDescent="0.25">
      <c r="A1222" s="42" t="s">
        <v>236</v>
      </c>
      <c r="B1222" s="43">
        <v>42338</v>
      </c>
      <c r="C1222" s="42" t="s">
        <v>881</v>
      </c>
      <c r="D1222" s="42" t="str">
        <f t="shared" si="40"/>
        <v>Gifts</v>
      </c>
      <c r="E1222" s="42" t="s">
        <v>40</v>
      </c>
      <c r="F1222" s="42" t="s">
        <v>238</v>
      </c>
      <c r="G1222" s="42">
        <v>-65.540000000000006</v>
      </c>
      <c r="H1222" s="42">
        <f t="shared" si="41"/>
        <v>201511</v>
      </c>
      <c r="I1222" s="42">
        <f>MATCH(D1222,$O:$O,0)</f>
        <v>11</v>
      </c>
      <c r="J1222" s="42" t="s">
        <v>39</v>
      </c>
      <c r="K1222" s="42" t="s">
        <v>649</v>
      </c>
      <c r="L1222" s="42" t="s">
        <v>241</v>
      </c>
    </row>
    <row r="1223" spans="1:13" x14ac:dyDescent="0.25">
      <c r="A1223" s="42" t="s">
        <v>236</v>
      </c>
      <c r="B1223" s="43">
        <v>42338</v>
      </c>
      <c r="C1223" s="42" t="s">
        <v>565</v>
      </c>
      <c r="D1223" s="42" t="str">
        <f t="shared" si="40"/>
        <v>Grocery</v>
      </c>
      <c r="E1223" s="42" t="s">
        <v>192</v>
      </c>
      <c r="F1223" s="42" t="s">
        <v>238</v>
      </c>
      <c r="G1223" s="42">
        <v>-2.5499999999999998</v>
      </c>
      <c r="H1223" s="42">
        <f t="shared" si="41"/>
        <v>201511</v>
      </c>
      <c r="I1223" s="42">
        <f>MATCH(D1223,$O:$O,0)</f>
        <v>12</v>
      </c>
      <c r="J1223" s="42" t="s">
        <v>39</v>
      </c>
      <c r="K1223" s="42" t="s">
        <v>649</v>
      </c>
      <c r="L1223" s="42" t="s">
        <v>310</v>
      </c>
    </row>
    <row r="1224" spans="1:13" x14ac:dyDescent="0.25">
      <c r="A1224" s="42" t="s">
        <v>236</v>
      </c>
      <c r="B1224" s="43">
        <v>42338</v>
      </c>
      <c r="C1224" s="42" t="s">
        <v>883</v>
      </c>
      <c r="D1224" s="42" t="str">
        <f t="shared" si="40"/>
        <v>Gifts</v>
      </c>
      <c r="E1224" s="42" t="s">
        <v>40</v>
      </c>
      <c r="F1224" s="42" t="s">
        <v>238</v>
      </c>
      <c r="G1224" s="42">
        <v>-87.19</v>
      </c>
      <c r="H1224" s="42">
        <f t="shared" si="41"/>
        <v>201511</v>
      </c>
      <c r="I1224" s="42">
        <f>MATCH(D1224,$O:$O,0)</f>
        <v>11</v>
      </c>
      <c r="J1224" s="42" t="s">
        <v>39</v>
      </c>
      <c r="K1224" s="42" t="s">
        <v>649</v>
      </c>
      <c r="L1224" s="42" t="s">
        <v>248</v>
      </c>
    </row>
    <row r="1225" spans="1:13" x14ac:dyDescent="0.25">
      <c r="A1225" s="42" t="s">
        <v>236</v>
      </c>
      <c r="B1225" s="43">
        <v>42338</v>
      </c>
      <c r="C1225" s="42" t="s">
        <v>565</v>
      </c>
      <c r="D1225" s="42" t="str">
        <f t="shared" si="40"/>
        <v>Grocery</v>
      </c>
      <c r="E1225" s="42" t="s">
        <v>192</v>
      </c>
      <c r="F1225" s="42" t="s">
        <v>238</v>
      </c>
      <c r="G1225" s="42">
        <v>3.04</v>
      </c>
      <c r="H1225" s="42">
        <f t="shared" si="41"/>
        <v>201511</v>
      </c>
      <c r="I1225" s="42">
        <f>MATCH(D1225,$O:$O,0)</f>
        <v>12</v>
      </c>
      <c r="J1225" s="42" t="s">
        <v>39</v>
      </c>
      <c r="K1225" s="42" t="s">
        <v>649</v>
      </c>
      <c r="L1225" s="42" t="s">
        <v>352</v>
      </c>
    </row>
    <row r="1226" spans="1:13" x14ac:dyDescent="0.25">
      <c r="A1226" s="42" t="s">
        <v>236</v>
      </c>
      <c r="B1226" s="43">
        <v>42338</v>
      </c>
      <c r="C1226" s="42" t="s">
        <v>565</v>
      </c>
      <c r="D1226" s="42" t="str">
        <f t="shared" si="40"/>
        <v>Grocery</v>
      </c>
      <c r="E1226" s="42" t="s">
        <v>192</v>
      </c>
      <c r="F1226" s="42" t="s">
        <v>238</v>
      </c>
      <c r="G1226" s="42">
        <v>20.46</v>
      </c>
      <c r="H1226" s="42">
        <f t="shared" si="41"/>
        <v>201511</v>
      </c>
      <c r="I1226" s="42">
        <f>MATCH(D1226,$O:$O,0)</f>
        <v>12</v>
      </c>
      <c r="J1226" s="42" t="s">
        <v>39</v>
      </c>
      <c r="K1226" s="42" t="s">
        <v>649</v>
      </c>
      <c r="L1226" s="42" t="s">
        <v>804</v>
      </c>
    </row>
    <row r="1227" spans="1:13" x14ac:dyDescent="0.25">
      <c r="A1227" s="42" t="s">
        <v>236</v>
      </c>
      <c r="B1227" s="43">
        <v>42339</v>
      </c>
      <c r="C1227" s="42" t="s">
        <v>591</v>
      </c>
      <c r="D1227" s="42" t="str">
        <f t="shared" si="40"/>
        <v>Mortgage/Rent</v>
      </c>
      <c r="E1227" s="42" t="s">
        <v>202</v>
      </c>
      <c r="F1227" s="42" t="s">
        <v>238</v>
      </c>
      <c r="G1227" s="44">
        <v>-3116.77</v>
      </c>
      <c r="H1227" s="42">
        <f t="shared" si="41"/>
        <v>201512</v>
      </c>
      <c r="I1227" s="42">
        <f>MATCH(D1227,$O:$O,0)</f>
        <v>21</v>
      </c>
      <c r="J1227" s="42" t="s">
        <v>39</v>
      </c>
      <c r="K1227" s="42" t="s">
        <v>803</v>
      </c>
      <c r="L1227" s="42" t="s">
        <v>205</v>
      </c>
    </row>
    <row r="1228" spans="1:13" x14ac:dyDescent="0.25">
      <c r="A1228" s="42" t="s">
        <v>236</v>
      </c>
      <c r="B1228" s="43">
        <v>42339</v>
      </c>
      <c r="C1228" s="42" t="s">
        <v>565</v>
      </c>
      <c r="D1228" s="42" t="str">
        <f t="shared" si="40"/>
        <v>Grocery</v>
      </c>
      <c r="E1228" s="42" t="s">
        <v>192</v>
      </c>
      <c r="F1228" s="42" t="s">
        <v>238</v>
      </c>
      <c r="G1228" s="42">
        <v>-4.97</v>
      </c>
      <c r="H1228" s="42">
        <f t="shared" si="41"/>
        <v>201512</v>
      </c>
      <c r="I1228" s="42">
        <f>MATCH(D1228,$O:$O,0)</f>
        <v>12</v>
      </c>
      <c r="J1228" s="42" t="s">
        <v>39</v>
      </c>
      <c r="K1228" s="42" t="s">
        <v>630</v>
      </c>
      <c r="L1228" s="42"/>
    </row>
    <row r="1229" spans="1:13" x14ac:dyDescent="0.25">
      <c r="A1229" s="42" t="s">
        <v>236</v>
      </c>
      <c r="B1229" s="43">
        <v>42339</v>
      </c>
      <c r="C1229" s="42" t="s">
        <v>887</v>
      </c>
      <c r="D1229" s="42" t="str">
        <f t="shared" si="40"/>
        <v>D-Restaurant</v>
      </c>
      <c r="E1229" s="42" t="s">
        <v>204</v>
      </c>
      <c r="F1229" s="42" t="s">
        <v>238</v>
      </c>
      <c r="G1229" s="42">
        <v>-8.27</v>
      </c>
      <c r="H1229" s="42">
        <f t="shared" si="41"/>
        <v>201512</v>
      </c>
      <c r="I1229" s="42">
        <f>MATCH(D1229,$O:$O,0)</f>
        <v>9</v>
      </c>
      <c r="J1229" s="42" t="s">
        <v>39</v>
      </c>
      <c r="K1229" s="42" t="s">
        <v>619</v>
      </c>
      <c r="L1229" s="42" t="s">
        <v>723</v>
      </c>
    </row>
    <row r="1230" spans="1:13" x14ac:dyDescent="0.25">
      <c r="A1230" s="42" t="s">
        <v>236</v>
      </c>
      <c r="B1230" s="43">
        <v>42340</v>
      </c>
      <c r="C1230" s="42" t="s">
        <v>1048</v>
      </c>
      <c r="D1230" s="42" t="str">
        <f t="shared" si="40"/>
        <v>Credit Card Payments</v>
      </c>
      <c r="E1230" s="42" t="s">
        <v>242</v>
      </c>
      <c r="F1230" s="42" t="s">
        <v>238</v>
      </c>
      <c r="G1230" s="48">
        <v>-1110.9000000000001</v>
      </c>
      <c r="H1230" s="42">
        <f t="shared" si="41"/>
        <v>201512</v>
      </c>
      <c r="I1230" s="42">
        <f>MATCH(D1230,$O:$O,0)</f>
        <v>38</v>
      </c>
      <c r="J1230" s="42" t="s">
        <v>39</v>
      </c>
      <c r="K1230" s="42" t="s">
        <v>632</v>
      </c>
      <c r="L1230" s="42"/>
    </row>
    <row r="1231" spans="1:13" x14ac:dyDescent="0.25">
      <c r="A1231" s="42" t="s">
        <v>236</v>
      </c>
      <c r="B1231" s="43">
        <v>42340</v>
      </c>
      <c r="C1231" s="42" t="s">
        <v>1049</v>
      </c>
      <c r="D1231" s="42" t="str">
        <f t="shared" si="40"/>
        <v>Property Tax</v>
      </c>
      <c r="E1231" s="42" t="s">
        <v>177</v>
      </c>
      <c r="F1231" s="42" t="s">
        <v>238</v>
      </c>
      <c r="G1231" s="48">
        <v>-4712.16</v>
      </c>
      <c r="H1231" s="42">
        <f t="shared" si="41"/>
        <v>201512</v>
      </c>
      <c r="I1231" s="42">
        <f>MATCH(D1231,$O:$O,0)</f>
        <v>15</v>
      </c>
      <c r="J1231" s="42" t="s">
        <v>39</v>
      </c>
      <c r="K1231" s="42" t="s">
        <v>632</v>
      </c>
      <c r="L1231" s="42" t="s">
        <v>339</v>
      </c>
      <c r="M1231" s="42"/>
    </row>
    <row r="1232" spans="1:13" x14ac:dyDescent="0.25">
      <c r="A1232" s="42" t="s">
        <v>236</v>
      </c>
      <c r="B1232" s="43">
        <v>42340</v>
      </c>
      <c r="C1232" s="42" t="s">
        <v>435</v>
      </c>
      <c r="D1232" s="42" t="str">
        <f t="shared" si="40"/>
        <v>Credit Card Payments</v>
      </c>
      <c r="E1232" s="42" t="s">
        <v>242</v>
      </c>
      <c r="F1232" s="42" t="s">
        <v>238</v>
      </c>
      <c r="G1232" s="48">
        <v>1110.9000000000001</v>
      </c>
      <c r="H1232" s="42">
        <f t="shared" si="41"/>
        <v>201512</v>
      </c>
      <c r="I1232" s="42">
        <f>MATCH(D1232,$O:$O,0)</f>
        <v>38</v>
      </c>
      <c r="J1232" s="42" t="s">
        <v>39</v>
      </c>
      <c r="K1232" s="42" t="s">
        <v>649</v>
      </c>
      <c r="L1232" s="42" t="s">
        <v>363</v>
      </c>
      <c r="M1232" s="42"/>
    </row>
    <row r="1233" spans="1:13" x14ac:dyDescent="0.25">
      <c r="A1233" s="42" t="s">
        <v>236</v>
      </c>
      <c r="B1233" s="43">
        <v>42340</v>
      </c>
      <c r="C1233" s="42" t="s">
        <v>575</v>
      </c>
      <c r="D1233" s="42" t="str">
        <f t="shared" si="40"/>
        <v>D-Restaurant</v>
      </c>
      <c r="E1233" s="42" t="s">
        <v>204</v>
      </c>
      <c r="F1233" s="42" t="s">
        <v>238</v>
      </c>
      <c r="G1233" s="42">
        <v>-8.1999999999999993</v>
      </c>
      <c r="H1233" s="42">
        <f t="shared" si="41"/>
        <v>201512</v>
      </c>
      <c r="I1233" s="42">
        <f>MATCH(D1233,$O:$O,0)</f>
        <v>9</v>
      </c>
      <c r="J1233" s="42" t="s">
        <v>39</v>
      </c>
      <c r="K1233" s="42" t="s">
        <v>619</v>
      </c>
      <c r="L1233" s="42" t="s">
        <v>310</v>
      </c>
      <c r="M1233" s="42"/>
    </row>
    <row r="1234" spans="1:13" x14ac:dyDescent="0.25">
      <c r="A1234" s="42" t="s">
        <v>236</v>
      </c>
      <c r="B1234" s="43">
        <v>42340</v>
      </c>
      <c r="C1234" s="42" t="s">
        <v>883</v>
      </c>
      <c r="D1234" s="42" t="str">
        <f t="shared" si="40"/>
        <v>z-New Asset</v>
      </c>
      <c r="E1234" s="42" t="s">
        <v>121</v>
      </c>
      <c r="F1234" s="42" t="s">
        <v>238</v>
      </c>
      <c r="G1234" s="42">
        <v>-272.49</v>
      </c>
      <c r="H1234" s="42">
        <f t="shared" si="41"/>
        <v>201512</v>
      </c>
      <c r="I1234" s="42">
        <f>MATCH(D1234,$O:$O,0)</f>
        <v>36</v>
      </c>
      <c r="J1234" s="42" t="s">
        <v>39</v>
      </c>
      <c r="K1234" s="42" t="s">
        <v>649</v>
      </c>
      <c r="L1234" s="42"/>
      <c r="M1234" s="42"/>
    </row>
    <row r="1235" spans="1:13" x14ac:dyDescent="0.25">
      <c r="A1235" s="42" t="s">
        <v>236</v>
      </c>
      <c r="B1235" s="43">
        <v>42340</v>
      </c>
      <c r="C1235" s="42" t="s">
        <v>249</v>
      </c>
      <c r="D1235" s="42" t="str">
        <f t="shared" si="40"/>
        <v>Retirement Contributions</v>
      </c>
      <c r="E1235" s="42" t="s">
        <v>263</v>
      </c>
      <c r="F1235" s="42" t="s">
        <v>238</v>
      </c>
      <c r="G1235" s="42">
        <v>536.25</v>
      </c>
      <c r="H1235" s="42">
        <f t="shared" si="41"/>
        <v>201512</v>
      </c>
      <c r="I1235" s="42">
        <f>MATCH(D1235,$O:$O,0)</f>
        <v>39</v>
      </c>
      <c r="J1235" s="42" t="s">
        <v>39</v>
      </c>
      <c r="K1235" s="42" t="s">
        <v>649</v>
      </c>
      <c r="L1235" s="42"/>
      <c r="M1235" s="42"/>
    </row>
    <row r="1236" spans="1:13" x14ac:dyDescent="0.25">
      <c r="A1236" s="42" t="s">
        <v>236</v>
      </c>
      <c r="B1236" s="43">
        <v>42341</v>
      </c>
      <c r="C1236" s="42" t="s">
        <v>575</v>
      </c>
      <c r="D1236" s="42" t="str">
        <f t="shared" si="40"/>
        <v>D-Restaurant</v>
      </c>
      <c r="E1236" s="42" t="s">
        <v>204</v>
      </c>
      <c r="F1236" s="42" t="s">
        <v>238</v>
      </c>
      <c r="G1236" s="42">
        <v>-8.1999999999999993</v>
      </c>
      <c r="H1236" s="42">
        <f t="shared" si="41"/>
        <v>201512</v>
      </c>
      <c r="I1236" s="42">
        <f>MATCH(D1236,$O:$O,0)</f>
        <v>9</v>
      </c>
      <c r="J1236" s="42" t="s">
        <v>39</v>
      </c>
      <c r="K1236" s="42" t="s">
        <v>649</v>
      </c>
      <c r="L1236" s="42" t="s">
        <v>1006</v>
      </c>
      <c r="M1236" s="42"/>
    </row>
    <row r="1237" spans="1:13" x14ac:dyDescent="0.25">
      <c r="A1237" s="42" t="s">
        <v>236</v>
      </c>
      <c r="B1237" s="43">
        <v>42342</v>
      </c>
      <c r="C1237" s="42" t="s">
        <v>861</v>
      </c>
      <c r="D1237" s="42" t="str">
        <f t="shared" si="40"/>
        <v>Car Related</v>
      </c>
      <c r="E1237" s="42" t="s">
        <v>185</v>
      </c>
      <c r="F1237" s="42" t="s">
        <v>238</v>
      </c>
      <c r="G1237" s="42">
        <v>-321.52</v>
      </c>
      <c r="H1237" s="42">
        <f t="shared" si="41"/>
        <v>201512</v>
      </c>
      <c r="I1237" s="42">
        <f>MATCH(D1237,$O:$O,0)</f>
        <v>31</v>
      </c>
      <c r="J1237" s="42" t="s">
        <v>39</v>
      </c>
      <c r="K1237" s="42" t="s">
        <v>649</v>
      </c>
      <c r="L1237" s="42" t="s">
        <v>193</v>
      </c>
      <c r="M1237" s="42"/>
    </row>
    <row r="1238" spans="1:13" x14ac:dyDescent="0.25">
      <c r="A1238" s="42" t="s">
        <v>236</v>
      </c>
      <c r="B1238" s="43">
        <v>42342</v>
      </c>
      <c r="C1238" s="42" t="s">
        <v>900</v>
      </c>
      <c r="D1238" s="42" t="str">
        <f t="shared" si="40"/>
        <v>Gas</v>
      </c>
      <c r="E1238" s="42" t="s">
        <v>311</v>
      </c>
      <c r="F1238" s="42" t="s">
        <v>238</v>
      </c>
      <c r="G1238" s="42">
        <v>-24.52</v>
      </c>
      <c r="H1238" s="42">
        <f t="shared" si="41"/>
        <v>201512</v>
      </c>
      <c r="I1238" s="42">
        <f>MATCH(D1238,$O:$O,0)</f>
        <v>30</v>
      </c>
      <c r="J1238" s="42" t="s">
        <v>39</v>
      </c>
      <c r="K1238" s="42" t="s">
        <v>649</v>
      </c>
      <c r="L1238" s="42"/>
      <c r="M1238" s="42"/>
    </row>
    <row r="1239" spans="1:13" x14ac:dyDescent="0.25">
      <c r="A1239" s="42" t="s">
        <v>236</v>
      </c>
      <c r="B1239" s="43">
        <v>42342</v>
      </c>
      <c r="C1239" s="42" t="s">
        <v>1047</v>
      </c>
      <c r="D1239" s="42" t="str">
        <f t="shared" si="40"/>
        <v>D-Restaurant</v>
      </c>
      <c r="E1239" s="42" t="s">
        <v>204</v>
      </c>
      <c r="F1239" s="42" t="s">
        <v>238</v>
      </c>
      <c r="G1239" s="42">
        <v>-6.09</v>
      </c>
      <c r="H1239" s="42">
        <f t="shared" si="41"/>
        <v>201512</v>
      </c>
      <c r="I1239" s="42">
        <f>MATCH(D1239,$O:$O,0)</f>
        <v>9</v>
      </c>
      <c r="J1239" s="42" t="s">
        <v>39</v>
      </c>
      <c r="K1239" s="42" t="s">
        <v>619</v>
      </c>
      <c r="L1239" s="42" t="s">
        <v>1009</v>
      </c>
      <c r="M1239" s="42">
        <v>1</v>
      </c>
    </row>
    <row r="1240" spans="1:13" x14ac:dyDescent="0.25">
      <c r="A1240" s="42" t="s">
        <v>236</v>
      </c>
      <c r="B1240" s="43">
        <v>42342</v>
      </c>
      <c r="C1240" s="42" t="s">
        <v>887</v>
      </c>
      <c r="D1240" s="42" t="str">
        <f t="shared" si="40"/>
        <v>D-Restaurant</v>
      </c>
      <c r="E1240" s="42" t="s">
        <v>204</v>
      </c>
      <c r="F1240" s="42" t="s">
        <v>238</v>
      </c>
      <c r="G1240" s="42">
        <v>-8.5299999999999994</v>
      </c>
      <c r="H1240" s="42">
        <f t="shared" si="41"/>
        <v>201512</v>
      </c>
      <c r="I1240" s="42">
        <f>MATCH(D1240,$O:$O,0)</f>
        <v>9</v>
      </c>
      <c r="J1240" s="42" t="s">
        <v>39</v>
      </c>
      <c r="K1240" s="42" t="s">
        <v>649</v>
      </c>
      <c r="L1240" s="42" t="s">
        <v>1011</v>
      </c>
      <c r="M1240" s="42"/>
    </row>
    <row r="1241" spans="1:13" x14ac:dyDescent="0.25">
      <c r="A1241" s="42" t="s">
        <v>236</v>
      </c>
      <c r="B1241" s="43">
        <v>42342</v>
      </c>
      <c r="C1241" s="42" t="s">
        <v>509</v>
      </c>
      <c r="D1241" s="42" t="str">
        <f t="shared" si="40"/>
        <v>D-Coffee</v>
      </c>
      <c r="E1241" s="42" t="s">
        <v>215</v>
      </c>
      <c r="F1241" s="42" t="s">
        <v>238</v>
      </c>
      <c r="G1241" s="42">
        <v>-2.25</v>
      </c>
      <c r="H1241" s="42">
        <f t="shared" si="41"/>
        <v>201512</v>
      </c>
      <c r="I1241" s="42">
        <f>MATCH(D1241,$O:$O,0)</f>
        <v>7</v>
      </c>
      <c r="J1241" s="42" t="s">
        <v>39</v>
      </c>
      <c r="K1241" s="42" t="s">
        <v>619</v>
      </c>
      <c r="L1241" s="42" t="s">
        <v>314</v>
      </c>
      <c r="M1241" s="42"/>
    </row>
    <row r="1242" spans="1:13" x14ac:dyDescent="0.25">
      <c r="A1242" s="42" t="s">
        <v>236</v>
      </c>
      <c r="B1242" s="43">
        <v>42343</v>
      </c>
      <c r="C1242" s="42" t="s">
        <v>565</v>
      </c>
      <c r="D1242" s="42" t="str">
        <f t="shared" si="40"/>
        <v>Grocery</v>
      </c>
      <c r="E1242" s="42" t="s">
        <v>192</v>
      </c>
      <c r="F1242" s="42" t="s">
        <v>238</v>
      </c>
      <c r="G1242" s="42">
        <v>-40.869999999999997</v>
      </c>
      <c r="H1242" s="42">
        <f t="shared" si="41"/>
        <v>201512</v>
      </c>
      <c r="I1242" s="42">
        <f>MATCH(D1242,$O:$O,0)</f>
        <v>12</v>
      </c>
      <c r="J1242" s="42" t="s">
        <v>39</v>
      </c>
      <c r="K1242" s="42" t="s">
        <v>649</v>
      </c>
      <c r="L1242" s="42"/>
      <c r="M1242" s="42"/>
    </row>
    <row r="1243" spans="1:13" x14ac:dyDescent="0.25">
      <c r="A1243" s="42" t="s">
        <v>236</v>
      </c>
      <c r="B1243" s="43">
        <v>42345</v>
      </c>
      <c r="C1243" s="42" t="s">
        <v>837</v>
      </c>
      <c r="D1243" s="42" t="str">
        <f t="shared" si="40"/>
        <v>Laundry</v>
      </c>
      <c r="E1243" s="42" t="s">
        <v>112</v>
      </c>
      <c r="F1243" s="42" t="s">
        <v>238</v>
      </c>
      <c r="G1243" s="42">
        <v>-17.7</v>
      </c>
      <c r="H1243" s="42">
        <f t="shared" si="41"/>
        <v>201512</v>
      </c>
      <c r="I1243" s="42">
        <f>MATCH(D1243,$O:$O,0)</f>
        <v>19</v>
      </c>
      <c r="J1243" s="42" t="s">
        <v>39</v>
      </c>
      <c r="K1243" s="42" t="s">
        <v>619</v>
      </c>
      <c r="L1243" s="42" t="s">
        <v>310</v>
      </c>
      <c r="M1243" s="42"/>
    </row>
    <row r="1244" spans="1:13" x14ac:dyDescent="0.25">
      <c r="A1244" s="42" t="s">
        <v>236</v>
      </c>
      <c r="B1244" s="43">
        <v>42346</v>
      </c>
      <c r="C1244" s="42" t="s">
        <v>600</v>
      </c>
      <c r="D1244" s="42" t="str">
        <f t="shared" si="40"/>
        <v>D-Restaurant</v>
      </c>
      <c r="E1244" s="42" t="s">
        <v>204</v>
      </c>
      <c r="F1244" s="42" t="s">
        <v>238</v>
      </c>
      <c r="G1244" s="42">
        <v>-7.75</v>
      </c>
      <c r="H1244" s="42">
        <f t="shared" si="41"/>
        <v>201512</v>
      </c>
      <c r="I1244" s="42">
        <f>MATCH(D1244,$O:$O,0)</f>
        <v>9</v>
      </c>
      <c r="J1244" s="42" t="s">
        <v>39</v>
      </c>
      <c r="K1244" s="42" t="s">
        <v>619</v>
      </c>
      <c r="L1244" s="42" t="s">
        <v>223</v>
      </c>
      <c r="M1244" s="42"/>
    </row>
    <row r="1245" spans="1:13" x14ac:dyDescent="0.25">
      <c r="A1245" s="42" t="s">
        <v>236</v>
      </c>
      <c r="B1245" s="43">
        <v>42346</v>
      </c>
      <c r="C1245" s="42" t="s">
        <v>1046</v>
      </c>
      <c r="D1245" s="42" t="str">
        <f t="shared" si="40"/>
        <v>D-Restaurant</v>
      </c>
      <c r="E1245" s="42" t="s">
        <v>204</v>
      </c>
      <c r="F1245" s="42" t="s">
        <v>238</v>
      </c>
      <c r="G1245" s="46">
        <v>-41.82</v>
      </c>
      <c r="H1245" s="42">
        <f t="shared" si="41"/>
        <v>201512</v>
      </c>
      <c r="I1245" s="42">
        <f>MATCH(D1245,$O:$O,0)</f>
        <v>9</v>
      </c>
      <c r="J1245" s="42" t="s">
        <v>39</v>
      </c>
      <c r="K1245" s="42" t="s">
        <v>630</v>
      </c>
      <c r="L1245" s="42" t="s">
        <v>193</v>
      </c>
      <c r="M1245" s="42"/>
    </row>
    <row r="1246" spans="1:13" x14ac:dyDescent="0.25">
      <c r="A1246" s="42" t="s">
        <v>236</v>
      </c>
      <c r="B1246" s="43">
        <v>42347</v>
      </c>
      <c r="C1246" s="42" t="s">
        <v>1044</v>
      </c>
      <c r="D1246" s="42" t="str">
        <f t="shared" si="40"/>
        <v>Magazines</v>
      </c>
      <c r="E1246" s="42" t="s">
        <v>34</v>
      </c>
      <c r="F1246" s="42" t="s">
        <v>238</v>
      </c>
      <c r="G1246" s="46">
        <v>-14.99</v>
      </c>
      <c r="H1246" s="42">
        <f t="shared" si="41"/>
        <v>201512</v>
      </c>
      <c r="I1246" s="42">
        <f>MATCH(D1246,$O:$O,0)</f>
        <v>20</v>
      </c>
      <c r="J1246" s="42" t="s">
        <v>39</v>
      </c>
      <c r="K1246" s="42" t="s">
        <v>632</v>
      </c>
      <c r="L1246" s="42" t="s">
        <v>895</v>
      </c>
      <c r="M1246" s="42"/>
    </row>
    <row r="1247" spans="1:13" x14ac:dyDescent="0.25">
      <c r="A1247" s="42" t="s">
        <v>236</v>
      </c>
      <c r="B1247" s="43">
        <v>42348</v>
      </c>
      <c r="C1247" s="42" t="s">
        <v>1041</v>
      </c>
      <c r="D1247" s="42" t="str">
        <f t="shared" si="40"/>
        <v>Transfers</v>
      </c>
      <c r="E1247" s="42" t="s">
        <v>226</v>
      </c>
      <c r="F1247" s="42" t="s">
        <v>238</v>
      </c>
      <c r="G1247" s="42">
        <v>-0.25</v>
      </c>
      <c r="H1247" s="42">
        <f t="shared" si="41"/>
        <v>201512</v>
      </c>
      <c r="I1247" s="42">
        <f>MATCH(D1247,$O:$O,0)</f>
        <v>37</v>
      </c>
      <c r="J1247" s="42" t="s">
        <v>39</v>
      </c>
      <c r="K1247" s="42" t="s">
        <v>630</v>
      </c>
      <c r="L1247" s="42" t="s">
        <v>193</v>
      </c>
      <c r="M1247" s="42"/>
    </row>
    <row r="1248" spans="1:13" x14ac:dyDescent="0.25">
      <c r="A1248" s="42" t="s">
        <v>236</v>
      </c>
      <c r="B1248" s="43">
        <v>42348</v>
      </c>
      <c r="C1248" s="42" t="s">
        <v>1042</v>
      </c>
      <c r="D1248" s="42" t="str">
        <f t="shared" si="40"/>
        <v>D-Restaurant</v>
      </c>
      <c r="E1248" s="42" t="s">
        <v>204</v>
      </c>
      <c r="F1248" s="42" t="s">
        <v>238</v>
      </c>
      <c r="G1248" s="42">
        <v>-7.75</v>
      </c>
      <c r="H1248" s="42">
        <f t="shared" si="41"/>
        <v>201512</v>
      </c>
      <c r="I1248" s="42">
        <f>MATCH(D1248,$O:$O,0)</f>
        <v>9</v>
      </c>
      <c r="J1248" s="42" t="s">
        <v>39</v>
      </c>
      <c r="K1248" s="42" t="s">
        <v>649</v>
      </c>
      <c r="L1248" s="42" t="s">
        <v>310</v>
      </c>
      <c r="M1248" s="42"/>
    </row>
    <row r="1249" spans="1:13" x14ac:dyDescent="0.25">
      <c r="A1249" s="42" t="s">
        <v>236</v>
      </c>
      <c r="B1249" s="43">
        <v>42348</v>
      </c>
      <c r="C1249" s="42" t="s">
        <v>1043</v>
      </c>
      <c r="D1249" s="42" t="str">
        <f t="shared" si="40"/>
        <v>z-New Asset</v>
      </c>
      <c r="E1249" s="42" t="s">
        <v>121</v>
      </c>
      <c r="F1249" s="42" t="s">
        <v>238</v>
      </c>
      <c r="G1249" s="42">
        <v>272.49</v>
      </c>
      <c r="H1249" s="42">
        <f t="shared" si="41"/>
        <v>201512</v>
      </c>
      <c r="I1249" s="42">
        <f>MATCH(D1249,$O:$O,0)</f>
        <v>36</v>
      </c>
      <c r="J1249" s="42" t="s">
        <v>39</v>
      </c>
      <c r="K1249" s="42" t="s">
        <v>619</v>
      </c>
      <c r="L1249" s="42" t="s">
        <v>1015</v>
      </c>
      <c r="M1249" s="42"/>
    </row>
    <row r="1250" spans="1:13" x14ac:dyDescent="0.25">
      <c r="A1250" s="42" t="s">
        <v>236</v>
      </c>
      <c r="B1250" s="43">
        <v>42349</v>
      </c>
      <c r="C1250" s="42" t="s">
        <v>1039</v>
      </c>
      <c r="D1250" s="42" t="str">
        <f t="shared" si="40"/>
        <v>Deposits</v>
      </c>
      <c r="E1250" s="42" t="s">
        <v>271</v>
      </c>
      <c r="F1250" s="42" t="s">
        <v>238</v>
      </c>
      <c r="G1250" s="42">
        <v>0.25</v>
      </c>
      <c r="H1250" s="42">
        <f t="shared" si="41"/>
        <v>201512</v>
      </c>
      <c r="I1250" s="42" t="e">
        <f>MATCH(D1250,$O:$O,0)</f>
        <v>#N/A</v>
      </c>
      <c r="J1250" s="42" t="s">
        <v>39</v>
      </c>
      <c r="K1250" s="42" t="s">
        <v>675</v>
      </c>
      <c r="L1250" s="42"/>
      <c r="M1250" s="42"/>
    </row>
    <row r="1251" spans="1:13" x14ac:dyDescent="0.25">
      <c r="A1251" s="42" t="s">
        <v>236</v>
      </c>
      <c r="B1251" s="43">
        <v>42349</v>
      </c>
      <c r="C1251" s="42" t="s">
        <v>1040</v>
      </c>
      <c r="D1251" s="42" t="str">
        <f t="shared" si="40"/>
        <v>Gifts</v>
      </c>
      <c r="E1251" s="42" t="s">
        <v>40</v>
      </c>
      <c r="F1251" s="42" t="s">
        <v>238</v>
      </c>
      <c r="G1251" s="46">
        <v>-67.48</v>
      </c>
      <c r="H1251" s="42">
        <f t="shared" si="41"/>
        <v>201512</v>
      </c>
      <c r="I1251" s="42">
        <f>MATCH(D1251,$O:$O,0)</f>
        <v>11</v>
      </c>
      <c r="J1251" s="42" t="s">
        <v>39</v>
      </c>
      <c r="K1251" s="42" t="s">
        <v>675</v>
      </c>
      <c r="L1251" s="42" t="s">
        <v>272</v>
      </c>
      <c r="M1251" s="42"/>
    </row>
    <row r="1252" spans="1:13" x14ac:dyDescent="0.25">
      <c r="A1252" s="42" t="s">
        <v>236</v>
      </c>
      <c r="B1252" s="43">
        <v>42349</v>
      </c>
      <c r="C1252" s="42" t="s">
        <v>987</v>
      </c>
      <c r="D1252" s="42" t="str">
        <f t="shared" ref="D1252:D1315" si="42">IF(ISNA(VLOOKUP(E1252,$L$2:$M$26,2,FALSE)),E1252,VLOOKUP(E1252,$L$2:$M$26,2,FALSE))</f>
        <v>D-Restaurant</v>
      </c>
      <c r="E1252" s="42" t="s">
        <v>204</v>
      </c>
      <c r="F1252" s="42" t="s">
        <v>238</v>
      </c>
      <c r="G1252" s="42">
        <v>-33.29</v>
      </c>
      <c r="H1252" s="42">
        <f t="shared" si="41"/>
        <v>201512</v>
      </c>
      <c r="I1252" s="42">
        <f>MATCH(D1252,$O:$O,0)</f>
        <v>9</v>
      </c>
      <c r="J1252" s="42" t="s">
        <v>39</v>
      </c>
      <c r="K1252" s="42" t="s">
        <v>803</v>
      </c>
      <c r="L1252" s="42"/>
      <c r="M1252" s="42"/>
    </row>
    <row r="1253" spans="1:13" x14ac:dyDescent="0.25">
      <c r="A1253" s="42" t="s">
        <v>236</v>
      </c>
      <c r="B1253" s="43">
        <v>42349</v>
      </c>
      <c r="C1253" s="42" t="s">
        <v>578</v>
      </c>
      <c r="D1253" s="42" t="str">
        <f t="shared" si="42"/>
        <v>Gifts</v>
      </c>
      <c r="E1253" s="42" t="s">
        <v>40</v>
      </c>
      <c r="F1253" s="42" t="s">
        <v>238</v>
      </c>
      <c r="G1253" s="42">
        <v>32.770000000000003</v>
      </c>
      <c r="H1253" s="42">
        <f t="shared" si="41"/>
        <v>201512</v>
      </c>
      <c r="I1253" s="42">
        <f>MATCH(D1253,$O:$O,0)</f>
        <v>11</v>
      </c>
      <c r="J1253" s="42" t="s">
        <v>39</v>
      </c>
      <c r="K1253" s="42" t="s">
        <v>630</v>
      </c>
      <c r="L1253" s="42" t="s">
        <v>193</v>
      </c>
      <c r="M1253" s="42"/>
    </row>
    <row r="1254" spans="1:13" x14ac:dyDescent="0.25">
      <c r="A1254" s="42" t="s">
        <v>236</v>
      </c>
      <c r="B1254" s="43">
        <v>42350</v>
      </c>
      <c r="C1254" s="42" t="s">
        <v>1035</v>
      </c>
      <c r="D1254" s="42" t="str">
        <f t="shared" si="42"/>
        <v>Public Transit</v>
      </c>
      <c r="E1254" s="42" t="s">
        <v>90</v>
      </c>
      <c r="F1254" s="42" t="s">
        <v>238</v>
      </c>
      <c r="G1254" s="42">
        <v>-20</v>
      </c>
      <c r="H1254" s="42">
        <f t="shared" si="41"/>
        <v>201512</v>
      </c>
      <c r="I1254" s="42">
        <f>MATCH(D1254,$O:$O,0)</f>
        <v>25</v>
      </c>
      <c r="J1254" s="42" t="s">
        <v>39</v>
      </c>
      <c r="K1254" s="42" t="s">
        <v>649</v>
      </c>
      <c r="L1254" s="42"/>
      <c r="M1254" s="42"/>
    </row>
    <row r="1255" spans="1:13" x14ac:dyDescent="0.25">
      <c r="A1255" s="42" t="s">
        <v>236</v>
      </c>
      <c r="B1255" s="43">
        <v>42350</v>
      </c>
      <c r="C1255" s="42" t="s">
        <v>1037</v>
      </c>
      <c r="D1255" s="42" t="str">
        <f t="shared" si="42"/>
        <v>D-Restaurant</v>
      </c>
      <c r="E1255" s="42" t="s">
        <v>204</v>
      </c>
      <c r="F1255" s="42" t="s">
        <v>238</v>
      </c>
      <c r="G1255" s="42">
        <v>-165</v>
      </c>
      <c r="H1255" s="42">
        <f t="shared" si="41"/>
        <v>201512</v>
      </c>
      <c r="I1255" s="42">
        <f>MATCH(D1255,$O:$O,0)</f>
        <v>9</v>
      </c>
      <c r="J1255" s="42" t="s">
        <v>39</v>
      </c>
      <c r="K1255" s="42" t="s">
        <v>649</v>
      </c>
      <c r="L1255" s="42"/>
      <c r="M1255" s="42"/>
    </row>
    <row r="1256" spans="1:13" x14ac:dyDescent="0.25">
      <c r="A1256" s="42" t="s">
        <v>236</v>
      </c>
      <c r="B1256" s="43">
        <v>42351</v>
      </c>
      <c r="C1256" s="42" t="s">
        <v>917</v>
      </c>
      <c r="D1256" s="42" t="str">
        <f t="shared" si="42"/>
        <v>Grocery</v>
      </c>
      <c r="E1256" s="42" t="s">
        <v>385</v>
      </c>
      <c r="F1256" s="42" t="s">
        <v>238</v>
      </c>
      <c r="G1256" s="42">
        <v>-11.48</v>
      </c>
      <c r="H1256" s="42">
        <f t="shared" si="41"/>
        <v>201512</v>
      </c>
      <c r="I1256" s="42">
        <f>MATCH(D1256,$O:$O,0)</f>
        <v>12</v>
      </c>
      <c r="J1256" s="42" t="s">
        <v>39</v>
      </c>
      <c r="K1256" s="42" t="s">
        <v>649</v>
      </c>
      <c r="L1256" s="42" t="s">
        <v>1022</v>
      </c>
      <c r="M1256" s="42"/>
    </row>
    <row r="1257" spans="1:13" x14ac:dyDescent="0.25">
      <c r="A1257" s="42" t="s">
        <v>236</v>
      </c>
      <c r="B1257" s="43">
        <v>42351</v>
      </c>
      <c r="C1257" s="42" t="s">
        <v>900</v>
      </c>
      <c r="D1257" s="42" t="str">
        <f t="shared" si="42"/>
        <v>Gas</v>
      </c>
      <c r="E1257" s="42" t="s">
        <v>311</v>
      </c>
      <c r="F1257" s="42" t="s">
        <v>238</v>
      </c>
      <c r="G1257" s="42">
        <v>-22</v>
      </c>
      <c r="H1257" s="42">
        <f t="shared" si="41"/>
        <v>201512</v>
      </c>
      <c r="I1257" s="42">
        <f>MATCH(D1257,$O:$O,0)</f>
        <v>30</v>
      </c>
      <c r="J1257" s="42" t="s">
        <v>39</v>
      </c>
      <c r="K1257" s="42" t="s">
        <v>649</v>
      </c>
      <c r="L1257" s="42" t="s">
        <v>272</v>
      </c>
      <c r="M1257" s="42"/>
    </row>
    <row r="1258" spans="1:13" x14ac:dyDescent="0.25">
      <c r="A1258" s="42" t="s">
        <v>236</v>
      </c>
      <c r="B1258" s="43">
        <v>42351</v>
      </c>
      <c r="C1258" s="42" t="s">
        <v>917</v>
      </c>
      <c r="D1258" s="42" t="str">
        <f t="shared" si="42"/>
        <v>Grocery</v>
      </c>
      <c r="E1258" s="42" t="s">
        <v>385</v>
      </c>
      <c r="F1258" s="42" t="s">
        <v>238</v>
      </c>
      <c r="G1258" s="42">
        <v>-200</v>
      </c>
      <c r="H1258" s="42">
        <f t="shared" si="41"/>
        <v>201512</v>
      </c>
      <c r="I1258" s="42">
        <f>MATCH(D1258,$O:$O,0)</f>
        <v>12</v>
      </c>
      <c r="J1258" s="42" t="s">
        <v>39</v>
      </c>
      <c r="K1258" s="42" t="s">
        <v>649</v>
      </c>
      <c r="L1258" s="42" t="s">
        <v>804</v>
      </c>
      <c r="M1258" s="42"/>
    </row>
    <row r="1259" spans="1:13" x14ac:dyDescent="0.25">
      <c r="A1259" s="42" t="s">
        <v>236</v>
      </c>
      <c r="B1259" s="43">
        <v>42352</v>
      </c>
      <c r="C1259" s="42" t="s">
        <v>412</v>
      </c>
      <c r="D1259" s="42" t="str">
        <f t="shared" si="42"/>
        <v>Interest</v>
      </c>
      <c r="E1259" s="42" t="s">
        <v>200</v>
      </c>
      <c r="F1259" s="42" t="s">
        <v>238</v>
      </c>
      <c r="G1259" s="42">
        <v>0.37</v>
      </c>
      <c r="H1259" s="42">
        <f t="shared" si="41"/>
        <v>201512</v>
      </c>
      <c r="I1259" s="42" t="e">
        <f>MATCH(D1259,$O:$O,0)</f>
        <v>#N/A</v>
      </c>
      <c r="J1259" s="42" t="s">
        <v>39</v>
      </c>
      <c r="K1259" s="42" t="s">
        <v>649</v>
      </c>
      <c r="L1259" s="42"/>
      <c r="M1259" s="42"/>
    </row>
    <row r="1260" spans="1:13" x14ac:dyDescent="0.25">
      <c r="A1260" s="42" t="s">
        <v>236</v>
      </c>
      <c r="B1260" s="43">
        <v>42352</v>
      </c>
      <c r="C1260" s="42" t="s">
        <v>221</v>
      </c>
      <c r="D1260" s="42" t="str">
        <f t="shared" si="42"/>
        <v>Tax</v>
      </c>
      <c r="E1260" s="42" t="s">
        <v>222</v>
      </c>
      <c r="F1260" s="42" t="s">
        <v>238</v>
      </c>
      <c r="G1260" s="42">
        <v>-0.1</v>
      </c>
      <c r="H1260" s="42">
        <f t="shared" si="41"/>
        <v>201512</v>
      </c>
      <c r="I1260" s="42">
        <f>MATCH(D1260,$O:$O,0)</f>
        <v>29</v>
      </c>
      <c r="J1260" s="42" t="s">
        <v>39</v>
      </c>
      <c r="K1260" s="42" t="s">
        <v>632</v>
      </c>
      <c r="L1260" s="42"/>
      <c r="M1260" s="42"/>
    </row>
    <row r="1261" spans="1:13" x14ac:dyDescent="0.25">
      <c r="A1261" s="42" t="s">
        <v>236</v>
      </c>
      <c r="B1261" s="43">
        <v>42352</v>
      </c>
      <c r="C1261" s="42" t="s">
        <v>412</v>
      </c>
      <c r="D1261" s="42" t="str">
        <f t="shared" si="42"/>
        <v>Interest</v>
      </c>
      <c r="E1261" s="42" t="s">
        <v>200</v>
      </c>
      <c r="F1261" s="42" t="s">
        <v>238</v>
      </c>
      <c r="G1261" s="42">
        <v>0.38</v>
      </c>
      <c r="H1261" s="42">
        <f t="shared" si="41"/>
        <v>201512</v>
      </c>
      <c r="I1261" s="42" t="e">
        <f>MATCH(D1261,$O:$O,0)</f>
        <v>#N/A</v>
      </c>
      <c r="J1261" s="42" t="s">
        <v>39</v>
      </c>
      <c r="K1261" s="42" t="s">
        <v>630</v>
      </c>
      <c r="L1261" s="42" t="s">
        <v>1026</v>
      </c>
      <c r="M1261" s="42"/>
    </row>
    <row r="1262" spans="1:13" x14ac:dyDescent="0.25">
      <c r="A1262" s="42" t="s">
        <v>236</v>
      </c>
      <c r="B1262" s="43">
        <v>42352</v>
      </c>
      <c r="C1262" s="42" t="s">
        <v>412</v>
      </c>
      <c r="D1262" s="42" t="str">
        <f t="shared" si="42"/>
        <v>Interest</v>
      </c>
      <c r="E1262" s="42" t="s">
        <v>200</v>
      </c>
      <c r="F1262" s="42" t="s">
        <v>238</v>
      </c>
      <c r="G1262" s="42">
        <v>0.44</v>
      </c>
      <c r="H1262" s="42">
        <f t="shared" si="41"/>
        <v>201512</v>
      </c>
      <c r="I1262" s="42" t="e">
        <f>MATCH(D1262,$O:$O,0)</f>
        <v>#N/A</v>
      </c>
      <c r="J1262" s="42" t="s">
        <v>39</v>
      </c>
      <c r="K1262" s="42" t="s">
        <v>649</v>
      </c>
      <c r="L1262" s="42" t="s">
        <v>986</v>
      </c>
      <c r="M1262" s="42"/>
    </row>
    <row r="1263" spans="1:13" x14ac:dyDescent="0.25">
      <c r="A1263" s="42" t="s">
        <v>236</v>
      </c>
      <c r="B1263" s="43">
        <v>42352</v>
      </c>
      <c r="C1263" s="42" t="s">
        <v>412</v>
      </c>
      <c r="D1263" s="42" t="str">
        <f t="shared" si="42"/>
        <v>Interest</v>
      </c>
      <c r="E1263" s="42" t="s">
        <v>200</v>
      </c>
      <c r="F1263" s="42" t="s">
        <v>238</v>
      </c>
      <c r="G1263" s="46">
        <v>0.1</v>
      </c>
      <c r="H1263" s="42">
        <f t="shared" si="41"/>
        <v>201512</v>
      </c>
      <c r="I1263" s="42" t="e">
        <f>MATCH(D1263,$O:$O,0)</f>
        <v>#N/A</v>
      </c>
      <c r="J1263" s="42" t="s">
        <v>39</v>
      </c>
      <c r="K1263" s="42" t="s">
        <v>649</v>
      </c>
      <c r="L1263" s="42" t="s">
        <v>1028</v>
      </c>
      <c r="M1263" s="42"/>
    </row>
    <row r="1264" spans="1:13" x14ac:dyDescent="0.25">
      <c r="A1264" s="42" t="s">
        <v>236</v>
      </c>
      <c r="B1264" s="43">
        <v>42352</v>
      </c>
      <c r="C1264" s="42" t="s">
        <v>1034</v>
      </c>
      <c r="D1264" s="42" t="str">
        <f t="shared" si="42"/>
        <v>Paychecks/Salary</v>
      </c>
      <c r="E1264" s="42" t="s">
        <v>375</v>
      </c>
      <c r="F1264" s="42" t="s">
        <v>238</v>
      </c>
      <c r="G1264" s="42">
        <v>19.649999999999999</v>
      </c>
      <c r="H1264" s="42">
        <f t="shared" si="41"/>
        <v>201512</v>
      </c>
      <c r="I1264" s="42">
        <f>MATCH(D1264,$O:$O,0)</f>
        <v>40</v>
      </c>
      <c r="J1264" s="42" t="s">
        <v>39</v>
      </c>
      <c r="K1264" s="42" t="s">
        <v>649</v>
      </c>
      <c r="L1264" s="42"/>
      <c r="M1264" s="42"/>
    </row>
    <row r="1265" spans="1:13" x14ac:dyDescent="0.25">
      <c r="A1265" s="42" t="s">
        <v>236</v>
      </c>
      <c r="B1265" s="43">
        <v>42352</v>
      </c>
      <c r="C1265" s="42" t="s">
        <v>221</v>
      </c>
      <c r="D1265" s="42" t="str">
        <f t="shared" si="42"/>
        <v>Tax</v>
      </c>
      <c r="E1265" s="42" t="s">
        <v>222</v>
      </c>
      <c r="F1265" s="42" t="s">
        <v>238</v>
      </c>
      <c r="G1265" s="42">
        <v>-0.11</v>
      </c>
      <c r="H1265" s="42">
        <f t="shared" si="41"/>
        <v>201512</v>
      </c>
      <c r="I1265" s="42">
        <f>MATCH(D1265,$O:$O,0)</f>
        <v>29</v>
      </c>
      <c r="J1265" s="42" t="s">
        <v>39</v>
      </c>
      <c r="K1265" s="42" t="s">
        <v>649</v>
      </c>
      <c r="L1265" s="42"/>
      <c r="M1265" s="42"/>
    </row>
    <row r="1266" spans="1:13" x14ac:dyDescent="0.25">
      <c r="A1266" s="42" t="s">
        <v>236</v>
      </c>
      <c r="B1266" s="43">
        <v>42352</v>
      </c>
      <c r="C1266" s="42" t="s">
        <v>565</v>
      </c>
      <c r="D1266" s="42" t="str">
        <f t="shared" si="42"/>
        <v>Grocery</v>
      </c>
      <c r="E1266" s="42" t="s">
        <v>192</v>
      </c>
      <c r="F1266" s="42" t="s">
        <v>238</v>
      </c>
      <c r="G1266" s="42">
        <v>-8.1199999999999992</v>
      </c>
      <c r="H1266" s="42">
        <f t="shared" si="41"/>
        <v>201512</v>
      </c>
      <c r="I1266" s="42">
        <f>MATCH(D1266,$O:$O,0)</f>
        <v>12</v>
      </c>
      <c r="J1266" s="42" t="s">
        <v>39</v>
      </c>
      <c r="K1266" s="42" t="s">
        <v>649</v>
      </c>
      <c r="L1266" s="42" t="s">
        <v>804</v>
      </c>
      <c r="M1266" s="42"/>
    </row>
    <row r="1267" spans="1:13" x14ac:dyDescent="0.25">
      <c r="A1267" s="42" t="s">
        <v>236</v>
      </c>
      <c r="B1267" s="43">
        <v>42352</v>
      </c>
      <c r="C1267" s="42" t="s">
        <v>583</v>
      </c>
      <c r="D1267" s="42" t="str">
        <f t="shared" si="42"/>
        <v>Grocery</v>
      </c>
      <c r="E1267" s="42" t="s">
        <v>192</v>
      </c>
      <c r="F1267" s="42" t="s">
        <v>238</v>
      </c>
      <c r="G1267" s="42">
        <v>-36.24</v>
      </c>
      <c r="H1267" s="42">
        <f t="shared" si="41"/>
        <v>201512</v>
      </c>
      <c r="I1267" s="42">
        <f>MATCH(D1267,$O:$O,0)</f>
        <v>12</v>
      </c>
      <c r="J1267" s="42" t="s">
        <v>39</v>
      </c>
      <c r="K1267" s="42" t="s">
        <v>649</v>
      </c>
      <c r="L1267" s="42"/>
      <c r="M1267" s="42"/>
    </row>
    <row r="1268" spans="1:13" x14ac:dyDescent="0.25">
      <c r="A1268" s="42" t="s">
        <v>236</v>
      </c>
      <c r="B1268" s="43">
        <v>42353</v>
      </c>
      <c r="C1268" s="42" t="s">
        <v>634</v>
      </c>
      <c r="D1268" s="42" t="str">
        <f t="shared" si="42"/>
        <v>Utility</v>
      </c>
      <c r="E1268" s="42" t="s">
        <v>19</v>
      </c>
      <c r="F1268" s="42" t="s">
        <v>238</v>
      </c>
      <c r="G1268" s="42">
        <v>-123.71</v>
      </c>
      <c r="H1268" s="42">
        <f t="shared" si="41"/>
        <v>201512</v>
      </c>
      <c r="I1268" s="42">
        <f>MATCH(D1268,$O:$O,0)</f>
        <v>34</v>
      </c>
      <c r="J1268" s="42" t="s">
        <v>39</v>
      </c>
      <c r="K1268" s="42" t="s">
        <v>649</v>
      </c>
      <c r="L1268" s="42" t="s">
        <v>246</v>
      </c>
      <c r="M1268" s="42"/>
    </row>
    <row r="1269" spans="1:13" x14ac:dyDescent="0.25">
      <c r="A1269" s="42" t="s">
        <v>236</v>
      </c>
      <c r="B1269" s="43">
        <v>42353</v>
      </c>
      <c r="C1269" s="42" t="s">
        <v>1033</v>
      </c>
      <c r="D1269" s="42" t="str">
        <f t="shared" si="42"/>
        <v>Paychecks/Salary</v>
      </c>
      <c r="E1269" s="42" t="s">
        <v>375</v>
      </c>
      <c r="F1269" s="42" t="s">
        <v>238</v>
      </c>
      <c r="G1269" s="48">
        <v>3258.94</v>
      </c>
      <c r="H1269" s="42">
        <f t="shared" si="41"/>
        <v>201512</v>
      </c>
      <c r="I1269" s="42">
        <f>MATCH(D1269,$O:$O,0)</f>
        <v>40</v>
      </c>
      <c r="J1269" s="42" t="s">
        <v>39</v>
      </c>
      <c r="K1269" s="42" t="s">
        <v>630</v>
      </c>
      <c r="L1269" s="42" t="s">
        <v>886</v>
      </c>
      <c r="M1269" s="42"/>
    </row>
    <row r="1270" spans="1:13" x14ac:dyDescent="0.25">
      <c r="A1270" s="42" t="s">
        <v>236</v>
      </c>
      <c r="B1270" s="43">
        <v>42353</v>
      </c>
      <c r="C1270" s="42" t="s">
        <v>782</v>
      </c>
      <c r="D1270" s="42" t="str">
        <f t="shared" si="42"/>
        <v>D-Restaurant</v>
      </c>
      <c r="E1270" s="42" t="s">
        <v>204</v>
      </c>
      <c r="F1270" s="42" t="s">
        <v>238</v>
      </c>
      <c r="G1270" s="42">
        <v>-14.15</v>
      </c>
      <c r="H1270" s="42">
        <f t="shared" si="41"/>
        <v>201512</v>
      </c>
      <c r="I1270" s="42">
        <f>MATCH(D1270,$O:$O,0)</f>
        <v>9</v>
      </c>
      <c r="J1270" s="42" t="s">
        <v>39</v>
      </c>
      <c r="K1270" s="42" t="s">
        <v>649</v>
      </c>
      <c r="L1270" s="42" t="s">
        <v>340</v>
      </c>
      <c r="M1270" s="42"/>
    </row>
    <row r="1271" spans="1:13" x14ac:dyDescent="0.25">
      <c r="A1271" s="42" t="s">
        <v>236</v>
      </c>
      <c r="B1271" s="43">
        <v>42353</v>
      </c>
      <c r="C1271" s="42" t="s">
        <v>565</v>
      </c>
      <c r="D1271" s="42" t="str">
        <f t="shared" si="42"/>
        <v>Grocery</v>
      </c>
      <c r="E1271" s="42" t="s">
        <v>192</v>
      </c>
      <c r="F1271" s="42" t="s">
        <v>238</v>
      </c>
      <c r="G1271" s="42">
        <v>-9.02</v>
      </c>
      <c r="H1271" s="42">
        <f t="shared" si="41"/>
        <v>201512</v>
      </c>
      <c r="I1271" s="42">
        <f>MATCH(D1271,$O:$O,0)</f>
        <v>12</v>
      </c>
      <c r="J1271" s="42" t="s">
        <v>39</v>
      </c>
      <c r="K1271" s="42" t="s">
        <v>803</v>
      </c>
      <c r="L1271" s="42" t="s">
        <v>804</v>
      </c>
      <c r="M1271" s="42"/>
    </row>
    <row r="1272" spans="1:13" x14ac:dyDescent="0.25">
      <c r="A1272" s="42" t="s">
        <v>236</v>
      </c>
      <c r="B1272" s="43">
        <v>42353</v>
      </c>
      <c r="C1272" s="42" t="s">
        <v>565</v>
      </c>
      <c r="D1272" s="42" t="str">
        <f t="shared" si="42"/>
        <v>Grocery</v>
      </c>
      <c r="E1272" s="42" t="s">
        <v>192</v>
      </c>
      <c r="F1272" s="42" t="s">
        <v>238</v>
      </c>
      <c r="G1272" s="46">
        <v>-2.17</v>
      </c>
      <c r="H1272" s="42">
        <f t="shared" si="41"/>
        <v>201512</v>
      </c>
      <c r="I1272" s="42">
        <f>MATCH(D1272,$O:$O,0)</f>
        <v>12</v>
      </c>
      <c r="J1272" s="42" t="s">
        <v>39</v>
      </c>
      <c r="K1272" s="42" t="s">
        <v>803</v>
      </c>
      <c r="L1272" s="42" t="s">
        <v>334</v>
      </c>
      <c r="M1272" s="42"/>
    </row>
    <row r="1273" spans="1:13" x14ac:dyDescent="0.25">
      <c r="A1273" s="42" t="s">
        <v>236</v>
      </c>
      <c r="B1273" s="43">
        <v>42353</v>
      </c>
      <c r="C1273" s="42" t="s">
        <v>917</v>
      </c>
      <c r="D1273" s="42" t="str">
        <f t="shared" si="42"/>
        <v>Grocery</v>
      </c>
      <c r="E1273" s="42" t="s">
        <v>385</v>
      </c>
      <c r="F1273" s="42" t="s">
        <v>238</v>
      </c>
      <c r="G1273" s="42">
        <v>-15.18</v>
      </c>
      <c r="H1273" s="42">
        <f t="shared" si="41"/>
        <v>201512</v>
      </c>
      <c r="I1273" s="42">
        <f>MATCH(D1273,$O:$O,0)</f>
        <v>12</v>
      </c>
      <c r="J1273" s="42" t="s">
        <v>39</v>
      </c>
      <c r="K1273" s="42" t="s">
        <v>649</v>
      </c>
      <c r="L1273" s="42" t="s">
        <v>272</v>
      </c>
      <c r="M1273" s="42"/>
    </row>
    <row r="1274" spans="1:13" x14ac:dyDescent="0.25">
      <c r="A1274" s="42" t="s">
        <v>236</v>
      </c>
      <c r="B1274" s="43">
        <v>42353</v>
      </c>
      <c r="C1274" s="42" t="s">
        <v>900</v>
      </c>
      <c r="D1274" s="42" t="str">
        <f t="shared" si="42"/>
        <v>Gas</v>
      </c>
      <c r="E1274" s="42" t="s">
        <v>311</v>
      </c>
      <c r="F1274" s="42" t="s">
        <v>238</v>
      </c>
      <c r="G1274" s="42">
        <v>-24.56</v>
      </c>
      <c r="H1274" s="42">
        <f t="shared" si="41"/>
        <v>201512</v>
      </c>
      <c r="I1274" s="42">
        <f>MATCH(D1274,$O:$O,0)</f>
        <v>30</v>
      </c>
      <c r="J1274" s="42" t="s">
        <v>39</v>
      </c>
      <c r="K1274" s="42" t="s">
        <v>649</v>
      </c>
      <c r="L1274" s="42" t="s">
        <v>1032</v>
      </c>
      <c r="M1274" s="42"/>
    </row>
    <row r="1275" spans="1:13" x14ac:dyDescent="0.25">
      <c r="A1275" s="42" t="s">
        <v>236</v>
      </c>
      <c r="B1275" s="43">
        <v>42354</v>
      </c>
      <c r="C1275" s="42" t="s">
        <v>1030</v>
      </c>
      <c r="D1275" s="42" t="str">
        <f t="shared" si="42"/>
        <v>D-Travel</v>
      </c>
      <c r="E1275" s="42" t="s">
        <v>161</v>
      </c>
      <c r="F1275" s="42" t="s">
        <v>238</v>
      </c>
      <c r="G1275" s="42">
        <v>-7</v>
      </c>
      <c r="H1275" s="42">
        <f t="shared" si="41"/>
        <v>201512</v>
      </c>
      <c r="I1275" s="42">
        <f>MATCH(D1275,$O:$O,0)</f>
        <v>10</v>
      </c>
      <c r="J1275" s="42" t="s">
        <v>39</v>
      </c>
      <c r="K1275" s="42" t="s">
        <v>649</v>
      </c>
      <c r="L1275" s="42" t="s">
        <v>229</v>
      </c>
      <c r="M1275" s="42"/>
    </row>
    <row r="1276" spans="1:13" x14ac:dyDescent="0.25">
      <c r="A1276" s="42" t="s">
        <v>236</v>
      </c>
      <c r="B1276" s="43">
        <v>42354</v>
      </c>
      <c r="C1276" s="42" t="s">
        <v>1031</v>
      </c>
      <c r="D1276" s="42" t="str">
        <f t="shared" si="42"/>
        <v>D-Restaurant</v>
      </c>
      <c r="E1276" s="42" t="s">
        <v>204</v>
      </c>
      <c r="F1276" s="42" t="s">
        <v>238</v>
      </c>
      <c r="G1276" s="42">
        <v>-7.53</v>
      </c>
      <c r="H1276" s="42">
        <f t="shared" si="41"/>
        <v>201512</v>
      </c>
      <c r="I1276" s="42">
        <f>MATCH(D1276,$O:$O,0)</f>
        <v>9</v>
      </c>
      <c r="J1276" s="42" t="s">
        <v>39</v>
      </c>
      <c r="K1276" s="42" t="s">
        <v>619</v>
      </c>
      <c r="L1276" s="42" t="s">
        <v>339</v>
      </c>
      <c r="M1276" s="42"/>
    </row>
    <row r="1277" spans="1:13" x14ac:dyDescent="0.25">
      <c r="A1277" s="42" t="s">
        <v>236</v>
      </c>
      <c r="B1277" s="43">
        <v>42355</v>
      </c>
      <c r="C1277" s="42" t="s">
        <v>885</v>
      </c>
      <c r="D1277" s="42" t="str">
        <f t="shared" si="42"/>
        <v>Grocery</v>
      </c>
      <c r="E1277" s="42" t="s">
        <v>192</v>
      </c>
      <c r="F1277" s="42" t="s">
        <v>238</v>
      </c>
      <c r="G1277" s="42">
        <v>-2.98</v>
      </c>
      <c r="H1277" s="42">
        <f t="shared" si="41"/>
        <v>201512</v>
      </c>
      <c r="I1277" s="42">
        <f>MATCH(D1277,$O:$O,0)</f>
        <v>12</v>
      </c>
      <c r="J1277" s="42" t="s">
        <v>39</v>
      </c>
      <c r="K1277" s="42" t="s">
        <v>619</v>
      </c>
      <c r="L1277" s="42" t="s">
        <v>817</v>
      </c>
      <c r="M1277" s="42"/>
    </row>
    <row r="1278" spans="1:13" x14ac:dyDescent="0.25">
      <c r="A1278" s="42" t="s">
        <v>236</v>
      </c>
      <c r="B1278" s="43">
        <v>42355</v>
      </c>
      <c r="C1278" s="42" t="s">
        <v>682</v>
      </c>
      <c r="D1278" s="42" t="str">
        <f t="shared" si="42"/>
        <v>Parking</v>
      </c>
      <c r="E1278" s="42" t="s">
        <v>170</v>
      </c>
      <c r="F1278" s="42" t="s">
        <v>238</v>
      </c>
      <c r="G1278" s="42">
        <v>-6</v>
      </c>
      <c r="H1278" s="42">
        <f t="shared" si="41"/>
        <v>201512</v>
      </c>
      <c r="I1278" s="42">
        <f>MATCH(D1278,$O:$O,0)</f>
        <v>32</v>
      </c>
      <c r="J1278" s="42" t="s">
        <v>39</v>
      </c>
      <c r="K1278" s="42" t="s">
        <v>803</v>
      </c>
      <c r="L1278" s="42" t="s">
        <v>252</v>
      </c>
      <c r="M1278" s="42"/>
    </row>
    <row r="1279" spans="1:13" x14ac:dyDescent="0.25">
      <c r="A1279" s="42" t="s">
        <v>236</v>
      </c>
      <c r="B1279" s="43">
        <v>42355</v>
      </c>
      <c r="C1279" s="42" t="s">
        <v>685</v>
      </c>
      <c r="D1279" s="42" t="str">
        <f t="shared" si="42"/>
        <v>D-Restaurant</v>
      </c>
      <c r="E1279" s="42" t="s">
        <v>204</v>
      </c>
      <c r="F1279" s="42" t="s">
        <v>238</v>
      </c>
      <c r="G1279" s="42">
        <v>-6.52</v>
      </c>
      <c r="H1279" s="42">
        <f t="shared" si="41"/>
        <v>201512</v>
      </c>
      <c r="I1279" s="42">
        <f>MATCH(D1279,$O:$O,0)</f>
        <v>9</v>
      </c>
      <c r="J1279" s="42" t="s">
        <v>39</v>
      </c>
      <c r="K1279" s="42" t="s">
        <v>803</v>
      </c>
      <c r="L1279" s="42" t="s">
        <v>252</v>
      </c>
      <c r="M1279" s="42"/>
    </row>
    <row r="1280" spans="1:13" x14ac:dyDescent="0.25">
      <c r="A1280" s="42" t="s">
        <v>236</v>
      </c>
      <c r="B1280" s="43">
        <v>42355</v>
      </c>
      <c r="C1280" s="42" t="s">
        <v>1029</v>
      </c>
      <c r="D1280" s="42" t="str">
        <f t="shared" si="42"/>
        <v>Public Transit</v>
      </c>
      <c r="E1280" s="42" t="s">
        <v>90</v>
      </c>
      <c r="F1280" s="42" t="s">
        <v>238</v>
      </c>
      <c r="G1280" s="42">
        <v>-20</v>
      </c>
      <c r="H1280" s="42">
        <f t="shared" si="41"/>
        <v>201512</v>
      </c>
      <c r="I1280" s="42">
        <f>MATCH(D1280,$O:$O,0)</f>
        <v>25</v>
      </c>
      <c r="J1280" s="42" t="s">
        <v>39</v>
      </c>
      <c r="K1280" s="42" t="s">
        <v>628</v>
      </c>
      <c r="L1280" s="42" t="s">
        <v>193</v>
      </c>
      <c r="M1280" s="42"/>
    </row>
    <row r="1281" spans="1:13" x14ac:dyDescent="0.25">
      <c r="A1281" s="42" t="s">
        <v>236</v>
      </c>
      <c r="B1281" s="43">
        <v>42356</v>
      </c>
      <c r="C1281" s="42" t="s">
        <v>681</v>
      </c>
      <c r="D1281" s="42" t="str">
        <f t="shared" si="42"/>
        <v>D-Restaurant</v>
      </c>
      <c r="E1281" s="42" t="s">
        <v>204</v>
      </c>
      <c r="F1281" s="42" t="s">
        <v>238</v>
      </c>
      <c r="G1281" s="42">
        <v>-10.88</v>
      </c>
      <c r="H1281" s="42">
        <f t="shared" si="41"/>
        <v>201512</v>
      </c>
      <c r="I1281" s="42">
        <f>MATCH(D1281,$O:$O,0)</f>
        <v>9</v>
      </c>
      <c r="J1281" s="42" t="s">
        <v>39</v>
      </c>
      <c r="K1281" s="42" t="s">
        <v>676</v>
      </c>
      <c r="L1281" s="42" t="s">
        <v>310</v>
      </c>
      <c r="M1281" s="42"/>
    </row>
    <row r="1282" spans="1:13" x14ac:dyDescent="0.25">
      <c r="A1282" s="42" t="s">
        <v>236</v>
      </c>
      <c r="B1282" s="43">
        <v>42357</v>
      </c>
      <c r="C1282" s="42" t="s">
        <v>845</v>
      </c>
      <c r="D1282" s="42" t="str">
        <f t="shared" si="42"/>
        <v>Credit Card Payments</v>
      </c>
      <c r="E1282" s="42" t="s">
        <v>242</v>
      </c>
      <c r="F1282" s="42" t="s">
        <v>238</v>
      </c>
      <c r="G1282" s="42">
        <v>209</v>
      </c>
      <c r="H1282" s="42">
        <f t="shared" ref="H1282:H1345" si="43">YEAR(B1282)*100+MONTH(B1282)</f>
        <v>201512</v>
      </c>
      <c r="I1282" s="42">
        <f>MATCH(D1282,$O:$O,0)</f>
        <v>38</v>
      </c>
      <c r="J1282" s="42" t="s">
        <v>39</v>
      </c>
      <c r="K1282" s="42" t="s">
        <v>675</v>
      </c>
      <c r="L1282" s="42" t="s">
        <v>200</v>
      </c>
      <c r="M1282" s="42"/>
    </row>
    <row r="1283" spans="1:13" x14ac:dyDescent="0.25">
      <c r="A1283" s="42" t="s">
        <v>236</v>
      </c>
      <c r="B1283" s="43">
        <v>42357</v>
      </c>
      <c r="C1283" s="42" t="s">
        <v>685</v>
      </c>
      <c r="D1283" s="42" t="str">
        <f t="shared" si="42"/>
        <v>D-Restaurant</v>
      </c>
      <c r="E1283" s="42" t="s">
        <v>204</v>
      </c>
      <c r="F1283" s="42" t="s">
        <v>238</v>
      </c>
      <c r="G1283" s="42">
        <v>-6.52</v>
      </c>
      <c r="H1283" s="42">
        <f t="shared" si="43"/>
        <v>201512</v>
      </c>
      <c r="I1283" s="42">
        <f>MATCH(D1283,$O:$O,0)</f>
        <v>9</v>
      </c>
      <c r="J1283" s="42" t="s">
        <v>39</v>
      </c>
      <c r="K1283" s="42" t="s">
        <v>803</v>
      </c>
      <c r="L1283" s="42"/>
      <c r="M1283" s="42"/>
    </row>
    <row r="1284" spans="1:13" x14ac:dyDescent="0.25">
      <c r="A1284" s="42" t="s">
        <v>236</v>
      </c>
      <c r="B1284" s="43">
        <v>42357</v>
      </c>
      <c r="C1284" s="42" t="s">
        <v>845</v>
      </c>
      <c r="D1284" s="42" t="str">
        <f t="shared" si="42"/>
        <v>Credit Card Payments</v>
      </c>
      <c r="E1284" s="42" t="s">
        <v>242</v>
      </c>
      <c r="F1284" s="42" t="s">
        <v>238</v>
      </c>
      <c r="G1284" s="48">
        <v>3033</v>
      </c>
      <c r="H1284" s="42">
        <f t="shared" si="43"/>
        <v>201512</v>
      </c>
      <c r="I1284" s="42">
        <f>MATCH(D1284,$O:$O,0)</f>
        <v>38</v>
      </c>
      <c r="J1284" s="42" t="s">
        <v>39</v>
      </c>
      <c r="K1284" s="42" t="s">
        <v>628</v>
      </c>
      <c r="L1284" s="42" t="s">
        <v>200</v>
      </c>
      <c r="M1284" s="42"/>
    </row>
    <row r="1285" spans="1:13" x14ac:dyDescent="0.25">
      <c r="A1285" s="42" t="s">
        <v>236</v>
      </c>
      <c r="B1285" s="43">
        <v>42359</v>
      </c>
      <c r="C1285" s="42" t="s">
        <v>1019</v>
      </c>
      <c r="D1285" s="42" t="str">
        <f t="shared" si="42"/>
        <v>Credit Card Payments</v>
      </c>
      <c r="E1285" s="42" t="s">
        <v>242</v>
      </c>
      <c r="F1285" s="42" t="s">
        <v>238</v>
      </c>
      <c r="G1285" s="42">
        <v>-209</v>
      </c>
      <c r="H1285" s="42">
        <f t="shared" si="43"/>
        <v>201512</v>
      </c>
      <c r="I1285" s="42">
        <f>MATCH(D1285,$O:$O,0)</f>
        <v>38</v>
      </c>
      <c r="J1285" s="42" t="s">
        <v>39</v>
      </c>
      <c r="K1285" s="42" t="s">
        <v>649</v>
      </c>
      <c r="L1285" s="42" t="s">
        <v>200</v>
      </c>
      <c r="M1285" s="42"/>
    </row>
    <row r="1286" spans="1:13" x14ac:dyDescent="0.25">
      <c r="A1286" s="42" t="s">
        <v>236</v>
      </c>
      <c r="B1286" s="43">
        <v>42359</v>
      </c>
      <c r="C1286" s="42" t="s">
        <v>1020</v>
      </c>
      <c r="D1286" s="42" t="str">
        <f t="shared" si="42"/>
        <v>Credit Card Payments</v>
      </c>
      <c r="E1286" s="42" t="s">
        <v>242</v>
      </c>
      <c r="F1286" s="42" t="s">
        <v>238</v>
      </c>
      <c r="G1286" s="48">
        <v>-3033</v>
      </c>
      <c r="H1286" s="42">
        <f t="shared" si="43"/>
        <v>201512</v>
      </c>
      <c r="I1286" s="42">
        <f>MATCH(D1286,$O:$O,0)</f>
        <v>38</v>
      </c>
      <c r="J1286" s="42" t="s">
        <v>39</v>
      </c>
      <c r="K1286" s="42" t="s">
        <v>649</v>
      </c>
      <c r="L1286" s="42" t="s">
        <v>200</v>
      </c>
      <c r="M1286" s="42"/>
    </row>
    <row r="1287" spans="1:13" x14ac:dyDescent="0.25">
      <c r="A1287" s="42" t="s">
        <v>236</v>
      </c>
      <c r="B1287" s="43">
        <v>42359</v>
      </c>
      <c r="C1287" s="42" t="s">
        <v>1021</v>
      </c>
      <c r="D1287" s="42" t="str">
        <f t="shared" si="42"/>
        <v>Cash Rebate</v>
      </c>
      <c r="E1287" s="42" t="s">
        <v>1050</v>
      </c>
      <c r="F1287" s="42" t="s">
        <v>238</v>
      </c>
      <c r="G1287" s="42">
        <v>138</v>
      </c>
      <c r="H1287" s="42">
        <f t="shared" si="43"/>
        <v>201512</v>
      </c>
      <c r="I1287" s="42">
        <f>MATCH(D1287,$O:$O,0)</f>
        <v>42</v>
      </c>
      <c r="J1287" s="42" t="s">
        <v>39</v>
      </c>
      <c r="K1287" s="42" t="s">
        <v>619</v>
      </c>
      <c r="L1287" s="42"/>
      <c r="M1287" s="42"/>
    </row>
    <row r="1288" spans="1:13" x14ac:dyDescent="0.25">
      <c r="A1288" s="42" t="s">
        <v>236</v>
      </c>
      <c r="B1288" s="43">
        <v>42359</v>
      </c>
      <c r="C1288" s="42" t="s">
        <v>1023</v>
      </c>
      <c r="D1288" s="42" t="str">
        <f t="shared" si="42"/>
        <v>D-Travel</v>
      </c>
      <c r="E1288" s="42" t="s">
        <v>161</v>
      </c>
      <c r="F1288" s="42" t="s">
        <v>238</v>
      </c>
      <c r="G1288" s="42">
        <v>-517.91</v>
      </c>
      <c r="H1288" s="42">
        <f t="shared" si="43"/>
        <v>201512</v>
      </c>
      <c r="I1288" s="42">
        <f>MATCH(D1288,$O:$O,0)</f>
        <v>10</v>
      </c>
      <c r="J1288" s="42" t="s">
        <v>39</v>
      </c>
      <c r="K1288" s="42" t="s">
        <v>619</v>
      </c>
      <c r="L1288" s="42"/>
      <c r="M1288" s="42"/>
    </row>
    <row r="1289" spans="1:13" x14ac:dyDescent="0.25">
      <c r="A1289" s="42" t="s">
        <v>236</v>
      </c>
      <c r="B1289" s="43">
        <v>42359</v>
      </c>
      <c r="C1289" s="42" t="s">
        <v>685</v>
      </c>
      <c r="D1289" s="42" t="str">
        <f t="shared" si="42"/>
        <v>D-Restaurant</v>
      </c>
      <c r="E1289" s="42" t="s">
        <v>204</v>
      </c>
      <c r="F1289" s="42" t="s">
        <v>238</v>
      </c>
      <c r="G1289" s="42">
        <v>-6.52</v>
      </c>
      <c r="H1289" s="42">
        <f t="shared" si="43"/>
        <v>201512</v>
      </c>
      <c r="I1289" s="42">
        <f>MATCH(D1289,$O:$O,0)</f>
        <v>9</v>
      </c>
      <c r="J1289" s="42" t="s">
        <v>39</v>
      </c>
      <c r="K1289" s="42" t="s">
        <v>619</v>
      </c>
      <c r="L1289" s="42" t="s">
        <v>252</v>
      </c>
      <c r="M1289" s="42"/>
    </row>
    <row r="1290" spans="1:13" x14ac:dyDescent="0.25">
      <c r="A1290" s="42" t="s">
        <v>236</v>
      </c>
      <c r="B1290" s="43">
        <v>42359</v>
      </c>
      <c r="C1290" s="42" t="s">
        <v>1024</v>
      </c>
      <c r="D1290" s="42" t="str">
        <f t="shared" si="42"/>
        <v>Grocery</v>
      </c>
      <c r="E1290" s="42" t="s">
        <v>192</v>
      </c>
      <c r="F1290" s="42" t="s">
        <v>238</v>
      </c>
      <c r="G1290" s="42">
        <v>-57.76</v>
      </c>
      <c r="H1290" s="42">
        <f t="shared" si="43"/>
        <v>201512</v>
      </c>
      <c r="I1290" s="42">
        <f>MATCH(D1290,$O:$O,0)</f>
        <v>12</v>
      </c>
      <c r="J1290" s="42" t="s">
        <v>39</v>
      </c>
      <c r="K1290" s="42" t="s">
        <v>649</v>
      </c>
      <c r="L1290" s="42" t="s">
        <v>353</v>
      </c>
      <c r="M1290" s="42"/>
    </row>
    <row r="1291" spans="1:13" x14ac:dyDescent="0.25">
      <c r="A1291" s="42" t="s">
        <v>236</v>
      </c>
      <c r="B1291" s="43">
        <v>42359</v>
      </c>
      <c r="C1291" s="42" t="s">
        <v>585</v>
      </c>
      <c r="D1291" s="42" t="str">
        <f t="shared" si="42"/>
        <v>D-Travel</v>
      </c>
      <c r="E1291" s="42" t="s">
        <v>161</v>
      </c>
      <c r="F1291" s="42" t="s">
        <v>238</v>
      </c>
      <c r="G1291" s="42">
        <v>-1.27</v>
      </c>
      <c r="H1291" s="42">
        <f t="shared" si="43"/>
        <v>201512</v>
      </c>
      <c r="I1291" s="42">
        <f>MATCH(D1291,$O:$O,0)</f>
        <v>10</v>
      </c>
      <c r="J1291" s="42" t="s">
        <v>39</v>
      </c>
      <c r="K1291" s="42" t="s">
        <v>649</v>
      </c>
      <c r="L1291" s="42" t="s">
        <v>193</v>
      </c>
      <c r="M1291" s="42"/>
    </row>
    <row r="1292" spans="1:13" x14ac:dyDescent="0.25">
      <c r="A1292" s="42" t="s">
        <v>236</v>
      </c>
      <c r="B1292" s="43">
        <v>42359</v>
      </c>
      <c r="C1292" s="42" t="s">
        <v>1025</v>
      </c>
      <c r="D1292" s="42" t="str">
        <f t="shared" si="42"/>
        <v>D-Restaurant</v>
      </c>
      <c r="E1292" s="42" t="s">
        <v>204</v>
      </c>
      <c r="F1292" s="42" t="s">
        <v>238</v>
      </c>
      <c r="G1292" s="42">
        <v>-9</v>
      </c>
      <c r="H1292" s="42">
        <f t="shared" si="43"/>
        <v>201512</v>
      </c>
      <c r="I1292" s="42">
        <f>MATCH(D1292,$O:$O,0)</f>
        <v>9</v>
      </c>
      <c r="J1292" s="42" t="s">
        <v>39</v>
      </c>
      <c r="K1292" s="42" t="s">
        <v>628</v>
      </c>
      <c r="L1292" s="42" t="s">
        <v>310</v>
      </c>
      <c r="M1292" s="42"/>
    </row>
    <row r="1293" spans="1:13" x14ac:dyDescent="0.25">
      <c r="A1293" s="42" t="s">
        <v>236</v>
      </c>
      <c r="B1293" s="43">
        <v>42359</v>
      </c>
      <c r="C1293" s="42" t="s">
        <v>985</v>
      </c>
      <c r="D1293" s="42" t="str">
        <f t="shared" si="42"/>
        <v>Cash Rebate</v>
      </c>
      <c r="E1293" s="42" t="s">
        <v>1050</v>
      </c>
      <c r="F1293" s="42" t="s">
        <v>238</v>
      </c>
      <c r="G1293" s="42">
        <v>66.17</v>
      </c>
      <c r="H1293" s="42">
        <f t="shared" si="43"/>
        <v>201512</v>
      </c>
      <c r="I1293" s="42">
        <f>MATCH(D1293,$O:$O,0)</f>
        <v>42</v>
      </c>
      <c r="J1293" s="42" t="s">
        <v>39</v>
      </c>
      <c r="K1293" s="42" t="s">
        <v>649</v>
      </c>
      <c r="L1293" s="42" t="s">
        <v>193</v>
      </c>
      <c r="M1293" s="42"/>
    </row>
    <row r="1294" spans="1:13" x14ac:dyDescent="0.25">
      <c r="A1294" s="42" t="s">
        <v>236</v>
      </c>
      <c r="B1294" s="43">
        <v>42359</v>
      </c>
      <c r="C1294" s="42" t="s">
        <v>1027</v>
      </c>
      <c r="D1294" s="42" t="str">
        <f t="shared" si="42"/>
        <v>Gifts</v>
      </c>
      <c r="E1294" s="42" t="s">
        <v>40</v>
      </c>
      <c r="F1294" s="42" t="s">
        <v>238</v>
      </c>
      <c r="G1294" s="42">
        <v>-75</v>
      </c>
      <c r="H1294" s="42">
        <f t="shared" si="43"/>
        <v>201512</v>
      </c>
      <c r="I1294" s="42">
        <f>MATCH(D1294,$O:$O,0)</f>
        <v>11</v>
      </c>
      <c r="J1294" s="42" t="s">
        <v>39</v>
      </c>
      <c r="K1294" s="42" t="s">
        <v>649</v>
      </c>
      <c r="L1294" s="42" t="s">
        <v>1036</v>
      </c>
      <c r="M1294" s="42"/>
    </row>
    <row r="1295" spans="1:13" x14ac:dyDescent="0.25">
      <c r="A1295" s="42" t="s">
        <v>236</v>
      </c>
      <c r="B1295" s="43">
        <v>42359</v>
      </c>
      <c r="C1295" s="42" t="s">
        <v>249</v>
      </c>
      <c r="D1295" s="42" t="str">
        <f t="shared" si="42"/>
        <v>Retirement Contributions</v>
      </c>
      <c r="E1295" s="42" t="s">
        <v>263</v>
      </c>
      <c r="F1295" s="42" t="s">
        <v>238</v>
      </c>
      <c r="G1295" s="42">
        <v>536.25</v>
      </c>
      <c r="H1295" s="42">
        <f t="shared" si="43"/>
        <v>201512</v>
      </c>
      <c r="I1295" s="42">
        <f>MATCH(D1295,$O:$O,0)</f>
        <v>39</v>
      </c>
      <c r="J1295" s="42" t="s">
        <v>39</v>
      </c>
      <c r="K1295" s="42" t="s">
        <v>649</v>
      </c>
      <c r="L1295" s="42" t="s">
        <v>1038</v>
      </c>
      <c r="M1295" s="42"/>
    </row>
    <row r="1296" spans="1:13" x14ac:dyDescent="0.25">
      <c r="A1296" s="42" t="s">
        <v>236</v>
      </c>
      <c r="B1296" s="43">
        <v>42360</v>
      </c>
      <c r="C1296" s="42" t="s">
        <v>1017</v>
      </c>
      <c r="D1296" s="42" t="str">
        <f t="shared" si="42"/>
        <v>D-Travel</v>
      </c>
      <c r="E1296" s="42" t="s">
        <v>161</v>
      </c>
      <c r="F1296" s="42" t="s">
        <v>238</v>
      </c>
      <c r="G1296" s="42">
        <v>-7</v>
      </c>
      <c r="H1296" s="42">
        <f t="shared" si="43"/>
        <v>201512</v>
      </c>
      <c r="I1296" s="42">
        <f>MATCH(D1296,$O:$O,0)</f>
        <v>10</v>
      </c>
      <c r="J1296" s="42" t="s">
        <v>39</v>
      </c>
      <c r="K1296" s="42" t="s">
        <v>803</v>
      </c>
      <c r="L1296" s="42" t="s">
        <v>270</v>
      </c>
      <c r="M1296" s="42"/>
    </row>
    <row r="1297" spans="1:13" x14ac:dyDescent="0.25">
      <c r="A1297" s="42" t="s">
        <v>236</v>
      </c>
      <c r="B1297" s="43">
        <v>42360</v>
      </c>
      <c r="C1297" s="42" t="s">
        <v>1018</v>
      </c>
      <c r="D1297" s="42" t="str">
        <f t="shared" si="42"/>
        <v>D-Restaurant</v>
      </c>
      <c r="E1297" s="42" t="s">
        <v>204</v>
      </c>
      <c r="F1297" s="42" t="s">
        <v>238</v>
      </c>
      <c r="G1297" s="42">
        <v>-2.38</v>
      </c>
      <c r="H1297" s="42">
        <f t="shared" si="43"/>
        <v>201512</v>
      </c>
      <c r="I1297" s="42">
        <f>MATCH(D1297,$O:$O,0)</f>
        <v>9</v>
      </c>
      <c r="J1297" s="42" t="s">
        <v>39</v>
      </c>
      <c r="K1297" s="42" t="s">
        <v>803</v>
      </c>
      <c r="L1297" s="42" t="s">
        <v>254</v>
      </c>
      <c r="M1297" s="42"/>
    </row>
    <row r="1298" spans="1:13" x14ac:dyDescent="0.25">
      <c r="A1298" s="42" t="s">
        <v>236</v>
      </c>
      <c r="B1298" s="43">
        <v>42360</v>
      </c>
      <c r="C1298" s="42" t="s">
        <v>917</v>
      </c>
      <c r="D1298" s="42" t="str">
        <f t="shared" si="42"/>
        <v>Grocery</v>
      </c>
      <c r="E1298" s="42" t="s">
        <v>385</v>
      </c>
      <c r="F1298" s="42" t="s">
        <v>238</v>
      </c>
      <c r="G1298" s="42">
        <v>217.99</v>
      </c>
      <c r="H1298" s="42">
        <f t="shared" si="43"/>
        <v>201512</v>
      </c>
      <c r="I1298" s="42">
        <f>MATCH(D1298,$O:$O,0)</f>
        <v>12</v>
      </c>
      <c r="J1298" s="42" t="s">
        <v>39</v>
      </c>
      <c r="K1298" s="42" t="s">
        <v>649</v>
      </c>
      <c r="L1298" s="42"/>
      <c r="M1298" s="42"/>
    </row>
    <row r="1299" spans="1:13" x14ac:dyDescent="0.25">
      <c r="A1299" s="42" t="s">
        <v>236</v>
      </c>
      <c r="B1299" s="43">
        <v>42361</v>
      </c>
      <c r="C1299" s="42" t="s">
        <v>1014</v>
      </c>
      <c r="D1299" s="42" t="str">
        <f t="shared" si="42"/>
        <v>D-Travel</v>
      </c>
      <c r="E1299" s="42" t="s">
        <v>161</v>
      </c>
      <c r="F1299" s="42" t="s">
        <v>238</v>
      </c>
      <c r="G1299" s="48">
        <v>-1130.67</v>
      </c>
      <c r="H1299" s="42">
        <f t="shared" si="43"/>
        <v>201512</v>
      </c>
      <c r="I1299" s="42">
        <f>MATCH(D1299,$O:$O,0)</f>
        <v>10</v>
      </c>
      <c r="J1299" s="42" t="s">
        <v>39</v>
      </c>
      <c r="K1299" s="42" t="s">
        <v>619</v>
      </c>
      <c r="L1299" s="42" t="s">
        <v>254</v>
      </c>
      <c r="M1299" s="42"/>
    </row>
    <row r="1300" spans="1:13" x14ac:dyDescent="0.25">
      <c r="A1300" s="42" t="s">
        <v>236</v>
      </c>
      <c r="B1300" s="43">
        <v>42361</v>
      </c>
      <c r="C1300" s="42" t="s">
        <v>1016</v>
      </c>
      <c r="D1300" s="42" t="str">
        <f t="shared" si="42"/>
        <v>Transfers</v>
      </c>
      <c r="E1300" s="42" t="s">
        <v>226</v>
      </c>
      <c r="F1300" s="42" t="s">
        <v>238</v>
      </c>
      <c r="G1300" s="48">
        <v>184966.54</v>
      </c>
      <c r="H1300" s="42">
        <f t="shared" si="43"/>
        <v>201512</v>
      </c>
      <c r="I1300" s="42">
        <f>MATCH(D1300,$O:$O,0)</f>
        <v>37</v>
      </c>
      <c r="J1300" s="42" t="s">
        <v>39</v>
      </c>
      <c r="K1300" s="42" t="s">
        <v>649</v>
      </c>
      <c r="L1300" s="42" t="s">
        <v>225</v>
      </c>
      <c r="M1300" s="42"/>
    </row>
    <row r="1301" spans="1:13" x14ac:dyDescent="0.25">
      <c r="A1301" s="42" t="s">
        <v>236</v>
      </c>
      <c r="B1301" s="43">
        <v>42362</v>
      </c>
      <c r="C1301" s="42" t="s">
        <v>894</v>
      </c>
      <c r="D1301" s="42" t="str">
        <f t="shared" si="42"/>
        <v>Movies/Software/Online Service</v>
      </c>
      <c r="E1301" s="42" t="s">
        <v>167</v>
      </c>
      <c r="F1301" s="42" t="s">
        <v>238</v>
      </c>
      <c r="G1301" s="42">
        <v>-7.99</v>
      </c>
      <c r="H1301" s="42">
        <f t="shared" si="43"/>
        <v>201512</v>
      </c>
      <c r="I1301" s="42">
        <f>MATCH(D1301,$O:$O,0)</f>
        <v>22</v>
      </c>
      <c r="J1301" s="42" t="s">
        <v>39</v>
      </c>
      <c r="K1301" s="42" t="s">
        <v>649</v>
      </c>
      <c r="L1301" s="42"/>
      <c r="M1301" s="42"/>
    </row>
    <row r="1302" spans="1:13" x14ac:dyDescent="0.25">
      <c r="A1302" s="42" t="s">
        <v>236</v>
      </c>
      <c r="B1302" s="43">
        <v>42362</v>
      </c>
      <c r="C1302" s="42" t="s">
        <v>917</v>
      </c>
      <c r="D1302" s="42" t="str">
        <f t="shared" si="42"/>
        <v>Grocery</v>
      </c>
      <c r="E1302" s="42" t="s">
        <v>385</v>
      </c>
      <c r="F1302" s="42" t="s">
        <v>238</v>
      </c>
      <c r="G1302" s="42">
        <v>-68.09</v>
      </c>
      <c r="H1302" s="42">
        <f t="shared" si="43"/>
        <v>201512</v>
      </c>
      <c r="I1302" s="42">
        <f>MATCH(D1302,$O:$O,0)</f>
        <v>12</v>
      </c>
      <c r="J1302" s="42" t="s">
        <v>39</v>
      </c>
      <c r="K1302" s="42" t="s">
        <v>649</v>
      </c>
      <c r="L1302" s="42" t="s">
        <v>313</v>
      </c>
      <c r="M1302" s="42"/>
    </row>
    <row r="1303" spans="1:13" x14ac:dyDescent="0.25">
      <c r="A1303" s="42" t="s">
        <v>236</v>
      </c>
      <c r="B1303" s="43">
        <v>42362</v>
      </c>
      <c r="C1303" s="42" t="s">
        <v>900</v>
      </c>
      <c r="D1303" s="42" t="str">
        <f t="shared" si="42"/>
        <v>Gas</v>
      </c>
      <c r="E1303" s="42" t="s">
        <v>311</v>
      </c>
      <c r="F1303" s="42" t="s">
        <v>238</v>
      </c>
      <c r="G1303" s="42">
        <v>-32.78</v>
      </c>
      <c r="H1303" s="42">
        <f t="shared" si="43"/>
        <v>201512</v>
      </c>
      <c r="I1303" s="42">
        <f>MATCH(D1303,$O:$O,0)</f>
        <v>30</v>
      </c>
      <c r="J1303" s="42" t="s">
        <v>39</v>
      </c>
      <c r="K1303" s="42" t="s">
        <v>649</v>
      </c>
      <c r="L1303" s="42" t="s">
        <v>1045</v>
      </c>
      <c r="M1303" s="42"/>
    </row>
    <row r="1304" spans="1:13" x14ac:dyDescent="0.25">
      <c r="A1304" s="42" t="s">
        <v>236</v>
      </c>
      <c r="B1304" s="43">
        <v>42363</v>
      </c>
      <c r="C1304" s="42" t="s">
        <v>917</v>
      </c>
      <c r="D1304" s="42" t="str">
        <f t="shared" si="42"/>
        <v>Grocery</v>
      </c>
      <c r="E1304" s="42" t="s">
        <v>385</v>
      </c>
      <c r="F1304" s="42" t="s">
        <v>238</v>
      </c>
      <c r="G1304" s="42">
        <v>-69.760000000000005</v>
      </c>
      <c r="H1304" s="42">
        <f t="shared" si="43"/>
        <v>201512</v>
      </c>
      <c r="I1304" s="42">
        <f>MATCH(D1304,$O:$O,0)</f>
        <v>12</v>
      </c>
      <c r="J1304" s="42" t="s">
        <v>39</v>
      </c>
      <c r="K1304" s="42" t="s">
        <v>675</v>
      </c>
      <c r="L1304" s="42"/>
      <c r="M1304" s="42"/>
    </row>
    <row r="1305" spans="1:13" x14ac:dyDescent="0.25">
      <c r="A1305" s="42" t="s">
        <v>236</v>
      </c>
      <c r="B1305" s="43">
        <v>42364</v>
      </c>
      <c r="C1305" s="42" t="s">
        <v>747</v>
      </c>
      <c r="D1305" s="42" t="str">
        <f t="shared" si="42"/>
        <v>Cell Phone</v>
      </c>
      <c r="E1305" s="42" t="s">
        <v>224</v>
      </c>
      <c r="F1305" s="42" t="s">
        <v>238</v>
      </c>
      <c r="G1305" s="42">
        <v>-76.319999999999993</v>
      </c>
      <c r="H1305" s="42">
        <f t="shared" si="43"/>
        <v>201512</v>
      </c>
      <c r="I1305" s="42">
        <f>MATCH(D1305,$O:$O,0)</f>
        <v>4</v>
      </c>
      <c r="J1305" s="42" t="s">
        <v>39</v>
      </c>
      <c r="K1305" s="42" t="s">
        <v>619</v>
      </c>
      <c r="L1305" s="42"/>
      <c r="M1305" s="42"/>
    </row>
    <row r="1306" spans="1:13" x14ac:dyDescent="0.25">
      <c r="A1306" s="42" t="s">
        <v>236</v>
      </c>
      <c r="B1306" s="43">
        <v>42366</v>
      </c>
      <c r="C1306" s="42" t="s">
        <v>1008</v>
      </c>
      <c r="D1306" s="42" t="str">
        <f t="shared" si="42"/>
        <v>z-New Asset</v>
      </c>
      <c r="E1306" s="42" t="s">
        <v>121</v>
      </c>
      <c r="F1306" s="42" t="s">
        <v>238</v>
      </c>
      <c r="G1306" s="42">
        <v>-25.12</v>
      </c>
      <c r="H1306" s="42">
        <f t="shared" si="43"/>
        <v>201512</v>
      </c>
      <c r="I1306" s="42">
        <f>MATCH(D1306,$O:$O,0)</f>
        <v>36</v>
      </c>
      <c r="J1306" s="42" t="s">
        <v>39</v>
      </c>
      <c r="K1306" s="42" t="s">
        <v>649</v>
      </c>
      <c r="L1306" s="42"/>
      <c r="M1306" s="42"/>
    </row>
    <row r="1307" spans="1:13" x14ac:dyDescent="0.25">
      <c r="A1307" s="42" t="s">
        <v>236</v>
      </c>
      <c r="B1307" s="43">
        <v>42366</v>
      </c>
      <c r="C1307" s="42" t="s">
        <v>1010</v>
      </c>
      <c r="D1307" s="42" t="str">
        <f t="shared" si="42"/>
        <v>Gifts</v>
      </c>
      <c r="E1307" s="42" t="s">
        <v>40</v>
      </c>
      <c r="F1307" s="42" t="s">
        <v>238</v>
      </c>
      <c r="G1307" s="42">
        <v>-87.59</v>
      </c>
      <c r="H1307" s="42">
        <f t="shared" si="43"/>
        <v>201512</v>
      </c>
      <c r="I1307" s="42">
        <f>MATCH(D1307,$O:$O,0)</f>
        <v>11</v>
      </c>
      <c r="J1307" s="42" t="s">
        <v>39</v>
      </c>
      <c r="K1307" s="42" t="s">
        <v>649</v>
      </c>
      <c r="L1307" s="42" t="s">
        <v>252</v>
      </c>
      <c r="M1307" s="42"/>
    </row>
    <row r="1308" spans="1:13" x14ac:dyDescent="0.25">
      <c r="A1308" s="42" t="s">
        <v>236</v>
      </c>
      <c r="B1308" s="43">
        <v>42366</v>
      </c>
      <c r="C1308" s="42" t="s">
        <v>1012</v>
      </c>
      <c r="D1308" s="42" t="str">
        <f t="shared" si="42"/>
        <v>z-New Asset</v>
      </c>
      <c r="E1308" s="42" t="s">
        <v>121</v>
      </c>
      <c r="F1308" s="42" t="s">
        <v>238</v>
      </c>
      <c r="G1308" s="42">
        <v>-174.41</v>
      </c>
      <c r="H1308" s="42">
        <f t="shared" si="43"/>
        <v>201512</v>
      </c>
      <c r="I1308" s="42">
        <f>MATCH(D1308,$O:$O,0)</f>
        <v>36</v>
      </c>
      <c r="J1308" s="42" t="s">
        <v>39</v>
      </c>
      <c r="K1308" s="42" t="s">
        <v>649</v>
      </c>
      <c r="L1308" s="42" t="s">
        <v>940</v>
      </c>
      <c r="M1308" s="42"/>
    </row>
    <row r="1309" spans="1:13" x14ac:dyDescent="0.25">
      <c r="A1309" s="42" t="s">
        <v>236</v>
      </c>
      <c r="B1309" s="43">
        <v>42366</v>
      </c>
      <c r="C1309" s="42" t="s">
        <v>1013</v>
      </c>
      <c r="D1309" s="42" t="str">
        <f t="shared" si="42"/>
        <v>D-Restaurant</v>
      </c>
      <c r="E1309" s="42" t="s">
        <v>204</v>
      </c>
      <c r="F1309" s="42" t="s">
        <v>238</v>
      </c>
      <c r="G1309" s="42">
        <v>-50.1</v>
      </c>
      <c r="H1309" s="42">
        <f t="shared" si="43"/>
        <v>201512</v>
      </c>
      <c r="I1309" s="42">
        <f>MATCH(D1309,$O:$O,0)</f>
        <v>9</v>
      </c>
      <c r="J1309" s="42" t="s">
        <v>39</v>
      </c>
      <c r="K1309" s="42" t="s">
        <v>649</v>
      </c>
      <c r="L1309" s="42" t="s">
        <v>310</v>
      </c>
      <c r="M1309" s="42"/>
    </row>
    <row r="1310" spans="1:13" x14ac:dyDescent="0.25">
      <c r="A1310" s="42" t="s">
        <v>236</v>
      </c>
      <c r="B1310" s="43">
        <v>42366</v>
      </c>
      <c r="C1310" s="42" t="s">
        <v>900</v>
      </c>
      <c r="D1310" s="42" t="str">
        <f t="shared" si="42"/>
        <v>Gas</v>
      </c>
      <c r="E1310" s="42" t="s">
        <v>311</v>
      </c>
      <c r="F1310" s="42" t="s">
        <v>238</v>
      </c>
      <c r="G1310" s="46">
        <v>-12.34</v>
      </c>
      <c r="H1310" s="42">
        <f t="shared" si="43"/>
        <v>201512</v>
      </c>
      <c r="I1310" s="42">
        <f>MATCH(D1310,$O:$O,0)</f>
        <v>30</v>
      </c>
      <c r="J1310" s="42" t="s">
        <v>39</v>
      </c>
      <c r="K1310" s="42" t="s">
        <v>803</v>
      </c>
      <c r="L1310" s="42" t="s">
        <v>722</v>
      </c>
      <c r="M1310" s="42"/>
    </row>
    <row r="1311" spans="1:13" x14ac:dyDescent="0.25">
      <c r="A1311" s="42" t="s">
        <v>236</v>
      </c>
      <c r="B1311" s="43">
        <v>42367</v>
      </c>
      <c r="C1311" s="42" t="s">
        <v>1007</v>
      </c>
      <c r="D1311" s="42" t="str">
        <f t="shared" si="42"/>
        <v>D-Restaurant</v>
      </c>
      <c r="E1311" s="42" t="s">
        <v>204</v>
      </c>
      <c r="F1311" s="42" t="s">
        <v>238</v>
      </c>
      <c r="G1311" s="46">
        <v>-80.400000000000006</v>
      </c>
      <c r="H1311" s="42">
        <f t="shared" si="43"/>
        <v>201512</v>
      </c>
      <c r="I1311" s="42">
        <f>MATCH(D1311,$O:$O,0)</f>
        <v>9</v>
      </c>
      <c r="J1311" s="42" t="s">
        <v>39</v>
      </c>
      <c r="K1311" s="42" t="s">
        <v>803</v>
      </c>
      <c r="L1311" s="42" t="s">
        <v>888</v>
      </c>
      <c r="M1311" s="42"/>
    </row>
    <row r="1312" spans="1:13" x14ac:dyDescent="0.25">
      <c r="A1312" s="42" t="s">
        <v>236</v>
      </c>
      <c r="B1312" s="43">
        <v>42368</v>
      </c>
      <c r="C1312" s="42" t="s">
        <v>1005</v>
      </c>
      <c r="D1312" s="42" t="str">
        <f t="shared" si="42"/>
        <v>D-Restaurant</v>
      </c>
      <c r="E1312" s="42" t="s">
        <v>204</v>
      </c>
      <c r="F1312" s="42" t="s">
        <v>238</v>
      </c>
      <c r="G1312" s="46">
        <v>-115</v>
      </c>
      <c r="H1312" s="42">
        <f t="shared" si="43"/>
        <v>201512</v>
      </c>
      <c r="I1312" s="42">
        <f>MATCH(D1312,$O:$O,0)</f>
        <v>9</v>
      </c>
      <c r="J1312" s="42" t="s">
        <v>39</v>
      </c>
      <c r="K1312" s="42" t="s">
        <v>619</v>
      </c>
      <c r="L1312" s="42"/>
      <c r="M1312" s="42"/>
    </row>
    <row r="1313" spans="1:13" x14ac:dyDescent="0.25">
      <c r="A1313" s="42" t="s">
        <v>236</v>
      </c>
      <c r="B1313" s="43">
        <v>42368</v>
      </c>
      <c r="C1313" s="42" t="s">
        <v>917</v>
      </c>
      <c r="D1313" s="42" t="str">
        <f t="shared" si="42"/>
        <v>Grocery</v>
      </c>
      <c r="E1313" s="42" t="s">
        <v>385</v>
      </c>
      <c r="F1313" s="42" t="s">
        <v>238</v>
      </c>
      <c r="G1313" s="42">
        <v>-17.97</v>
      </c>
      <c r="H1313" s="42">
        <f t="shared" si="43"/>
        <v>201512</v>
      </c>
      <c r="I1313" s="42">
        <f>MATCH(D1313,$O:$O,0)</f>
        <v>12</v>
      </c>
      <c r="J1313" s="42" t="s">
        <v>39</v>
      </c>
      <c r="K1313" s="42" t="s">
        <v>649</v>
      </c>
      <c r="L1313" s="42"/>
      <c r="M1313" s="42"/>
    </row>
    <row r="1314" spans="1:13" x14ac:dyDescent="0.25">
      <c r="A1314" s="42" t="s">
        <v>236</v>
      </c>
      <c r="B1314" s="43">
        <v>42369</v>
      </c>
      <c r="C1314" s="42" t="s">
        <v>1004</v>
      </c>
      <c r="D1314" s="42" t="str">
        <f t="shared" si="42"/>
        <v>Paychecks/Salary</v>
      </c>
      <c r="E1314" s="42" t="s">
        <v>375</v>
      </c>
      <c r="F1314" s="42" t="s">
        <v>238</v>
      </c>
      <c r="G1314" s="48">
        <v>3375.59</v>
      </c>
      <c r="H1314" s="42">
        <f t="shared" si="43"/>
        <v>201512</v>
      </c>
      <c r="I1314" s="42">
        <f>MATCH(D1314,$O:$O,0)</f>
        <v>40</v>
      </c>
      <c r="J1314" s="42" t="s">
        <v>39</v>
      </c>
      <c r="K1314" s="42" t="s">
        <v>649</v>
      </c>
      <c r="L1314" s="42" t="s">
        <v>241</v>
      </c>
      <c r="M1314" s="42"/>
    </row>
    <row r="1315" spans="1:13" x14ac:dyDescent="0.25">
      <c r="A1315" s="42" t="s">
        <v>236</v>
      </c>
      <c r="B1315" s="43">
        <v>42369</v>
      </c>
      <c r="C1315" s="42" t="s">
        <v>646</v>
      </c>
      <c r="D1315" s="42" t="str">
        <f t="shared" si="42"/>
        <v>Cell Phone</v>
      </c>
      <c r="E1315" s="42" t="s">
        <v>224</v>
      </c>
      <c r="F1315" s="42" t="s">
        <v>238</v>
      </c>
      <c r="G1315" s="42">
        <v>-177.95</v>
      </c>
      <c r="H1315" s="42">
        <f t="shared" si="43"/>
        <v>201512</v>
      </c>
      <c r="I1315" s="42">
        <f>MATCH(D1315,$O:$O,0)</f>
        <v>4</v>
      </c>
      <c r="J1315" s="42" t="s">
        <v>39</v>
      </c>
      <c r="K1315" s="42" t="s">
        <v>632</v>
      </c>
      <c r="L1315" s="42"/>
      <c r="M1315" s="42"/>
    </row>
    <row r="1316" spans="1:13" x14ac:dyDescent="0.25">
      <c r="A1316" s="42" t="s">
        <v>236</v>
      </c>
      <c r="B1316" s="43">
        <v>42369</v>
      </c>
      <c r="C1316" s="42" t="s">
        <v>900</v>
      </c>
      <c r="D1316" s="42" t="str">
        <f t="shared" ref="D1316:D1379" si="44">IF(ISNA(VLOOKUP(E1316,$L$2:$M$26,2,FALSE)),E1316,VLOOKUP(E1316,$L$2:$M$26,2,FALSE))</f>
        <v>Gas</v>
      </c>
      <c r="E1316" s="42" t="s">
        <v>311</v>
      </c>
      <c r="F1316" s="42" t="s">
        <v>238</v>
      </c>
      <c r="G1316" s="46">
        <v>-33.21</v>
      </c>
      <c r="H1316" s="42">
        <f t="shared" si="43"/>
        <v>201512</v>
      </c>
      <c r="I1316" s="42">
        <f>MATCH(D1316,$O:$O,0)</f>
        <v>30</v>
      </c>
      <c r="J1316" s="42" t="s">
        <v>39</v>
      </c>
      <c r="K1316" s="42" t="s">
        <v>803</v>
      </c>
      <c r="L1316" s="42" t="s">
        <v>248</v>
      </c>
      <c r="M1316" s="42"/>
    </row>
    <row r="1317" spans="1:13" x14ac:dyDescent="0.25">
      <c r="A1317" s="42" t="s">
        <v>236</v>
      </c>
      <c r="B1317" s="43">
        <v>42369</v>
      </c>
      <c r="C1317" s="42" t="s">
        <v>411</v>
      </c>
      <c r="D1317" s="42" t="str">
        <f t="shared" si="44"/>
        <v>Paychecks/Salary</v>
      </c>
      <c r="E1317" s="42" t="s">
        <v>375</v>
      </c>
      <c r="F1317" s="42" t="s">
        <v>238</v>
      </c>
      <c r="G1317" s="42">
        <v>42.99</v>
      </c>
      <c r="H1317" s="42">
        <f t="shared" si="43"/>
        <v>201512</v>
      </c>
      <c r="I1317" s="42">
        <f>MATCH(D1317,$O:$O,0)</f>
        <v>40</v>
      </c>
      <c r="J1317" s="42" t="s">
        <v>39</v>
      </c>
      <c r="K1317" s="42" t="s">
        <v>649</v>
      </c>
      <c r="L1317" s="42"/>
      <c r="M1317" s="42"/>
    </row>
    <row r="1318" spans="1:13" x14ac:dyDescent="0.25">
      <c r="A1318" s="42" t="s">
        <v>236</v>
      </c>
      <c r="B1318" s="43">
        <v>42369</v>
      </c>
      <c r="C1318" s="42" t="s">
        <v>249</v>
      </c>
      <c r="D1318" s="42" t="str">
        <f t="shared" si="44"/>
        <v>Retirement Contributions</v>
      </c>
      <c r="E1318" s="42" t="s">
        <v>263</v>
      </c>
      <c r="F1318" s="42" t="s">
        <v>238</v>
      </c>
      <c r="G1318" s="42">
        <v>424.59</v>
      </c>
      <c r="H1318" s="42">
        <f t="shared" si="43"/>
        <v>201512</v>
      </c>
      <c r="I1318" s="42">
        <f>MATCH(D1318,$O:$O,0)</f>
        <v>39</v>
      </c>
      <c r="J1318" s="42" t="s">
        <v>39</v>
      </c>
      <c r="K1318" s="42" t="s">
        <v>649</v>
      </c>
      <c r="L1318" s="42" t="s">
        <v>313</v>
      </c>
      <c r="M1318" s="42"/>
    </row>
    <row r="1319" spans="1:13" x14ac:dyDescent="0.25">
      <c r="A1319" s="42" t="s">
        <v>236</v>
      </c>
      <c r="B1319" s="43">
        <v>42371</v>
      </c>
      <c r="C1319" s="42" t="s">
        <v>1075</v>
      </c>
      <c r="D1319" s="42" t="str">
        <f t="shared" si="44"/>
        <v>D-Restaurant</v>
      </c>
      <c r="E1319" s="42" t="s">
        <v>204</v>
      </c>
      <c r="F1319" s="42" t="s">
        <v>238</v>
      </c>
      <c r="G1319" s="42">
        <v>-3.22</v>
      </c>
      <c r="H1319" s="42">
        <f t="shared" si="43"/>
        <v>201601</v>
      </c>
      <c r="I1319" s="42">
        <f>MATCH(D1319,$O:$O,0)</f>
        <v>9</v>
      </c>
      <c r="J1319" s="42" t="s">
        <v>39</v>
      </c>
      <c r="K1319" s="42" t="s">
        <v>619</v>
      </c>
      <c r="L1319" s="42"/>
      <c r="M1319" s="42"/>
    </row>
    <row r="1320" spans="1:13" x14ac:dyDescent="0.25">
      <c r="A1320" s="42" t="s">
        <v>236</v>
      </c>
      <c r="B1320" s="43">
        <v>42371</v>
      </c>
      <c r="C1320" s="42" t="s">
        <v>775</v>
      </c>
      <c r="D1320" s="42" t="str">
        <f t="shared" si="44"/>
        <v>Grocery</v>
      </c>
      <c r="E1320" s="42" t="s">
        <v>192</v>
      </c>
      <c r="F1320" s="42" t="s">
        <v>238</v>
      </c>
      <c r="G1320" s="42">
        <v>-26.54</v>
      </c>
      <c r="H1320" s="42">
        <f t="shared" si="43"/>
        <v>201601</v>
      </c>
      <c r="I1320" s="42">
        <f>MATCH(D1320,$O:$O,0)</f>
        <v>12</v>
      </c>
      <c r="J1320" s="42" t="s">
        <v>39</v>
      </c>
      <c r="K1320" s="42" t="s">
        <v>649</v>
      </c>
      <c r="L1320" s="42" t="s">
        <v>723</v>
      </c>
      <c r="M1320" s="42"/>
    </row>
    <row r="1321" spans="1:13" x14ac:dyDescent="0.25">
      <c r="A1321" s="42" t="s">
        <v>236</v>
      </c>
      <c r="B1321" s="43">
        <v>42371</v>
      </c>
      <c r="C1321" s="42" t="s">
        <v>849</v>
      </c>
      <c r="D1321" s="42" t="str">
        <f t="shared" si="44"/>
        <v>Home Maintainence/Improvement</v>
      </c>
      <c r="E1321" s="42" t="s">
        <v>342</v>
      </c>
      <c r="F1321" s="42" t="s">
        <v>238</v>
      </c>
      <c r="G1321" s="42">
        <v>-20.69</v>
      </c>
      <c r="H1321" s="42">
        <f t="shared" si="43"/>
        <v>201601</v>
      </c>
      <c r="I1321" s="42">
        <f>MATCH(D1321,$O:$O,0)</f>
        <v>16</v>
      </c>
      <c r="J1321" s="42" t="s">
        <v>39</v>
      </c>
      <c r="K1321" s="42" t="s">
        <v>675</v>
      </c>
      <c r="L1321" s="42" t="s">
        <v>252</v>
      </c>
      <c r="M1321" s="42"/>
    </row>
    <row r="1322" spans="1:13" x14ac:dyDescent="0.25">
      <c r="A1322" s="42" t="s">
        <v>236</v>
      </c>
      <c r="B1322" s="43">
        <v>42371</v>
      </c>
      <c r="C1322" s="42" t="s">
        <v>435</v>
      </c>
      <c r="D1322" s="42" t="str">
        <f t="shared" si="44"/>
        <v>Credit Card Payments</v>
      </c>
      <c r="E1322" s="42" t="s">
        <v>242</v>
      </c>
      <c r="F1322" s="42" t="s">
        <v>238</v>
      </c>
      <c r="G1322" s="46">
        <v>203.34</v>
      </c>
      <c r="H1322" s="42">
        <f t="shared" si="43"/>
        <v>201601</v>
      </c>
      <c r="I1322" s="42">
        <f>MATCH(D1322,$O:$O,0)</f>
        <v>38</v>
      </c>
      <c r="J1322" s="42" t="s">
        <v>39</v>
      </c>
      <c r="K1322" s="42" t="s">
        <v>803</v>
      </c>
      <c r="L1322" s="42" t="s">
        <v>193</v>
      </c>
      <c r="M1322" s="42"/>
    </row>
    <row r="1323" spans="1:13" x14ac:dyDescent="0.25">
      <c r="A1323" s="42" t="s">
        <v>236</v>
      </c>
      <c r="B1323" s="43">
        <v>42372</v>
      </c>
      <c r="C1323" s="42" t="s">
        <v>917</v>
      </c>
      <c r="D1323" s="42" t="str">
        <f t="shared" si="44"/>
        <v>Grocery</v>
      </c>
      <c r="E1323" s="42" t="s">
        <v>385</v>
      </c>
      <c r="F1323" s="42" t="s">
        <v>238</v>
      </c>
      <c r="G1323" s="42">
        <v>68.09</v>
      </c>
      <c r="H1323" s="42">
        <f t="shared" si="43"/>
        <v>201601</v>
      </c>
      <c r="I1323" s="42">
        <f>MATCH(D1323,$O:$O,0)</f>
        <v>12</v>
      </c>
      <c r="J1323" s="42" t="s">
        <v>39</v>
      </c>
      <c r="K1323" s="42" t="s">
        <v>675</v>
      </c>
      <c r="L1323" s="42" t="s">
        <v>816</v>
      </c>
    </row>
    <row r="1324" spans="1:13" x14ac:dyDescent="0.25">
      <c r="A1324" s="42" t="s">
        <v>236</v>
      </c>
      <c r="B1324" s="43">
        <v>42372</v>
      </c>
      <c r="C1324" s="42" t="s">
        <v>917</v>
      </c>
      <c r="D1324" s="42" t="str">
        <f t="shared" si="44"/>
        <v>Grocery</v>
      </c>
      <c r="E1324" s="42" t="s">
        <v>385</v>
      </c>
      <c r="F1324" s="42" t="s">
        <v>238</v>
      </c>
      <c r="G1324" s="46">
        <v>-81.28</v>
      </c>
      <c r="H1324" s="42">
        <f t="shared" si="43"/>
        <v>201601</v>
      </c>
      <c r="I1324" s="42">
        <f>MATCH(D1324,$O:$O,0)</f>
        <v>12</v>
      </c>
      <c r="J1324" s="42" t="s">
        <v>39</v>
      </c>
      <c r="K1324" s="42" t="s">
        <v>803</v>
      </c>
      <c r="L1324" s="42" t="s">
        <v>193</v>
      </c>
    </row>
    <row r="1325" spans="1:13" x14ac:dyDescent="0.25">
      <c r="A1325" s="42" t="s">
        <v>236</v>
      </c>
      <c r="B1325" s="43">
        <v>42373</v>
      </c>
      <c r="C1325" s="42" t="s">
        <v>1074</v>
      </c>
      <c r="D1325" s="42" t="str">
        <f t="shared" si="44"/>
        <v>Credit Card Payments</v>
      </c>
      <c r="E1325" s="42" t="s">
        <v>242</v>
      </c>
      <c r="F1325" s="42" t="s">
        <v>238</v>
      </c>
      <c r="G1325" s="42">
        <v>-203.34</v>
      </c>
      <c r="H1325" s="42">
        <f t="shared" si="43"/>
        <v>201601</v>
      </c>
      <c r="I1325" s="42">
        <f>MATCH(D1325,$O:$O,0)</f>
        <v>38</v>
      </c>
      <c r="J1325" s="42" t="s">
        <v>39</v>
      </c>
      <c r="K1325" s="42" t="s">
        <v>619</v>
      </c>
      <c r="L1325" s="42"/>
    </row>
    <row r="1326" spans="1:13" x14ac:dyDescent="0.25">
      <c r="A1326" s="42" t="s">
        <v>236</v>
      </c>
      <c r="B1326" s="43">
        <v>42373</v>
      </c>
      <c r="C1326" s="42" t="s">
        <v>861</v>
      </c>
      <c r="D1326" s="42" t="str">
        <f t="shared" si="44"/>
        <v>Car Related</v>
      </c>
      <c r="E1326" s="42" t="s">
        <v>185</v>
      </c>
      <c r="F1326" s="42" t="s">
        <v>238</v>
      </c>
      <c r="G1326" s="46">
        <v>-321.52</v>
      </c>
      <c r="H1326" s="42">
        <f t="shared" si="43"/>
        <v>201601</v>
      </c>
      <c r="I1326" s="42">
        <f>MATCH(D1326,$O:$O,0)</f>
        <v>31</v>
      </c>
      <c r="J1326" s="42" t="s">
        <v>39</v>
      </c>
      <c r="K1326" s="42" t="s">
        <v>630</v>
      </c>
      <c r="L1326" s="42"/>
    </row>
    <row r="1327" spans="1:13" x14ac:dyDescent="0.25">
      <c r="A1327" s="42" t="s">
        <v>236</v>
      </c>
      <c r="B1327" s="43">
        <v>42373</v>
      </c>
      <c r="C1327" s="42" t="s">
        <v>591</v>
      </c>
      <c r="D1327" s="42" t="str">
        <f t="shared" si="44"/>
        <v>Mortgage/Rent</v>
      </c>
      <c r="E1327" s="42" t="s">
        <v>202</v>
      </c>
      <c r="F1327" s="42" t="s">
        <v>238</v>
      </c>
      <c r="G1327" s="48">
        <v>-3116.77</v>
      </c>
      <c r="H1327" s="42">
        <f t="shared" si="43"/>
        <v>201601</v>
      </c>
      <c r="I1327" s="42">
        <f>MATCH(D1327,$O:$O,0)</f>
        <v>21</v>
      </c>
      <c r="J1327" s="42" t="s">
        <v>39</v>
      </c>
      <c r="K1327" s="42" t="s">
        <v>649</v>
      </c>
      <c r="L1327" s="42" t="s">
        <v>339</v>
      </c>
    </row>
    <row r="1328" spans="1:13" x14ac:dyDescent="0.25">
      <c r="A1328" s="42" t="s">
        <v>236</v>
      </c>
      <c r="B1328" s="43">
        <v>42373</v>
      </c>
      <c r="C1328" s="42" t="s">
        <v>849</v>
      </c>
      <c r="D1328" s="42" t="str">
        <f t="shared" si="44"/>
        <v>Home Maintainence/Improvement</v>
      </c>
      <c r="E1328" s="42" t="s">
        <v>342</v>
      </c>
      <c r="F1328" s="42" t="s">
        <v>238</v>
      </c>
      <c r="G1328" s="42">
        <v>-27.05</v>
      </c>
      <c r="H1328" s="42">
        <f t="shared" si="43"/>
        <v>201601</v>
      </c>
      <c r="I1328" s="42">
        <f>MATCH(D1328,$O:$O,0)</f>
        <v>16</v>
      </c>
      <c r="J1328" s="42" t="s">
        <v>39</v>
      </c>
      <c r="K1328" s="42" t="s">
        <v>632</v>
      </c>
      <c r="L1328" s="42" t="s">
        <v>333</v>
      </c>
    </row>
    <row r="1329" spans="1:12" x14ac:dyDescent="0.25">
      <c r="A1329" s="42" t="s">
        <v>236</v>
      </c>
      <c r="B1329" s="43">
        <v>42373</v>
      </c>
      <c r="C1329" s="42" t="s">
        <v>849</v>
      </c>
      <c r="D1329" s="42" t="str">
        <f t="shared" si="44"/>
        <v>Home Maintainence/Improvement</v>
      </c>
      <c r="E1329" s="42" t="s">
        <v>342</v>
      </c>
      <c r="F1329" s="42" t="s">
        <v>238</v>
      </c>
      <c r="G1329" s="42">
        <v>20.69</v>
      </c>
      <c r="H1329" s="42">
        <f t="shared" si="43"/>
        <v>201601</v>
      </c>
      <c r="I1329" s="42">
        <f>MATCH(D1329,$O:$O,0)</f>
        <v>16</v>
      </c>
      <c r="J1329" s="42" t="s">
        <v>39</v>
      </c>
      <c r="K1329" s="42" t="s">
        <v>632</v>
      </c>
      <c r="L1329" s="42"/>
    </row>
    <row r="1330" spans="1:12" x14ac:dyDescent="0.25">
      <c r="A1330" s="42" t="s">
        <v>236</v>
      </c>
      <c r="B1330" s="43">
        <v>42374</v>
      </c>
      <c r="C1330" s="42" t="s">
        <v>1072</v>
      </c>
      <c r="D1330" s="42" t="str">
        <f t="shared" si="44"/>
        <v>Credit Card Payments</v>
      </c>
      <c r="E1330" s="42" t="s">
        <v>242</v>
      </c>
      <c r="F1330" s="42" t="s">
        <v>238</v>
      </c>
      <c r="G1330" s="42">
        <v>-606.1</v>
      </c>
      <c r="H1330" s="42">
        <f t="shared" si="43"/>
        <v>201601</v>
      </c>
      <c r="I1330" s="42">
        <f>MATCH(D1330,$O:$O,0)</f>
        <v>38</v>
      </c>
      <c r="J1330" s="42" t="s">
        <v>39</v>
      </c>
      <c r="K1330" s="42" t="s">
        <v>675</v>
      </c>
      <c r="L1330" s="42"/>
    </row>
    <row r="1331" spans="1:12" x14ac:dyDescent="0.25">
      <c r="A1331" s="42" t="s">
        <v>236</v>
      </c>
      <c r="B1331" s="43">
        <v>42374</v>
      </c>
      <c r="C1331" s="42" t="s">
        <v>1073</v>
      </c>
      <c r="D1331" s="42" t="str">
        <f t="shared" si="44"/>
        <v>Paychecks/Salary</v>
      </c>
      <c r="E1331" s="42" t="s">
        <v>375</v>
      </c>
      <c r="F1331" s="42" t="s">
        <v>238</v>
      </c>
      <c r="G1331" s="42">
        <v>800</v>
      </c>
      <c r="H1331" s="42">
        <f t="shared" si="43"/>
        <v>201601</v>
      </c>
      <c r="I1331" s="42">
        <f>MATCH(D1331,$O:$O,0)</f>
        <v>40</v>
      </c>
      <c r="J1331" s="42" t="s">
        <v>39</v>
      </c>
      <c r="K1331" s="42" t="s">
        <v>649</v>
      </c>
      <c r="L1331" s="42"/>
    </row>
    <row r="1332" spans="1:12" x14ac:dyDescent="0.25">
      <c r="A1332" s="42" t="s">
        <v>236</v>
      </c>
      <c r="B1332" s="43">
        <v>42374</v>
      </c>
      <c r="C1332" s="42" t="s">
        <v>917</v>
      </c>
      <c r="D1332" s="42" t="str">
        <f t="shared" si="44"/>
        <v>Grocery</v>
      </c>
      <c r="E1332" s="42" t="s">
        <v>385</v>
      </c>
      <c r="F1332" s="42" t="s">
        <v>238</v>
      </c>
      <c r="G1332" s="42">
        <v>-36.67</v>
      </c>
      <c r="H1332" s="42">
        <f t="shared" si="43"/>
        <v>201601</v>
      </c>
      <c r="I1332" s="42">
        <f>MATCH(D1332,$O:$O,0)</f>
        <v>12</v>
      </c>
      <c r="J1332" s="42" t="s">
        <v>39</v>
      </c>
      <c r="K1332" s="42" t="s">
        <v>649</v>
      </c>
      <c r="L1332" s="42"/>
    </row>
    <row r="1333" spans="1:12" x14ac:dyDescent="0.25">
      <c r="A1333" s="42" t="s">
        <v>236</v>
      </c>
      <c r="B1333" s="43">
        <v>42376</v>
      </c>
      <c r="C1333" s="42" t="s">
        <v>1071</v>
      </c>
      <c r="D1333" s="42" t="str">
        <f t="shared" si="44"/>
        <v>D-Restaurant</v>
      </c>
      <c r="E1333" s="42" t="s">
        <v>204</v>
      </c>
      <c r="F1333" s="42" t="s">
        <v>238</v>
      </c>
      <c r="G1333" s="42">
        <v>-65.72</v>
      </c>
      <c r="H1333" s="42">
        <f t="shared" si="43"/>
        <v>201601</v>
      </c>
      <c r="I1333" s="42">
        <f>MATCH(D1333,$O:$O,0)</f>
        <v>9</v>
      </c>
      <c r="J1333" s="42" t="s">
        <v>39</v>
      </c>
      <c r="K1333" s="42" t="s">
        <v>649</v>
      </c>
      <c r="L1333" s="42" t="s">
        <v>193</v>
      </c>
    </row>
    <row r="1334" spans="1:12" x14ac:dyDescent="0.25">
      <c r="A1334" s="42" t="s">
        <v>236</v>
      </c>
      <c r="B1334" s="43">
        <v>42377</v>
      </c>
      <c r="C1334" s="42" t="s">
        <v>585</v>
      </c>
      <c r="D1334" s="42" t="str">
        <f t="shared" si="44"/>
        <v>D-Travel</v>
      </c>
      <c r="E1334" s="42" t="s">
        <v>161</v>
      </c>
      <c r="F1334" s="42" t="s">
        <v>238</v>
      </c>
      <c r="G1334" s="42">
        <v>-3.77</v>
      </c>
      <c r="H1334" s="42">
        <f t="shared" si="43"/>
        <v>201601</v>
      </c>
      <c r="I1334" s="42">
        <f>MATCH(D1334,$O:$O,0)</f>
        <v>10</v>
      </c>
      <c r="J1334" s="42" t="s">
        <v>39</v>
      </c>
      <c r="K1334" s="42" t="s">
        <v>649</v>
      </c>
      <c r="L1334" s="42"/>
    </row>
    <row r="1335" spans="1:12" x14ac:dyDescent="0.25">
      <c r="A1335" s="42" t="s">
        <v>236</v>
      </c>
      <c r="B1335" s="43">
        <v>42378</v>
      </c>
      <c r="C1335" s="42" t="s">
        <v>1063</v>
      </c>
      <c r="D1335" s="42" t="str">
        <f t="shared" si="44"/>
        <v>D-Restaurant</v>
      </c>
      <c r="E1335" s="42" t="s">
        <v>204</v>
      </c>
      <c r="F1335" s="42" t="s">
        <v>238</v>
      </c>
      <c r="G1335" s="42">
        <v>-4.3499999999999996</v>
      </c>
      <c r="H1335" s="42">
        <f t="shared" si="43"/>
        <v>201601</v>
      </c>
      <c r="I1335" s="42">
        <f>MATCH(D1335,$O:$O,0)</f>
        <v>9</v>
      </c>
      <c r="J1335" s="42" t="s">
        <v>39</v>
      </c>
      <c r="K1335" s="42" t="s">
        <v>649</v>
      </c>
      <c r="L1335" s="42" t="s">
        <v>804</v>
      </c>
    </row>
    <row r="1336" spans="1:12" x14ac:dyDescent="0.25">
      <c r="A1336" s="42" t="s">
        <v>236</v>
      </c>
      <c r="B1336" s="43">
        <v>42378</v>
      </c>
      <c r="C1336" s="42" t="s">
        <v>1070</v>
      </c>
      <c r="D1336" s="42" t="str">
        <f t="shared" si="44"/>
        <v>Newspapers</v>
      </c>
      <c r="E1336" s="42" t="s">
        <v>1205</v>
      </c>
      <c r="F1336" s="42" t="s">
        <v>238</v>
      </c>
      <c r="G1336" s="42">
        <v>-14.99</v>
      </c>
      <c r="H1336" s="42">
        <f t="shared" si="43"/>
        <v>201601</v>
      </c>
      <c r="I1336" s="42">
        <f>MATCH(D1336,$O:$O,0)</f>
        <v>23</v>
      </c>
      <c r="J1336" s="42" t="s">
        <v>39</v>
      </c>
      <c r="K1336" s="42" t="s">
        <v>649</v>
      </c>
      <c r="L1336" s="42" t="s">
        <v>817</v>
      </c>
    </row>
    <row r="1337" spans="1:12" x14ac:dyDescent="0.25">
      <c r="A1337" s="42" t="s">
        <v>236</v>
      </c>
      <c r="B1337" s="43">
        <v>42379</v>
      </c>
      <c r="C1337" s="42" t="s">
        <v>917</v>
      </c>
      <c r="D1337" s="42" t="str">
        <f t="shared" si="44"/>
        <v>Grocery</v>
      </c>
      <c r="E1337" s="42" t="s">
        <v>385</v>
      </c>
      <c r="F1337" s="42" t="s">
        <v>238</v>
      </c>
      <c r="G1337" s="42">
        <v>-192.63</v>
      </c>
      <c r="H1337" s="42">
        <f t="shared" si="43"/>
        <v>201601</v>
      </c>
      <c r="I1337" s="42">
        <f>MATCH(D1337,$O:$O,0)</f>
        <v>12</v>
      </c>
      <c r="J1337" s="42" t="s">
        <v>39</v>
      </c>
      <c r="K1337" s="42" t="s">
        <v>649</v>
      </c>
      <c r="L1337" s="42" t="s">
        <v>888</v>
      </c>
    </row>
    <row r="1338" spans="1:12" x14ac:dyDescent="0.25">
      <c r="A1338" s="42" t="s">
        <v>236</v>
      </c>
      <c r="B1338" s="43">
        <v>42380</v>
      </c>
      <c r="C1338" s="42" t="s">
        <v>1069</v>
      </c>
      <c r="D1338" s="42" t="str">
        <f t="shared" si="44"/>
        <v>Credit Card Payments</v>
      </c>
      <c r="E1338" s="42" t="s">
        <v>242</v>
      </c>
      <c r="F1338" s="42" t="s">
        <v>238</v>
      </c>
      <c r="G1338" s="42">
        <v>-852</v>
      </c>
      <c r="H1338" s="42">
        <f t="shared" si="43"/>
        <v>201601</v>
      </c>
      <c r="I1338" s="42">
        <f>MATCH(D1338,$O:$O,0)</f>
        <v>38</v>
      </c>
      <c r="J1338" s="42" t="s">
        <v>39</v>
      </c>
      <c r="K1338" s="42" t="s">
        <v>619</v>
      </c>
      <c r="L1338" s="42"/>
    </row>
    <row r="1339" spans="1:12" x14ac:dyDescent="0.25">
      <c r="A1339" s="42" t="s">
        <v>236</v>
      </c>
      <c r="B1339" s="43">
        <v>42381</v>
      </c>
      <c r="C1339" s="42" t="s">
        <v>412</v>
      </c>
      <c r="D1339" s="42" t="str">
        <f t="shared" si="44"/>
        <v>Interest</v>
      </c>
      <c r="E1339" s="42" t="s">
        <v>200</v>
      </c>
      <c r="F1339" s="42" t="s">
        <v>238</v>
      </c>
      <c r="G1339" s="42">
        <v>0.31</v>
      </c>
      <c r="H1339" s="42">
        <f t="shared" si="43"/>
        <v>201601</v>
      </c>
      <c r="I1339" s="42" t="e">
        <f>MATCH(D1339,$O:$O,0)</f>
        <v>#N/A</v>
      </c>
      <c r="J1339" s="42" t="s">
        <v>39</v>
      </c>
      <c r="K1339" s="42" t="s">
        <v>619</v>
      </c>
      <c r="L1339" s="42"/>
    </row>
    <row r="1340" spans="1:12" x14ac:dyDescent="0.25">
      <c r="A1340" s="42" t="s">
        <v>236</v>
      </c>
      <c r="B1340" s="43">
        <v>42381</v>
      </c>
      <c r="C1340" s="42" t="s">
        <v>221</v>
      </c>
      <c r="D1340" s="42" t="str">
        <f t="shared" si="44"/>
        <v>Tax</v>
      </c>
      <c r="E1340" s="42" t="s">
        <v>222</v>
      </c>
      <c r="F1340" s="42" t="s">
        <v>238</v>
      </c>
      <c r="G1340" s="42">
        <v>-0.09</v>
      </c>
      <c r="H1340" s="42">
        <f t="shared" si="43"/>
        <v>201601</v>
      </c>
      <c r="I1340" s="42">
        <f>MATCH(D1340,$O:$O,0)</f>
        <v>29</v>
      </c>
      <c r="J1340" s="42" t="s">
        <v>39</v>
      </c>
      <c r="K1340" s="42" t="s">
        <v>649</v>
      </c>
      <c r="L1340" s="42" t="s">
        <v>223</v>
      </c>
    </row>
    <row r="1341" spans="1:12" x14ac:dyDescent="0.25">
      <c r="A1341" s="42" t="s">
        <v>236</v>
      </c>
      <c r="B1341" s="43">
        <v>42381</v>
      </c>
      <c r="C1341" s="42" t="s">
        <v>412</v>
      </c>
      <c r="D1341" s="42" t="str">
        <f t="shared" si="44"/>
        <v>Interest</v>
      </c>
      <c r="E1341" s="42" t="s">
        <v>200</v>
      </c>
      <c r="F1341" s="42" t="s">
        <v>238</v>
      </c>
      <c r="G1341" s="42">
        <v>0.2</v>
      </c>
      <c r="H1341" s="42">
        <f t="shared" si="43"/>
        <v>201601</v>
      </c>
      <c r="I1341" s="42" t="e">
        <f>MATCH(D1341,$O:$O,0)</f>
        <v>#N/A</v>
      </c>
      <c r="J1341" s="42" t="s">
        <v>39</v>
      </c>
      <c r="K1341" s="42" t="s">
        <v>649</v>
      </c>
      <c r="L1341" s="42" t="s">
        <v>193</v>
      </c>
    </row>
    <row r="1342" spans="1:12" x14ac:dyDescent="0.25">
      <c r="A1342" s="42" t="s">
        <v>236</v>
      </c>
      <c r="B1342" s="43">
        <v>42381</v>
      </c>
      <c r="C1342" s="42" t="s">
        <v>412</v>
      </c>
      <c r="D1342" s="42" t="str">
        <f t="shared" si="44"/>
        <v>Interest</v>
      </c>
      <c r="E1342" s="42" t="s">
        <v>200</v>
      </c>
      <c r="F1342" s="42" t="s">
        <v>238</v>
      </c>
      <c r="G1342" s="42">
        <v>0.37</v>
      </c>
      <c r="H1342" s="42">
        <f t="shared" si="43"/>
        <v>201601</v>
      </c>
      <c r="I1342" s="42" t="e">
        <f>MATCH(D1342,$O:$O,0)</f>
        <v>#N/A</v>
      </c>
      <c r="J1342" s="42" t="s">
        <v>39</v>
      </c>
      <c r="K1342" s="42" t="s">
        <v>630</v>
      </c>
      <c r="L1342" s="42" t="s">
        <v>193</v>
      </c>
    </row>
    <row r="1343" spans="1:12" x14ac:dyDescent="0.25">
      <c r="A1343" s="42" t="s">
        <v>236</v>
      </c>
      <c r="B1343" s="43">
        <v>42381</v>
      </c>
      <c r="C1343" s="42" t="s">
        <v>412</v>
      </c>
      <c r="D1343" s="42" t="str">
        <f t="shared" si="44"/>
        <v>Interest</v>
      </c>
      <c r="E1343" s="42" t="s">
        <v>200</v>
      </c>
      <c r="F1343" s="42" t="s">
        <v>238</v>
      </c>
      <c r="G1343" s="42">
        <v>0.06</v>
      </c>
      <c r="H1343" s="42">
        <f t="shared" si="43"/>
        <v>201601</v>
      </c>
      <c r="I1343" s="42" t="e">
        <f>MATCH(D1343,$O:$O,0)</f>
        <v>#N/A</v>
      </c>
      <c r="J1343" s="42" t="s">
        <v>39</v>
      </c>
      <c r="K1343" s="42" t="s">
        <v>630</v>
      </c>
      <c r="L1343" s="42" t="s">
        <v>895</v>
      </c>
    </row>
    <row r="1344" spans="1:12" x14ac:dyDescent="0.25">
      <c r="A1344" s="42" t="s">
        <v>236</v>
      </c>
      <c r="B1344" s="43">
        <v>42381</v>
      </c>
      <c r="C1344" s="42" t="s">
        <v>1067</v>
      </c>
      <c r="D1344" s="42" t="str">
        <f t="shared" si="44"/>
        <v>Utility</v>
      </c>
      <c r="E1344" s="42" t="s">
        <v>19</v>
      </c>
      <c r="F1344" s="42" t="s">
        <v>238</v>
      </c>
      <c r="G1344" s="42">
        <v>-125.22</v>
      </c>
      <c r="H1344" s="42">
        <f t="shared" si="43"/>
        <v>201601</v>
      </c>
      <c r="I1344" s="42">
        <f>MATCH(D1344,$O:$O,0)</f>
        <v>34</v>
      </c>
      <c r="J1344" s="42" t="s">
        <v>39</v>
      </c>
      <c r="K1344" s="42" t="s">
        <v>630</v>
      </c>
      <c r="L1344" s="42" t="s">
        <v>816</v>
      </c>
    </row>
    <row r="1345" spans="1:12" x14ac:dyDescent="0.25">
      <c r="A1345" s="42" t="s">
        <v>236</v>
      </c>
      <c r="B1345" s="43">
        <v>42381</v>
      </c>
      <c r="C1345" s="42" t="s">
        <v>221</v>
      </c>
      <c r="D1345" s="42" t="str">
        <f t="shared" si="44"/>
        <v>Tax</v>
      </c>
      <c r="E1345" s="42" t="s">
        <v>222</v>
      </c>
      <c r="F1345" s="42" t="s">
        <v>238</v>
      </c>
      <c r="G1345" s="42">
        <v>-0.06</v>
      </c>
      <c r="H1345" s="42">
        <f t="shared" si="43"/>
        <v>201601</v>
      </c>
      <c r="I1345" s="42">
        <f>MATCH(D1345,$O:$O,0)</f>
        <v>29</v>
      </c>
      <c r="J1345" s="42" t="s">
        <v>39</v>
      </c>
      <c r="K1345" s="42" t="s">
        <v>649</v>
      </c>
      <c r="L1345" s="42" t="s">
        <v>1060</v>
      </c>
    </row>
    <row r="1346" spans="1:12" x14ac:dyDescent="0.25">
      <c r="A1346" s="42" t="s">
        <v>236</v>
      </c>
      <c r="B1346" s="43">
        <v>42381</v>
      </c>
      <c r="C1346" s="42" t="s">
        <v>845</v>
      </c>
      <c r="D1346" s="42" t="str">
        <f t="shared" si="44"/>
        <v>Credit Card Payments</v>
      </c>
      <c r="E1346" s="42" t="s">
        <v>242</v>
      </c>
      <c r="F1346" s="42" t="s">
        <v>238</v>
      </c>
      <c r="G1346" s="42">
        <v>852</v>
      </c>
      <c r="H1346" s="42">
        <f t="shared" ref="H1346:H1409" si="45">YEAR(B1346)*100+MONTH(B1346)</f>
        <v>201601</v>
      </c>
      <c r="I1346" s="42">
        <f>MATCH(D1346,$O:$O,0)</f>
        <v>38</v>
      </c>
      <c r="J1346" s="42" t="s">
        <v>39</v>
      </c>
      <c r="K1346" s="42" t="s">
        <v>649</v>
      </c>
      <c r="L1346" s="42"/>
    </row>
    <row r="1347" spans="1:12" x14ac:dyDescent="0.25">
      <c r="A1347" s="42" t="s">
        <v>236</v>
      </c>
      <c r="B1347" s="43">
        <v>42381</v>
      </c>
      <c r="C1347" s="42" t="s">
        <v>1068</v>
      </c>
      <c r="D1347" s="42" t="str">
        <f t="shared" si="44"/>
        <v>D-Restaurant</v>
      </c>
      <c r="E1347" s="42" t="s">
        <v>204</v>
      </c>
      <c r="F1347" s="42" t="s">
        <v>238</v>
      </c>
      <c r="G1347" s="42">
        <v>-8.1999999999999993</v>
      </c>
      <c r="H1347" s="42">
        <f t="shared" si="45"/>
        <v>201601</v>
      </c>
      <c r="I1347" s="42">
        <f>MATCH(D1347,$O:$O,0)</f>
        <v>9</v>
      </c>
      <c r="J1347" s="42" t="s">
        <v>39</v>
      </c>
      <c r="K1347" s="42" t="s">
        <v>649</v>
      </c>
      <c r="L1347" s="42"/>
    </row>
    <row r="1348" spans="1:12" x14ac:dyDescent="0.25">
      <c r="A1348" s="42" t="s">
        <v>236</v>
      </c>
      <c r="B1348" s="43">
        <v>42382</v>
      </c>
      <c r="C1348" s="42" t="s">
        <v>565</v>
      </c>
      <c r="D1348" s="42" t="str">
        <f t="shared" si="44"/>
        <v>Grocery</v>
      </c>
      <c r="E1348" s="42" t="s">
        <v>192</v>
      </c>
      <c r="F1348" s="42" t="s">
        <v>238</v>
      </c>
      <c r="G1348" s="42">
        <v>-115.68</v>
      </c>
      <c r="H1348" s="42">
        <f t="shared" si="45"/>
        <v>201601</v>
      </c>
      <c r="I1348" s="42">
        <f>MATCH(D1348,$O:$O,0)</f>
        <v>12</v>
      </c>
      <c r="J1348" s="42" t="s">
        <v>39</v>
      </c>
      <c r="K1348" s="42" t="s">
        <v>619</v>
      </c>
      <c r="L1348" s="42"/>
    </row>
    <row r="1349" spans="1:12" x14ac:dyDescent="0.25">
      <c r="A1349" s="42" t="s">
        <v>236</v>
      </c>
      <c r="B1349" s="43">
        <v>42383</v>
      </c>
      <c r="C1349" s="42" t="s">
        <v>1066</v>
      </c>
      <c r="D1349" s="42" t="str">
        <f t="shared" si="44"/>
        <v>Charity</v>
      </c>
      <c r="E1349" s="42" t="s">
        <v>37</v>
      </c>
      <c r="F1349" s="42" t="s">
        <v>238</v>
      </c>
      <c r="G1349" s="44">
        <v>-1000</v>
      </c>
      <c r="H1349" s="42">
        <f t="shared" si="45"/>
        <v>201601</v>
      </c>
      <c r="I1349" s="42">
        <f>MATCH(D1349,$O:$O,0)</f>
        <v>5</v>
      </c>
      <c r="J1349" s="42" t="s">
        <v>39</v>
      </c>
      <c r="K1349" s="42" t="s">
        <v>803</v>
      </c>
      <c r="L1349" s="42"/>
    </row>
    <row r="1350" spans="1:12" x14ac:dyDescent="0.25">
      <c r="A1350" s="42" t="s">
        <v>236</v>
      </c>
      <c r="B1350" s="43">
        <v>42383</v>
      </c>
      <c r="C1350" s="42" t="s">
        <v>900</v>
      </c>
      <c r="D1350" s="42" t="str">
        <f t="shared" si="44"/>
        <v>Gas</v>
      </c>
      <c r="E1350" s="42" t="s">
        <v>311</v>
      </c>
      <c r="F1350" s="42" t="s">
        <v>238</v>
      </c>
      <c r="G1350" s="42">
        <v>-26.25</v>
      </c>
      <c r="H1350" s="42">
        <f t="shared" si="45"/>
        <v>201601</v>
      </c>
      <c r="I1350" s="42">
        <f>MATCH(D1350,$O:$O,0)</f>
        <v>30</v>
      </c>
      <c r="J1350" s="42" t="s">
        <v>39</v>
      </c>
      <c r="K1350" s="42" t="s">
        <v>649</v>
      </c>
      <c r="L1350" s="42"/>
    </row>
    <row r="1351" spans="1:12" x14ac:dyDescent="0.25">
      <c r="A1351" s="42" t="s">
        <v>236</v>
      </c>
      <c r="B1351" s="43">
        <v>42384</v>
      </c>
      <c r="C1351" s="42" t="s">
        <v>1065</v>
      </c>
      <c r="D1351" s="42" t="str">
        <f t="shared" si="44"/>
        <v>Paychecks/Salary</v>
      </c>
      <c r="E1351" s="42" t="s">
        <v>375</v>
      </c>
      <c r="F1351" s="42" t="s">
        <v>238</v>
      </c>
      <c r="G1351" s="48">
        <v>2963.41</v>
      </c>
      <c r="H1351" s="42">
        <f t="shared" si="45"/>
        <v>201601</v>
      </c>
      <c r="I1351" s="42">
        <f>MATCH(D1351,$O:$O,0)</f>
        <v>40</v>
      </c>
      <c r="J1351" s="42" t="s">
        <v>39</v>
      </c>
      <c r="K1351" s="42" t="s">
        <v>649</v>
      </c>
      <c r="L1351" s="42" t="s">
        <v>193</v>
      </c>
    </row>
    <row r="1352" spans="1:12" x14ac:dyDescent="0.25">
      <c r="A1352" s="42" t="s">
        <v>236</v>
      </c>
      <c r="B1352" s="43">
        <v>42384</v>
      </c>
      <c r="C1352" s="42" t="s">
        <v>685</v>
      </c>
      <c r="D1352" s="42" t="str">
        <f t="shared" si="44"/>
        <v>D-Restaurant</v>
      </c>
      <c r="E1352" s="42" t="s">
        <v>204</v>
      </c>
      <c r="F1352" s="42" t="s">
        <v>238</v>
      </c>
      <c r="G1352" s="42">
        <v>-4.8899999999999997</v>
      </c>
      <c r="H1352" s="42">
        <f t="shared" si="45"/>
        <v>201601</v>
      </c>
      <c r="I1352" s="42">
        <f>MATCH(D1352,$O:$O,0)</f>
        <v>9</v>
      </c>
      <c r="J1352" s="42" t="s">
        <v>39</v>
      </c>
      <c r="K1352" s="42" t="s">
        <v>649</v>
      </c>
      <c r="L1352" s="42"/>
    </row>
    <row r="1353" spans="1:12" x14ac:dyDescent="0.25">
      <c r="A1353" s="42" t="s">
        <v>236</v>
      </c>
      <c r="B1353" s="43">
        <v>42384</v>
      </c>
      <c r="C1353" s="42" t="s">
        <v>509</v>
      </c>
      <c r="D1353" s="42" t="str">
        <f t="shared" si="44"/>
        <v>D-Coffee</v>
      </c>
      <c r="E1353" s="42" t="s">
        <v>215</v>
      </c>
      <c r="F1353" s="42" t="s">
        <v>238</v>
      </c>
      <c r="G1353" s="42">
        <v>-1.95</v>
      </c>
      <c r="H1353" s="42">
        <f t="shared" si="45"/>
        <v>201601</v>
      </c>
      <c r="I1353" s="42">
        <f>MATCH(D1353,$O:$O,0)</f>
        <v>7</v>
      </c>
      <c r="J1353" s="42" t="s">
        <v>39</v>
      </c>
      <c r="K1353" s="42" t="s">
        <v>632</v>
      </c>
      <c r="L1353" s="42" t="s">
        <v>353</v>
      </c>
    </row>
    <row r="1354" spans="1:12" x14ac:dyDescent="0.25">
      <c r="A1354" s="42" t="s">
        <v>236</v>
      </c>
      <c r="B1354" s="43">
        <v>42385</v>
      </c>
      <c r="C1354" s="42" t="s">
        <v>893</v>
      </c>
      <c r="D1354" s="42" t="str">
        <f t="shared" si="44"/>
        <v>D-Coffee</v>
      </c>
      <c r="E1354" s="42" t="s">
        <v>215</v>
      </c>
      <c r="F1354" s="42" t="s">
        <v>238</v>
      </c>
      <c r="G1354" s="42">
        <v>-2.75</v>
      </c>
      <c r="H1354" s="42">
        <f t="shared" si="45"/>
        <v>201601</v>
      </c>
      <c r="I1354" s="42">
        <f>MATCH(D1354,$O:$O,0)</f>
        <v>7</v>
      </c>
      <c r="J1354" s="42" t="s">
        <v>39</v>
      </c>
      <c r="K1354" s="42" t="s">
        <v>649</v>
      </c>
      <c r="L1354" s="42"/>
    </row>
    <row r="1355" spans="1:12" x14ac:dyDescent="0.25">
      <c r="A1355" s="42" t="s">
        <v>236</v>
      </c>
      <c r="B1355" s="43">
        <v>42387</v>
      </c>
      <c r="C1355" s="42" t="s">
        <v>864</v>
      </c>
      <c r="D1355" s="42" t="str">
        <f t="shared" si="44"/>
        <v>z-New Asset</v>
      </c>
      <c r="E1355" s="42" t="s">
        <v>121</v>
      </c>
      <c r="F1355" s="42" t="s">
        <v>238</v>
      </c>
      <c r="G1355" s="42">
        <v>-27.17</v>
      </c>
      <c r="H1355" s="42">
        <f t="shared" si="45"/>
        <v>201601</v>
      </c>
      <c r="I1355" s="42">
        <f>MATCH(D1355,$O:$O,0)</f>
        <v>36</v>
      </c>
      <c r="J1355" s="42" t="s">
        <v>39</v>
      </c>
      <c r="K1355" s="42" t="s">
        <v>649</v>
      </c>
      <c r="L1355" s="42"/>
    </row>
    <row r="1356" spans="1:12" x14ac:dyDescent="0.25">
      <c r="A1356" s="42" t="s">
        <v>236</v>
      </c>
      <c r="B1356" s="43">
        <v>42387</v>
      </c>
      <c r="C1356" s="42" t="s">
        <v>1064</v>
      </c>
      <c r="D1356" s="42" t="str">
        <f t="shared" si="44"/>
        <v>Gifts</v>
      </c>
      <c r="E1356" s="42" t="s">
        <v>40</v>
      </c>
      <c r="F1356" s="42" t="s">
        <v>238</v>
      </c>
      <c r="G1356" s="42">
        <v>-50</v>
      </c>
      <c r="H1356" s="42">
        <f t="shared" si="45"/>
        <v>201601</v>
      </c>
      <c r="I1356" s="42">
        <f>MATCH(D1356,$O:$O,0)</f>
        <v>11</v>
      </c>
      <c r="J1356" s="42" t="s">
        <v>39</v>
      </c>
      <c r="K1356" s="42" t="s">
        <v>649</v>
      </c>
      <c r="L1356" s="42"/>
    </row>
    <row r="1357" spans="1:12" x14ac:dyDescent="0.25">
      <c r="A1357" s="42" t="s">
        <v>236</v>
      </c>
      <c r="B1357" s="43">
        <v>42387</v>
      </c>
      <c r="C1357" s="42" t="s">
        <v>853</v>
      </c>
      <c r="D1357" s="42" t="str">
        <f t="shared" si="44"/>
        <v>D-Travel</v>
      </c>
      <c r="E1357" s="42" t="s">
        <v>161</v>
      </c>
      <c r="F1357" s="42" t="s">
        <v>238</v>
      </c>
      <c r="G1357" s="42">
        <v>-7.25</v>
      </c>
      <c r="H1357" s="42">
        <f t="shared" si="45"/>
        <v>201601</v>
      </c>
      <c r="I1357" s="42">
        <f>MATCH(D1357,$O:$O,0)</f>
        <v>10</v>
      </c>
      <c r="J1357" s="42" t="s">
        <v>39</v>
      </c>
      <c r="K1357" s="42" t="s">
        <v>649</v>
      </c>
      <c r="L1357" s="42" t="s">
        <v>252</v>
      </c>
    </row>
    <row r="1358" spans="1:12" x14ac:dyDescent="0.25">
      <c r="A1358" s="42" t="s">
        <v>236</v>
      </c>
      <c r="B1358" s="43">
        <v>42387</v>
      </c>
      <c r="C1358" s="42" t="s">
        <v>849</v>
      </c>
      <c r="D1358" s="42" t="str">
        <f t="shared" si="44"/>
        <v>Home Maintainence/Improvement</v>
      </c>
      <c r="E1358" s="42" t="s">
        <v>342</v>
      </c>
      <c r="F1358" s="42" t="s">
        <v>238</v>
      </c>
      <c r="G1358" s="42">
        <v>24.34</v>
      </c>
      <c r="H1358" s="42">
        <f t="shared" si="45"/>
        <v>201601</v>
      </c>
      <c r="I1358" s="42">
        <f>MATCH(D1358,$O:$O,0)</f>
        <v>16</v>
      </c>
      <c r="J1358" s="42" t="s">
        <v>39</v>
      </c>
      <c r="K1358" s="42" t="s">
        <v>649</v>
      </c>
      <c r="L1358" s="42"/>
    </row>
    <row r="1359" spans="1:12" x14ac:dyDescent="0.25">
      <c r="A1359" s="42" t="s">
        <v>236</v>
      </c>
      <c r="B1359" s="43">
        <v>42388</v>
      </c>
      <c r="C1359" s="42" t="s">
        <v>565</v>
      </c>
      <c r="D1359" s="42" t="str">
        <f t="shared" si="44"/>
        <v>Grocery</v>
      </c>
      <c r="E1359" s="42" t="s">
        <v>192</v>
      </c>
      <c r="F1359" s="42" t="s">
        <v>238</v>
      </c>
      <c r="G1359" s="42">
        <v>-2.99</v>
      </c>
      <c r="H1359" s="42">
        <f t="shared" si="45"/>
        <v>201601</v>
      </c>
      <c r="I1359" s="42">
        <f>MATCH(D1359,$O:$O,0)</f>
        <v>12</v>
      </c>
      <c r="J1359" s="42" t="s">
        <v>39</v>
      </c>
      <c r="K1359" s="42" t="s">
        <v>649</v>
      </c>
      <c r="L1359" s="42"/>
    </row>
    <row r="1360" spans="1:12" x14ac:dyDescent="0.25">
      <c r="A1360" s="42" t="s">
        <v>236</v>
      </c>
      <c r="B1360" s="43">
        <v>42389</v>
      </c>
      <c r="C1360" s="42" t="s">
        <v>904</v>
      </c>
      <c r="D1360" s="42" t="str">
        <f t="shared" si="44"/>
        <v>Utility</v>
      </c>
      <c r="E1360" s="42" t="s">
        <v>19</v>
      </c>
      <c r="F1360" s="42" t="s">
        <v>238</v>
      </c>
      <c r="G1360" s="46">
        <v>-290.68</v>
      </c>
      <c r="H1360" s="42">
        <f t="shared" si="45"/>
        <v>201601</v>
      </c>
      <c r="I1360" s="42">
        <f>MATCH(D1360,$O:$O,0)</f>
        <v>34</v>
      </c>
      <c r="J1360" s="42" t="s">
        <v>39</v>
      </c>
      <c r="K1360" s="42" t="s">
        <v>803</v>
      </c>
      <c r="L1360" s="42"/>
    </row>
    <row r="1361" spans="1:12" x14ac:dyDescent="0.25">
      <c r="A1361" s="42" t="s">
        <v>236</v>
      </c>
      <c r="B1361" s="43">
        <v>42389</v>
      </c>
      <c r="C1361" s="42" t="s">
        <v>1063</v>
      </c>
      <c r="D1361" s="42" t="str">
        <f t="shared" si="44"/>
        <v>D-Restaurant</v>
      </c>
      <c r="E1361" s="42" t="s">
        <v>204</v>
      </c>
      <c r="F1361" s="42" t="s">
        <v>238</v>
      </c>
      <c r="G1361" s="42">
        <v>-8.65</v>
      </c>
      <c r="H1361" s="42">
        <f t="shared" si="45"/>
        <v>201601</v>
      </c>
      <c r="I1361" s="42">
        <f>MATCH(D1361,$O:$O,0)</f>
        <v>9</v>
      </c>
      <c r="J1361" s="42" t="s">
        <v>39</v>
      </c>
      <c r="K1361" s="42" t="s">
        <v>649</v>
      </c>
      <c r="L1361" s="42" t="s">
        <v>351</v>
      </c>
    </row>
    <row r="1362" spans="1:12" x14ac:dyDescent="0.25">
      <c r="A1362" s="42" t="s">
        <v>236</v>
      </c>
      <c r="B1362" s="43">
        <v>42389</v>
      </c>
      <c r="C1362" s="42" t="s">
        <v>249</v>
      </c>
      <c r="D1362" s="42" t="str">
        <f t="shared" si="44"/>
        <v>Retirement Contributions</v>
      </c>
      <c r="E1362" s="42" t="s">
        <v>263</v>
      </c>
      <c r="F1362" s="42" t="s">
        <v>238</v>
      </c>
      <c r="G1362" s="42">
        <v>731.25</v>
      </c>
      <c r="H1362" s="42">
        <f t="shared" si="45"/>
        <v>201601</v>
      </c>
      <c r="I1362" s="42">
        <f>MATCH(D1362,$O:$O,0)</f>
        <v>39</v>
      </c>
      <c r="J1362" s="42" t="s">
        <v>39</v>
      </c>
      <c r="K1362" s="42" t="s">
        <v>649</v>
      </c>
      <c r="L1362" s="42"/>
    </row>
    <row r="1363" spans="1:12" x14ac:dyDescent="0.25">
      <c r="A1363" s="42" t="s">
        <v>236</v>
      </c>
      <c r="B1363" s="43">
        <v>42390</v>
      </c>
      <c r="C1363" s="42" t="s">
        <v>364</v>
      </c>
      <c r="D1363" s="42" t="str">
        <f t="shared" si="44"/>
        <v>Paychecks/Salary</v>
      </c>
      <c r="E1363" s="42" t="s">
        <v>261</v>
      </c>
      <c r="F1363" s="42" t="s">
        <v>238</v>
      </c>
      <c r="G1363" s="44">
        <v>1000</v>
      </c>
      <c r="H1363" s="42">
        <f t="shared" si="45"/>
        <v>201601</v>
      </c>
      <c r="I1363" s="42">
        <f>MATCH(D1363,$O:$O,0)</f>
        <v>40</v>
      </c>
      <c r="J1363" s="42" t="s">
        <v>39</v>
      </c>
      <c r="K1363" s="42" t="s">
        <v>803</v>
      </c>
      <c r="L1363" s="42" t="s">
        <v>339</v>
      </c>
    </row>
    <row r="1364" spans="1:12" x14ac:dyDescent="0.25">
      <c r="A1364" s="42" t="s">
        <v>236</v>
      </c>
      <c r="B1364" s="43">
        <v>42390</v>
      </c>
      <c r="C1364" s="42" t="s">
        <v>583</v>
      </c>
      <c r="D1364" s="42" t="str">
        <f t="shared" si="44"/>
        <v>Grocery</v>
      </c>
      <c r="E1364" s="42" t="s">
        <v>192</v>
      </c>
      <c r="F1364" s="42" t="s">
        <v>238</v>
      </c>
      <c r="G1364" s="42">
        <v>-7.76</v>
      </c>
      <c r="H1364" s="42">
        <f t="shared" si="45"/>
        <v>201601</v>
      </c>
      <c r="I1364" s="42">
        <f>MATCH(D1364,$O:$O,0)</f>
        <v>12</v>
      </c>
      <c r="J1364" s="42" t="s">
        <v>39</v>
      </c>
      <c r="K1364" s="42" t="s">
        <v>619</v>
      </c>
      <c r="L1364" s="42" t="s">
        <v>804</v>
      </c>
    </row>
    <row r="1365" spans="1:12" x14ac:dyDescent="0.25">
      <c r="A1365" s="42" t="s">
        <v>236</v>
      </c>
      <c r="B1365" s="43">
        <v>42391</v>
      </c>
      <c r="C1365" s="42" t="s">
        <v>585</v>
      </c>
      <c r="D1365" s="42" t="str">
        <f t="shared" si="44"/>
        <v>Parking</v>
      </c>
      <c r="E1365" s="42" t="s">
        <v>170</v>
      </c>
      <c r="F1365" s="42" t="s">
        <v>238</v>
      </c>
      <c r="G1365" s="42">
        <v>-0.25</v>
      </c>
      <c r="H1365" s="42">
        <f t="shared" si="45"/>
        <v>201601</v>
      </c>
      <c r="I1365" s="42">
        <f>MATCH(D1365,$O:$O,0)</f>
        <v>32</v>
      </c>
      <c r="J1365" s="42" t="s">
        <v>39</v>
      </c>
      <c r="K1365" s="42" t="s">
        <v>649</v>
      </c>
      <c r="L1365" s="42"/>
    </row>
    <row r="1366" spans="1:12" x14ac:dyDescent="0.25">
      <c r="A1366" s="42" t="s">
        <v>236</v>
      </c>
      <c r="B1366" s="43">
        <v>42391</v>
      </c>
      <c r="C1366" s="42" t="s">
        <v>1062</v>
      </c>
      <c r="D1366" s="42" t="str">
        <f t="shared" si="44"/>
        <v>D-Restaurant</v>
      </c>
      <c r="E1366" s="42" t="s">
        <v>204</v>
      </c>
      <c r="F1366" s="42" t="s">
        <v>238</v>
      </c>
      <c r="G1366" s="42">
        <v>-29.99</v>
      </c>
      <c r="H1366" s="42">
        <f t="shared" si="45"/>
        <v>201601</v>
      </c>
      <c r="I1366" s="42">
        <f>MATCH(D1366,$O:$O,0)</f>
        <v>9</v>
      </c>
      <c r="J1366" s="42" t="s">
        <v>39</v>
      </c>
      <c r="K1366" s="42" t="s">
        <v>803</v>
      </c>
      <c r="L1366" s="42"/>
    </row>
    <row r="1367" spans="1:12" x14ac:dyDescent="0.25">
      <c r="A1367" s="42" t="s">
        <v>236</v>
      </c>
      <c r="B1367" s="43">
        <v>42391</v>
      </c>
      <c r="C1367" s="42" t="s">
        <v>917</v>
      </c>
      <c r="D1367" s="42" t="str">
        <f t="shared" si="44"/>
        <v>Grocery</v>
      </c>
      <c r="E1367" s="42" t="s">
        <v>385</v>
      </c>
      <c r="F1367" s="42" t="s">
        <v>238</v>
      </c>
      <c r="G1367" s="42">
        <v>-11.39</v>
      </c>
      <c r="H1367" s="42">
        <f t="shared" si="45"/>
        <v>201601</v>
      </c>
      <c r="I1367" s="42">
        <f>MATCH(D1367,$O:$O,0)</f>
        <v>12</v>
      </c>
      <c r="J1367" s="42" t="s">
        <v>39</v>
      </c>
      <c r="K1367" s="42" t="s">
        <v>803</v>
      </c>
      <c r="L1367" s="42" t="s">
        <v>310</v>
      </c>
    </row>
    <row r="1368" spans="1:12" x14ac:dyDescent="0.25">
      <c r="A1368" s="42" t="s">
        <v>236</v>
      </c>
      <c r="B1368" s="43">
        <v>42392</v>
      </c>
      <c r="C1368" s="42" t="s">
        <v>1059</v>
      </c>
      <c r="D1368" s="42" t="str">
        <f t="shared" si="44"/>
        <v>D-Travel</v>
      </c>
      <c r="E1368" s="42" t="s">
        <v>161</v>
      </c>
      <c r="F1368" s="42" t="s">
        <v>238</v>
      </c>
      <c r="G1368" s="42">
        <v>-115</v>
      </c>
      <c r="H1368" s="42">
        <f t="shared" si="45"/>
        <v>201601</v>
      </c>
      <c r="I1368" s="42">
        <f>MATCH(D1368,$O:$O,0)</f>
        <v>10</v>
      </c>
      <c r="J1368" s="42" t="s">
        <v>39</v>
      </c>
      <c r="K1368" s="42" t="s">
        <v>628</v>
      </c>
      <c r="L1368" s="42" t="s">
        <v>252</v>
      </c>
    </row>
    <row r="1369" spans="1:12" x14ac:dyDescent="0.25">
      <c r="A1369" s="42" t="s">
        <v>236</v>
      </c>
      <c r="B1369" s="43">
        <v>42392</v>
      </c>
      <c r="C1369" s="42" t="s">
        <v>1061</v>
      </c>
      <c r="D1369" s="42" t="str">
        <f t="shared" si="44"/>
        <v>D-Travel</v>
      </c>
      <c r="E1369" s="42" t="s">
        <v>161</v>
      </c>
      <c r="F1369" s="42" t="s">
        <v>238</v>
      </c>
      <c r="G1369" s="42">
        <v>-452.2</v>
      </c>
      <c r="H1369" s="42">
        <f t="shared" si="45"/>
        <v>201601</v>
      </c>
      <c r="I1369" s="42">
        <f>MATCH(D1369,$O:$O,0)</f>
        <v>10</v>
      </c>
      <c r="J1369" s="42" t="s">
        <v>39</v>
      </c>
      <c r="K1369" s="42" t="s">
        <v>676</v>
      </c>
      <c r="L1369" s="42" t="s">
        <v>200</v>
      </c>
    </row>
    <row r="1370" spans="1:12" x14ac:dyDescent="0.25">
      <c r="A1370" s="42" t="s">
        <v>236</v>
      </c>
      <c r="B1370" s="43">
        <v>42392</v>
      </c>
      <c r="C1370" s="42" t="s">
        <v>1061</v>
      </c>
      <c r="D1370" s="42" t="str">
        <f t="shared" si="44"/>
        <v>D-Travel</v>
      </c>
      <c r="E1370" s="42" t="s">
        <v>161</v>
      </c>
      <c r="F1370" s="42" t="s">
        <v>238</v>
      </c>
      <c r="G1370" s="42">
        <v>-96.1</v>
      </c>
      <c r="H1370" s="42">
        <f t="shared" si="45"/>
        <v>201601</v>
      </c>
      <c r="I1370" s="42">
        <f>MATCH(D1370,$O:$O,0)</f>
        <v>10</v>
      </c>
      <c r="J1370" s="42" t="s">
        <v>39</v>
      </c>
      <c r="K1370" s="42" t="s">
        <v>675</v>
      </c>
      <c r="L1370" s="42"/>
    </row>
    <row r="1371" spans="1:12" x14ac:dyDescent="0.25">
      <c r="A1371" s="42" t="s">
        <v>236</v>
      </c>
      <c r="B1371" s="43">
        <v>42392</v>
      </c>
      <c r="C1371" s="42" t="s">
        <v>575</v>
      </c>
      <c r="D1371" s="42" t="str">
        <f t="shared" si="44"/>
        <v>D-Restaurant</v>
      </c>
      <c r="E1371" s="42" t="s">
        <v>204</v>
      </c>
      <c r="F1371" s="42" t="s">
        <v>238</v>
      </c>
      <c r="G1371" s="42">
        <v>-9.4499999999999993</v>
      </c>
      <c r="H1371" s="42">
        <f t="shared" si="45"/>
        <v>201601</v>
      </c>
      <c r="I1371" s="42">
        <f>MATCH(D1371,$O:$O,0)</f>
        <v>9</v>
      </c>
      <c r="J1371" s="42" t="s">
        <v>39</v>
      </c>
      <c r="K1371" s="42" t="s">
        <v>803</v>
      </c>
      <c r="L1371" s="42" t="s">
        <v>200</v>
      </c>
    </row>
    <row r="1372" spans="1:12" x14ac:dyDescent="0.25">
      <c r="A1372" s="42" t="s">
        <v>236</v>
      </c>
      <c r="B1372" s="43">
        <v>42394</v>
      </c>
      <c r="C1372" s="42" t="s">
        <v>894</v>
      </c>
      <c r="D1372" s="42" t="str">
        <f t="shared" si="44"/>
        <v>Movies/Software/Online Service</v>
      </c>
      <c r="E1372" s="42" t="s">
        <v>167</v>
      </c>
      <c r="F1372" s="42" t="s">
        <v>238</v>
      </c>
      <c r="G1372" s="42">
        <v>-7.99</v>
      </c>
      <c r="H1372" s="42">
        <f t="shared" si="45"/>
        <v>201601</v>
      </c>
      <c r="I1372" s="42">
        <f>MATCH(D1372,$O:$O,0)</f>
        <v>22</v>
      </c>
      <c r="J1372" s="42" t="s">
        <v>39</v>
      </c>
      <c r="K1372" s="42" t="s">
        <v>628</v>
      </c>
      <c r="L1372" s="42" t="s">
        <v>200</v>
      </c>
    </row>
    <row r="1373" spans="1:12" x14ac:dyDescent="0.25">
      <c r="A1373" s="42" t="s">
        <v>236</v>
      </c>
      <c r="B1373" s="43">
        <v>42394</v>
      </c>
      <c r="C1373" s="42" t="s">
        <v>775</v>
      </c>
      <c r="D1373" s="42" t="str">
        <f t="shared" si="44"/>
        <v>Grocery</v>
      </c>
      <c r="E1373" s="42" t="s">
        <v>192</v>
      </c>
      <c r="F1373" s="42" t="s">
        <v>238</v>
      </c>
      <c r="G1373" s="42">
        <v>-15.87</v>
      </c>
      <c r="H1373" s="42">
        <f t="shared" si="45"/>
        <v>201601</v>
      </c>
      <c r="I1373" s="42">
        <f>MATCH(D1373,$O:$O,0)</f>
        <v>12</v>
      </c>
      <c r="J1373" s="42" t="s">
        <v>39</v>
      </c>
      <c r="K1373" s="42" t="s">
        <v>649</v>
      </c>
      <c r="L1373" s="42" t="s">
        <v>200</v>
      </c>
    </row>
    <row r="1374" spans="1:12" x14ac:dyDescent="0.25">
      <c r="A1374" s="42" t="s">
        <v>236</v>
      </c>
      <c r="B1374" s="43">
        <v>42395</v>
      </c>
      <c r="C1374" s="42" t="s">
        <v>575</v>
      </c>
      <c r="D1374" s="42" t="str">
        <f t="shared" si="44"/>
        <v>D-Restaurant</v>
      </c>
      <c r="E1374" s="42" t="s">
        <v>204</v>
      </c>
      <c r="F1374" s="42" t="s">
        <v>238</v>
      </c>
      <c r="G1374" s="42">
        <v>-8.6999999999999993</v>
      </c>
      <c r="H1374" s="42">
        <f t="shared" si="45"/>
        <v>201601</v>
      </c>
      <c r="I1374" s="42">
        <f>MATCH(D1374,$O:$O,0)</f>
        <v>9</v>
      </c>
      <c r="J1374" s="42" t="s">
        <v>39</v>
      </c>
      <c r="K1374" s="42" t="s">
        <v>619</v>
      </c>
      <c r="L1374" s="42" t="s">
        <v>229</v>
      </c>
    </row>
    <row r="1375" spans="1:12" x14ac:dyDescent="0.25">
      <c r="A1375" s="42" t="s">
        <v>236</v>
      </c>
      <c r="B1375" s="43">
        <v>42395</v>
      </c>
      <c r="C1375" s="42" t="s">
        <v>747</v>
      </c>
      <c r="D1375" s="42" t="str">
        <f t="shared" si="44"/>
        <v>Cell Phone</v>
      </c>
      <c r="E1375" s="42" t="s">
        <v>224</v>
      </c>
      <c r="F1375" s="42" t="s">
        <v>238</v>
      </c>
      <c r="G1375" s="42">
        <v>-76.319999999999993</v>
      </c>
      <c r="H1375" s="42">
        <f t="shared" si="45"/>
        <v>201601</v>
      </c>
      <c r="I1375" s="42">
        <f>MATCH(D1375,$O:$O,0)</f>
        <v>4</v>
      </c>
      <c r="J1375" s="42" t="s">
        <v>39</v>
      </c>
      <c r="K1375" s="42" t="s">
        <v>675</v>
      </c>
      <c r="L1375" s="42"/>
    </row>
    <row r="1376" spans="1:12" x14ac:dyDescent="0.25">
      <c r="A1376" s="42" t="s">
        <v>236</v>
      </c>
      <c r="B1376" s="43">
        <v>42395</v>
      </c>
      <c r="C1376" s="42" t="s">
        <v>917</v>
      </c>
      <c r="D1376" s="42" t="str">
        <f t="shared" si="44"/>
        <v>Grocery</v>
      </c>
      <c r="E1376" s="42" t="s">
        <v>385</v>
      </c>
      <c r="F1376" s="42" t="s">
        <v>238</v>
      </c>
      <c r="G1376" s="42">
        <v>-77.37</v>
      </c>
      <c r="H1376" s="42">
        <f t="shared" si="45"/>
        <v>201601</v>
      </c>
      <c r="I1376" s="42">
        <f>MATCH(D1376,$O:$O,0)</f>
        <v>12</v>
      </c>
      <c r="J1376" s="42" t="s">
        <v>39</v>
      </c>
      <c r="K1376" s="42" t="s">
        <v>619</v>
      </c>
      <c r="L1376" s="42"/>
    </row>
    <row r="1377" spans="1:12" x14ac:dyDescent="0.25">
      <c r="A1377" s="42" t="s">
        <v>236</v>
      </c>
      <c r="B1377" s="43">
        <v>42395</v>
      </c>
      <c r="C1377" s="42" t="s">
        <v>917</v>
      </c>
      <c r="D1377" s="42" t="str">
        <f t="shared" si="44"/>
        <v>Grocery</v>
      </c>
      <c r="E1377" s="42" t="s">
        <v>385</v>
      </c>
      <c r="F1377" s="42" t="s">
        <v>238</v>
      </c>
      <c r="G1377" s="42">
        <v>-64.209999999999994</v>
      </c>
      <c r="H1377" s="42">
        <f t="shared" si="45"/>
        <v>201601</v>
      </c>
      <c r="I1377" s="42">
        <f>MATCH(D1377,$O:$O,0)</f>
        <v>12</v>
      </c>
      <c r="J1377" s="42" t="s">
        <v>39</v>
      </c>
      <c r="K1377" s="42" t="s">
        <v>649</v>
      </c>
      <c r="L1377" s="42"/>
    </row>
    <row r="1378" spans="1:12" x14ac:dyDescent="0.25">
      <c r="A1378" s="42" t="s">
        <v>236</v>
      </c>
      <c r="B1378" s="43">
        <v>42397</v>
      </c>
      <c r="C1378" s="42" t="s">
        <v>1057</v>
      </c>
      <c r="D1378" s="42" t="str">
        <f t="shared" si="44"/>
        <v>Grocery</v>
      </c>
      <c r="E1378" s="42" t="s">
        <v>385</v>
      </c>
      <c r="F1378" s="42" t="s">
        <v>238</v>
      </c>
      <c r="G1378" s="42">
        <v>-115.92</v>
      </c>
      <c r="H1378" s="42">
        <f t="shared" si="45"/>
        <v>201601</v>
      </c>
      <c r="I1378" s="42">
        <f>MATCH(D1378,$O:$O,0)</f>
        <v>12</v>
      </c>
      <c r="J1378" s="42" t="s">
        <v>39</v>
      </c>
      <c r="K1378" s="42" t="s">
        <v>619</v>
      </c>
      <c r="L1378" s="42"/>
    </row>
    <row r="1379" spans="1:12" x14ac:dyDescent="0.25">
      <c r="A1379" s="42" t="s">
        <v>236</v>
      </c>
      <c r="B1379" s="43">
        <v>42397</v>
      </c>
      <c r="C1379" s="42" t="s">
        <v>1058</v>
      </c>
      <c r="D1379" s="42" t="str">
        <f t="shared" si="44"/>
        <v>Gifts</v>
      </c>
      <c r="E1379" s="42" t="s">
        <v>40</v>
      </c>
      <c r="F1379" s="42" t="s">
        <v>238</v>
      </c>
      <c r="G1379" s="42">
        <v>-43.48</v>
      </c>
      <c r="H1379" s="42">
        <f t="shared" si="45"/>
        <v>201601</v>
      </c>
      <c r="I1379" s="42">
        <f>MATCH(D1379,$O:$O,0)</f>
        <v>11</v>
      </c>
      <c r="J1379" s="42" t="s">
        <v>39</v>
      </c>
      <c r="K1379" s="42" t="s">
        <v>649</v>
      </c>
      <c r="L1379" s="42" t="s">
        <v>193</v>
      </c>
    </row>
    <row r="1380" spans="1:12" x14ac:dyDescent="0.25">
      <c r="A1380" s="42" t="s">
        <v>236</v>
      </c>
      <c r="B1380" s="43">
        <v>42397</v>
      </c>
      <c r="C1380" s="42" t="s">
        <v>685</v>
      </c>
      <c r="D1380" s="42" t="str">
        <f t="shared" ref="D1380:D1443" si="46">IF(ISNA(VLOOKUP(E1380,$L$2:$M$26,2,FALSE)),E1380,VLOOKUP(E1380,$L$2:$M$26,2,FALSE))</f>
        <v>D-Restaurant</v>
      </c>
      <c r="E1380" s="42" t="s">
        <v>204</v>
      </c>
      <c r="F1380" s="42" t="s">
        <v>238</v>
      </c>
      <c r="G1380" s="42">
        <v>-6.52</v>
      </c>
      <c r="H1380" s="42">
        <f t="shared" si="45"/>
        <v>201601</v>
      </c>
      <c r="I1380" s="42">
        <f>MATCH(D1380,$O:$O,0)</f>
        <v>9</v>
      </c>
      <c r="J1380" s="42" t="s">
        <v>39</v>
      </c>
      <c r="K1380" s="42" t="s">
        <v>649</v>
      </c>
      <c r="L1380" s="42"/>
    </row>
    <row r="1381" spans="1:12" x14ac:dyDescent="0.25">
      <c r="A1381" s="42" t="s">
        <v>236</v>
      </c>
      <c r="B1381" s="43">
        <v>42397</v>
      </c>
      <c r="C1381" s="42" t="s">
        <v>782</v>
      </c>
      <c r="D1381" s="42" t="str">
        <f t="shared" si="46"/>
        <v>D-Restaurant</v>
      </c>
      <c r="E1381" s="42" t="s">
        <v>204</v>
      </c>
      <c r="F1381" s="42" t="s">
        <v>238</v>
      </c>
      <c r="G1381" s="42">
        <v>-15</v>
      </c>
      <c r="H1381" s="42">
        <f t="shared" si="45"/>
        <v>201601</v>
      </c>
      <c r="I1381" s="42">
        <f>MATCH(D1381,$O:$O,0)</f>
        <v>9</v>
      </c>
      <c r="J1381" s="42" t="s">
        <v>39</v>
      </c>
      <c r="K1381" s="42" t="s">
        <v>803</v>
      </c>
      <c r="L1381" s="42"/>
    </row>
    <row r="1382" spans="1:12" x14ac:dyDescent="0.25">
      <c r="A1382" s="42" t="s">
        <v>236</v>
      </c>
      <c r="B1382" s="43">
        <v>42397</v>
      </c>
      <c r="C1382" s="42" t="s">
        <v>887</v>
      </c>
      <c r="D1382" s="42" t="str">
        <f t="shared" si="46"/>
        <v>D-Restaurant</v>
      </c>
      <c r="E1382" s="42" t="s">
        <v>204</v>
      </c>
      <c r="F1382" s="42" t="s">
        <v>238</v>
      </c>
      <c r="G1382" s="42">
        <v>-8.27</v>
      </c>
      <c r="H1382" s="42">
        <f t="shared" si="45"/>
        <v>201601</v>
      </c>
      <c r="I1382" s="42">
        <f>MATCH(D1382,$O:$O,0)</f>
        <v>9</v>
      </c>
      <c r="J1382" s="42" t="s">
        <v>39</v>
      </c>
      <c r="K1382" s="42" t="s">
        <v>803</v>
      </c>
      <c r="L1382" s="42"/>
    </row>
    <row r="1383" spans="1:12" x14ac:dyDescent="0.25">
      <c r="A1383" s="42" t="s">
        <v>236</v>
      </c>
      <c r="B1383" s="43">
        <v>42397</v>
      </c>
      <c r="C1383" s="42" t="s">
        <v>585</v>
      </c>
      <c r="D1383" s="42" t="str">
        <f t="shared" si="46"/>
        <v>Parking</v>
      </c>
      <c r="E1383" s="42" t="s">
        <v>170</v>
      </c>
      <c r="F1383" s="42" t="s">
        <v>238</v>
      </c>
      <c r="G1383" s="42">
        <v>-3</v>
      </c>
      <c r="H1383" s="42">
        <f t="shared" si="45"/>
        <v>201601</v>
      </c>
      <c r="I1383" s="42">
        <f>MATCH(D1383,$O:$O,0)</f>
        <v>32</v>
      </c>
      <c r="J1383" s="42" t="s">
        <v>39</v>
      </c>
      <c r="K1383" s="42" t="s">
        <v>619</v>
      </c>
      <c r="L1383" s="42"/>
    </row>
    <row r="1384" spans="1:12" x14ac:dyDescent="0.25">
      <c r="A1384" s="42" t="s">
        <v>236</v>
      </c>
      <c r="B1384" s="43">
        <v>42398</v>
      </c>
      <c r="C1384" s="42" t="s">
        <v>1052</v>
      </c>
      <c r="D1384" s="42" t="str">
        <f t="shared" si="46"/>
        <v>Grocery</v>
      </c>
      <c r="E1384" s="42" t="s">
        <v>385</v>
      </c>
      <c r="F1384" s="42" t="s">
        <v>238</v>
      </c>
      <c r="G1384" s="42">
        <v>-57.73</v>
      </c>
      <c r="H1384" s="42">
        <f t="shared" si="45"/>
        <v>201601</v>
      </c>
      <c r="I1384" s="42">
        <f>MATCH(D1384,$O:$O,0)</f>
        <v>12</v>
      </c>
      <c r="J1384" s="42" t="s">
        <v>39</v>
      </c>
      <c r="K1384" s="42" t="s">
        <v>803</v>
      </c>
      <c r="L1384" s="42" t="s">
        <v>241</v>
      </c>
    </row>
    <row r="1385" spans="1:12" x14ac:dyDescent="0.25">
      <c r="A1385" s="42" t="s">
        <v>236</v>
      </c>
      <c r="B1385" s="43">
        <v>42398</v>
      </c>
      <c r="C1385" s="42" t="s">
        <v>1053</v>
      </c>
      <c r="D1385" s="42" t="str">
        <f t="shared" si="46"/>
        <v>Credit Card Payments</v>
      </c>
      <c r="E1385" s="42" t="s">
        <v>242</v>
      </c>
      <c r="F1385" s="42" t="s">
        <v>238</v>
      </c>
      <c r="G1385" s="48">
        <v>-1900</v>
      </c>
      <c r="H1385" s="42">
        <f t="shared" si="45"/>
        <v>201601</v>
      </c>
      <c r="I1385" s="42">
        <f>MATCH(D1385,$O:$O,0)</f>
        <v>38</v>
      </c>
      <c r="J1385" s="42" t="s">
        <v>39</v>
      </c>
      <c r="K1385" s="42" t="s">
        <v>675</v>
      </c>
      <c r="L1385" s="42" t="s">
        <v>239</v>
      </c>
    </row>
    <row r="1386" spans="1:12" x14ac:dyDescent="0.25">
      <c r="A1386" s="42" t="s">
        <v>236</v>
      </c>
      <c r="B1386" s="43">
        <v>42398</v>
      </c>
      <c r="C1386" s="42" t="s">
        <v>1054</v>
      </c>
      <c r="D1386" s="42" t="str">
        <f t="shared" si="46"/>
        <v>Credit Card Payments</v>
      </c>
      <c r="E1386" s="42" t="s">
        <v>242</v>
      </c>
      <c r="F1386" s="42" t="s">
        <v>238</v>
      </c>
      <c r="G1386" s="46">
        <v>-700</v>
      </c>
      <c r="H1386" s="42">
        <f t="shared" si="45"/>
        <v>201601</v>
      </c>
      <c r="I1386" s="42">
        <f>MATCH(D1386,$O:$O,0)</f>
        <v>38</v>
      </c>
      <c r="J1386" s="42" t="s">
        <v>39</v>
      </c>
      <c r="K1386" s="42" t="s">
        <v>803</v>
      </c>
      <c r="L1386" s="42" t="s">
        <v>193</v>
      </c>
    </row>
    <row r="1387" spans="1:12" x14ac:dyDescent="0.25">
      <c r="A1387" s="42" t="s">
        <v>236</v>
      </c>
      <c r="B1387" s="43">
        <v>42398</v>
      </c>
      <c r="C1387" s="42" t="s">
        <v>1055</v>
      </c>
      <c r="D1387" s="42" t="str">
        <f t="shared" si="46"/>
        <v>Paychecks/Salary</v>
      </c>
      <c r="E1387" s="42" t="s">
        <v>375</v>
      </c>
      <c r="F1387" s="42" t="s">
        <v>238</v>
      </c>
      <c r="G1387" s="48">
        <v>2954.43</v>
      </c>
      <c r="H1387" s="42">
        <f t="shared" si="45"/>
        <v>201601</v>
      </c>
      <c r="I1387" s="42">
        <f>MATCH(D1387,$O:$O,0)</f>
        <v>40</v>
      </c>
      <c r="J1387" s="42" t="s">
        <v>39</v>
      </c>
      <c r="K1387" s="42" t="s">
        <v>649</v>
      </c>
      <c r="L1387" s="42" t="s">
        <v>241</v>
      </c>
    </row>
    <row r="1388" spans="1:12" x14ac:dyDescent="0.25">
      <c r="A1388" s="42" t="s">
        <v>236</v>
      </c>
      <c r="B1388" s="43">
        <v>42398</v>
      </c>
      <c r="C1388" s="42" t="s">
        <v>1056</v>
      </c>
      <c r="D1388" s="42" t="str">
        <f t="shared" si="46"/>
        <v>Postage and Shipping</v>
      </c>
      <c r="E1388" s="42" t="s">
        <v>468</v>
      </c>
      <c r="F1388" s="42" t="s">
        <v>238</v>
      </c>
      <c r="G1388" s="42">
        <v>-1.86</v>
      </c>
      <c r="H1388" s="42">
        <f t="shared" si="45"/>
        <v>201601</v>
      </c>
      <c r="I1388" s="42" t="e">
        <f>MATCH(D1388,$O:$O,0)</f>
        <v>#N/A</v>
      </c>
      <c r="J1388" s="42" t="s">
        <v>39</v>
      </c>
      <c r="K1388" s="42" t="s">
        <v>649</v>
      </c>
      <c r="L1388" s="42" t="s">
        <v>940</v>
      </c>
    </row>
    <row r="1389" spans="1:12" x14ac:dyDescent="0.25">
      <c r="A1389" s="42" t="s">
        <v>236</v>
      </c>
      <c r="B1389" s="43">
        <v>42398</v>
      </c>
      <c r="C1389" s="42" t="s">
        <v>557</v>
      </c>
      <c r="D1389" s="42" t="str">
        <f t="shared" si="46"/>
        <v>Credit Card Payments</v>
      </c>
      <c r="E1389" s="42" t="s">
        <v>242</v>
      </c>
      <c r="F1389" s="42" t="s">
        <v>238</v>
      </c>
      <c r="G1389" s="48">
        <v>1900</v>
      </c>
      <c r="H1389" s="42">
        <f t="shared" si="45"/>
        <v>201601</v>
      </c>
      <c r="I1389" s="42">
        <f>MATCH(D1389,$O:$O,0)</f>
        <v>38</v>
      </c>
      <c r="J1389" s="42" t="s">
        <v>39</v>
      </c>
      <c r="K1389" s="42" t="s">
        <v>619</v>
      </c>
      <c r="L1389" s="42" t="s">
        <v>723</v>
      </c>
    </row>
    <row r="1390" spans="1:12" x14ac:dyDescent="0.25">
      <c r="A1390" s="42" t="s">
        <v>236</v>
      </c>
      <c r="B1390" s="43">
        <v>42398</v>
      </c>
      <c r="C1390" s="42" t="s">
        <v>845</v>
      </c>
      <c r="D1390" s="42" t="str">
        <f t="shared" si="46"/>
        <v>Credit Card Payments</v>
      </c>
      <c r="E1390" s="42" t="s">
        <v>242</v>
      </c>
      <c r="F1390" s="42" t="s">
        <v>238</v>
      </c>
      <c r="G1390" s="42">
        <v>700</v>
      </c>
      <c r="H1390" s="42">
        <f t="shared" si="45"/>
        <v>201601</v>
      </c>
      <c r="I1390" s="42">
        <f>MATCH(D1390,$O:$O,0)</f>
        <v>38</v>
      </c>
      <c r="J1390" s="42" t="s">
        <v>39</v>
      </c>
      <c r="K1390" s="42" t="s">
        <v>619</v>
      </c>
      <c r="L1390" s="42" t="s">
        <v>351</v>
      </c>
    </row>
    <row r="1391" spans="1:12" x14ac:dyDescent="0.25">
      <c r="A1391" s="42" t="s">
        <v>236</v>
      </c>
      <c r="B1391" s="43">
        <v>42398</v>
      </c>
      <c r="C1391" s="42" t="s">
        <v>411</v>
      </c>
      <c r="D1391" s="42" t="str">
        <f t="shared" si="46"/>
        <v>Investment Income</v>
      </c>
      <c r="E1391" s="42" t="s">
        <v>736</v>
      </c>
      <c r="F1391" s="42" t="s">
        <v>238</v>
      </c>
      <c r="G1391" s="42">
        <v>0.32</v>
      </c>
      <c r="H1391" s="42">
        <f t="shared" si="45"/>
        <v>201601</v>
      </c>
      <c r="I1391" s="42" t="e">
        <f>MATCH(D1391,$O:$O,0)</f>
        <v>#N/A</v>
      </c>
      <c r="J1391" s="42" t="s">
        <v>39</v>
      </c>
      <c r="K1391" s="42" t="s">
        <v>649</v>
      </c>
      <c r="L1391" s="42" t="s">
        <v>351</v>
      </c>
    </row>
    <row r="1392" spans="1:12" x14ac:dyDescent="0.25">
      <c r="A1392" s="42" t="s">
        <v>236</v>
      </c>
      <c r="B1392" s="43">
        <v>42398</v>
      </c>
      <c r="C1392" s="42" t="s">
        <v>249</v>
      </c>
      <c r="D1392" s="42" t="str">
        <f t="shared" si="46"/>
        <v>Retirement Contributions</v>
      </c>
      <c r="E1392" s="42" t="s">
        <v>263</v>
      </c>
      <c r="F1392" s="42" t="s">
        <v>238</v>
      </c>
      <c r="G1392" s="42">
        <v>731.25</v>
      </c>
      <c r="H1392" s="42">
        <f t="shared" si="45"/>
        <v>201601</v>
      </c>
      <c r="I1392" s="42">
        <f>MATCH(D1392,$O:$O,0)</f>
        <v>39</v>
      </c>
      <c r="J1392" s="42" t="s">
        <v>39</v>
      </c>
      <c r="K1392" s="42" t="s">
        <v>649</v>
      </c>
      <c r="L1392" s="42" t="s">
        <v>193</v>
      </c>
    </row>
    <row r="1393" spans="1:12" x14ac:dyDescent="0.25">
      <c r="A1393" s="42" t="s">
        <v>236</v>
      </c>
      <c r="B1393" s="43">
        <v>42399</v>
      </c>
      <c r="C1393" s="42" t="s">
        <v>775</v>
      </c>
      <c r="D1393" s="42" t="str">
        <f t="shared" si="46"/>
        <v>Grocery</v>
      </c>
      <c r="E1393" s="42" t="s">
        <v>192</v>
      </c>
      <c r="F1393" s="42" t="s">
        <v>238</v>
      </c>
      <c r="G1393" s="42">
        <v>-7.99</v>
      </c>
      <c r="H1393" s="42">
        <f t="shared" si="45"/>
        <v>201601</v>
      </c>
      <c r="I1393" s="42">
        <f>MATCH(D1393,$O:$O,0)</f>
        <v>12</v>
      </c>
      <c r="J1393" s="42" t="s">
        <v>39</v>
      </c>
      <c r="K1393" s="42" t="s">
        <v>649</v>
      </c>
      <c r="L1393" s="42" t="s">
        <v>193</v>
      </c>
    </row>
    <row r="1394" spans="1:12" x14ac:dyDescent="0.25">
      <c r="A1394" s="42" t="s">
        <v>236</v>
      </c>
      <c r="B1394" s="43">
        <v>42400</v>
      </c>
      <c r="C1394" s="42" t="s">
        <v>917</v>
      </c>
      <c r="D1394" s="42" t="str">
        <f t="shared" si="46"/>
        <v>Grocery</v>
      </c>
      <c r="E1394" s="42" t="s">
        <v>385</v>
      </c>
      <c r="F1394" s="42" t="s">
        <v>238</v>
      </c>
      <c r="G1394" s="42">
        <v>16.7</v>
      </c>
      <c r="H1394" s="42">
        <f t="shared" si="45"/>
        <v>201601</v>
      </c>
      <c r="I1394" s="42">
        <f>MATCH(D1394,$O:$O,0)</f>
        <v>12</v>
      </c>
      <c r="J1394" s="42" t="s">
        <v>39</v>
      </c>
      <c r="K1394" s="42" t="s">
        <v>619</v>
      </c>
      <c r="L1394" s="42" t="s">
        <v>1076</v>
      </c>
    </row>
    <row r="1395" spans="1:12" x14ac:dyDescent="0.25">
      <c r="A1395" s="46" t="s">
        <v>236</v>
      </c>
      <c r="B1395" s="47">
        <v>42401</v>
      </c>
      <c r="C1395" s="46" t="s">
        <v>591</v>
      </c>
      <c r="D1395" s="46" t="str">
        <f t="shared" si="46"/>
        <v>Mortgage/Rent</v>
      </c>
      <c r="E1395" s="46" t="s">
        <v>202</v>
      </c>
      <c r="F1395" s="46" t="s">
        <v>238</v>
      </c>
      <c r="G1395" s="48">
        <v>-3116.77</v>
      </c>
      <c r="H1395" s="46">
        <f t="shared" si="45"/>
        <v>201602</v>
      </c>
      <c r="I1395" s="46">
        <f>MATCH(D1395,$O:$O,0)</f>
        <v>21</v>
      </c>
      <c r="J1395" s="46" t="s">
        <v>39</v>
      </c>
      <c r="K1395" s="46" t="s">
        <v>803</v>
      </c>
      <c r="L1395" s="42" t="s">
        <v>816</v>
      </c>
    </row>
    <row r="1396" spans="1:12" x14ac:dyDescent="0.25">
      <c r="A1396" s="46" t="s">
        <v>236</v>
      </c>
      <c r="B1396" s="47">
        <v>42401</v>
      </c>
      <c r="C1396" s="46" t="s">
        <v>646</v>
      </c>
      <c r="D1396" s="46" t="str">
        <f t="shared" si="46"/>
        <v>Cell Phone</v>
      </c>
      <c r="E1396" s="46" t="s">
        <v>224</v>
      </c>
      <c r="F1396" s="46" t="s">
        <v>238</v>
      </c>
      <c r="G1396" s="46">
        <v>-178.25</v>
      </c>
      <c r="H1396" s="46">
        <f t="shared" si="45"/>
        <v>201602</v>
      </c>
      <c r="I1396" s="46">
        <f>MATCH(D1396,$O:$O,0)</f>
        <v>4</v>
      </c>
      <c r="J1396" s="46" t="s">
        <v>39</v>
      </c>
      <c r="K1396" s="46" t="s">
        <v>675</v>
      </c>
      <c r="L1396" s="42" t="s">
        <v>351</v>
      </c>
    </row>
    <row r="1397" spans="1:12" x14ac:dyDescent="0.25">
      <c r="A1397" s="46" t="s">
        <v>236</v>
      </c>
      <c r="B1397" s="47">
        <v>42401</v>
      </c>
      <c r="C1397" s="46" t="s">
        <v>648</v>
      </c>
      <c r="D1397" s="46" t="str">
        <f t="shared" si="46"/>
        <v>Grocery</v>
      </c>
      <c r="E1397" s="46" t="s">
        <v>192</v>
      </c>
      <c r="F1397" s="46" t="s">
        <v>238</v>
      </c>
      <c r="G1397" s="46">
        <v>-29.74</v>
      </c>
      <c r="H1397" s="46">
        <f t="shared" si="45"/>
        <v>201602</v>
      </c>
      <c r="I1397" s="46">
        <f>MATCH(D1397,$O:$O,0)</f>
        <v>12</v>
      </c>
      <c r="J1397" s="46" t="s">
        <v>39</v>
      </c>
      <c r="K1397" s="46" t="s">
        <v>803</v>
      </c>
      <c r="L1397" s="42" t="s">
        <v>248</v>
      </c>
    </row>
    <row r="1398" spans="1:12" x14ac:dyDescent="0.25">
      <c r="A1398" s="46" t="s">
        <v>236</v>
      </c>
      <c r="B1398" s="47">
        <v>42401</v>
      </c>
      <c r="C1398" s="46" t="s">
        <v>565</v>
      </c>
      <c r="D1398" s="46" t="str">
        <f t="shared" si="46"/>
        <v>Grocery</v>
      </c>
      <c r="E1398" s="46" t="s">
        <v>192</v>
      </c>
      <c r="F1398" s="46" t="s">
        <v>238</v>
      </c>
      <c r="G1398" s="46">
        <v>-5</v>
      </c>
      <c r="H1398" s="46">
        <f t="shared" si="45"/>
        <v>201602</v>
      </c>
      <c r="I1398" s="46">
        <f>MATCH(D1398,$O:$O,0)</f>
        <v>12</v>
      </c>
      <c r="J1398" s="46" t="s">
        <v>39</v>
      </c>
      <c r="K1398" s="46" t="s">
        <v>630</v>
      </c>
      <c r="L1398" s="46" t="s">
        <v>965</v>
      </c>
    </row>
    <row r="1399" spans="1:12" x14ac:dyDescent="0.25">
      <c r="A1399" s="46" t="s">
        <v>236</v>
      </c>
      <c r="B1399" s="47">
        <v>42401</v>
      </c>
      <c r="C1399" s="46" t="s">
        <v>849</v>
      </c>
      <c r="D1399" s="46" t="str">
        <f t="shared" si="46"/>
        <v>Home Maintainence/Improvement</v>
      </c>
      <c r="E1399" s="46" t="s">
        <v>342</v>
      </c>
      <c r="F1399" s="46" t="s">
        <v>238</v>
      </c>
      <c r="G1399" s="46">
        <v>-7.53</v>
      </c>
      <c r="H1399" s="46">
        <f t="shared" si="45"/>
        <v>201602</v>
      </c>
      <c r="I1399" s="46">
        <f>MATCH(D1399,$O:$O,0)</f>
        <v>16</v>
      </c>
      <c r="J1399" s="46" t="s">
        <v>39</v>
      </c>
      <c r="K1399" s="46" t="s">
        <v>649</v>
      </c>
      <c r="L1399" s="46"/>
    </row>
    <row r="1400" spans="1:12" x14ac:dyDescent="0.25">
      <c r="A1400" s="46" t="s">
        <v>236</v>
      </c>
      <c r="B1400" s="47">
        <v>42401</v>
      </c>
      <c r="C1400" s="46" t="s">
        <v>1202</v>
      </c>
      <c r="D1400" s="46" t="str">
        <f t="shared" si="46"/>
        <v>D-Restaurant</v>
      </c>
      <c r="E1400" s="46" t="s">
        <v>204</v>
      </c>
      <c r="F1400" s="46" t="s">
        <v>238</v>
      </c>
      <c r="G1400" s="46">
        <v>-63.89</v>
      </c>
      <c r="H1400" s="46">
        <f t="shared" si="45"/>
        <v>201602</v>
      </c>
      <c r="I1400" s="46">
        <f>MATCH(D1400,$O:$O,0)</f>
        <v>9</v>
      </c>
      <c r="J1400" s="46" t="s">
        <v>39</v>
      </c>
      <c r="K1400" s="46" t="s">
        <v>649</v>
      </c>
      <c r="L1400" s="46" t="s">
        <v>339</v>
      </c>
    </row>
    <row r="1401" spans="1:12" x14ac:dyDescent="0.25">
      <c r="A1401" s="46" t="s">
        <v>236</v>
      </c>
      <c r="B1401" s="47">
        <v>42401</v>
      </c>
      <c r="C1401" s="46" t="s">
        <v>1204</v>
      </c>
      <c r="D1401" s="46" t="str">
        <f t="shared" si="46"/>
        <v>D-Restaurant</v>
      </c>
      <c r="E1401" s="46" t="s">
        <v>204</v>
      </c>
      <c r="F1401" s="46" t="s">
        <v>238</v>
      </c>
      <c r="G1401" s="46">
        <v>-5.44</v>
      </c>
      <c r="H1401" s="46">
        <f t="shared" si="45"/>
        <v>201602</v>
      </c>
      <c r="I1401" s="46">
        <f>MATCH(D1401,$O:$O,0)</f>
        <v>9</v>
      </c>
      <c r="J1401" s="46" t="s">
        <v>39</v>
      </c>
      <c r="K1401" s="46" t="s">
        <v>632</v>
      </c>
      <c r="L1401" s="46" t="s">
        <v>363</v>
      </c>
    </row>
    <row r="1402" spans="1:12" x14ac:dyDescent="0.25">
      <c r="A1402" s="46" t="s">
        <v>236</v>
      </c>
      <c r="B1402" s="47">
        <v>42401</v>
      </c>
      <c r="C1402" s="46" t="s">
        <v>775</v>
      </c>
      <c r="D1402" s="46" t="str">
        <f t="shared" si="46"/>
        <v>Grocery</v>
      </c>
      <c r="E1402" s="46" t="s">
        <v>192</v>
      </c>
      <c r="F1402" s="46" t="s">
        <v>238</v>
      </c>
      <c r="G1402" s="46">
        <v>-28.79</v>
      </c>
      <c r="H1402" s="46">
        <f t="shared" si="45"/>
        <v>201602</v>
      </c>
      <c r="I1402" s="46">
        <f>MATCH(D1402,$O:$O,0)</f>
        <v>12</v>
      </c>
      <c r="J1402" s="46" t="s">
        <v>39</v>
      </c>
      <c r="K1402" s="46" t="s">
        <v>649</v>
      </c>
      <c r="L1402" s="46" t="s">
        <v>1080</v>
      </c>
    </row>
    <row r="1403" spans="1:12" x14ac:dyDescent="0.25">
      <c r="A1403" s="46" t="s">
        <v>236</v>
      </c>
      <c r="B1403" s="47">
        <v>42401</v>
      </c>
      <c r="C1403" s="46" t="s">
        <v>1159</v>
      </c>
      <c r="D1403" s="46" t="str">
        <f t="shared" si="46"/>
        <v>D-Restaurant</v>
      </c>
      <c r="E1403" s="46" t="s">
        <v>204</v>
      </c>
      <c r="F1403" s="46" t="s">
        <v>238</v>
      </c>
      <c r="G1403" s="46">
        <v>-9.14</v>
      </c>
      <c r="H1403" s="46">
        <f t="shared" si="45"/>
        <v>201602</v>
      </c>
      <c r="I1403" s="46">
        <f>MATCH(D1403,$O:$O,0)</f>
        <v>9</v>
      </c>
      <c r="J1403" s="46" t="s">
        <v>39</v>
      </c>
      <c r="K1403" s="46" t="s">
        <v>649</v>
      </c>
      <c r="L1403" s="46"/>
    </row>
    <row r="1404" spans="1:12" x14ac:dyDescent="0.25">
      <c r="A1404" s="46" t="s">
        <v>236</v>
      </c>
      <c r="B1404" s="47">
        <v>42401</v>
      </c>
      <c r="C1404" s="46" t="s">
        <v>917</v>
      </c>
      <c r="D1404" s="46" t="str">
        <f t="shared" si="46"/>
        <v>Grocery</v>
      </c>
      <c r="E1404" s="46" t="s">
        <v>385</v>
      </c>
      <c r="F1404" s="46" t="s">
        <v>238</v>
      </c>
      <c r="G1404" s="46">
        <v>-16.34</v>
      </c>
      <c r="H1404" s="46">
        <f t="shared" si="45"/>
        <v>201602</v>
      </c>
      <c r="I1404" s="46">
        <f>MATCH(D1404,$O:$O,0)</f>
        <v>12</v>
      </c>
      <c r="J1404" s="46" t="s">
        <v>39</v>
      </c>
      <c r="K1404" s="46" t="s">
        <v>649</v>
      </c>
      <c r="L1404" s="46"/>
    </row>
    <row r="1405" spans="1:12" x14ac:dyDescent="0.25">
      <c r="A1405" s="46" t="s">
        <v>236</v>
      </c>
      <c r="B1405" s="47">
        <v>42401</v>
      </c>
      <c r="C1405" s="46" t="s">
        <v>917</v>
      </c>
      <c r="D1405" s="46" t="str">
        <f t="shared" si="46"/>
        <v>Grocery</v>
      </c>
      <c r="E1405" s="46" t="s">
        <v>385</v>
      </c>
      <c r="F1405" s="46" t="s">
        <v>238</v>
      </c>
      <c r="G1405" s="46">
        <v>-6.49</v>
      </c>
      <c r="H1405" s="46">
        <f t="shared" si="45"/>
        <v>201602</v>
      </c>
      <c r="I1405" s="46">
        <f>MATCH(D1405,$O:$O,0)</f>
        <v>12</v>
      </c>
      <c r="J1405" s="46" t="s">
        <v>39</v>
      </c>
      <c r="K1405" s="46" t="s">
        <v>649</v>
      </c>
      <c r="L1405" s="46"/>
    </row>
    <row r="1406" spans="1:12" x14ac:dyDescent="0.25">
      <c r="A1406" s="46" t="s">
        <v>236</v>
      </c>
      <c r="B1406" s="47">
        <v>42402</v>
      </c>
      <c r="C1406" s="46" t="s">
        <v>1199</v>
      </c>
      <c r="D1406" s="46" t="str">
        <f t="shared" si="46"/>
        <v>Credit Card Payments</v>
      </c>
      <c r="E1406" s="46" t="s">
        <v>242</v>
      </c>
      <c r="F1406" s="46" t="s">
        <v>238</v>
      </c>
      <c r="G1406" s="46">
        <v>-509.38</v>
      </c>
      <c r="H1406" s="46">
        <f t="shared" si="45"/>
        <v>201602</v>
      </c>
      <c r="I1406" s="46">
        <f>MATCH(D1406,$O:$O,0)</f>
        <v>38</v>
      </c>
      <c r="J1406" s="46" t="s">
        <v>39</v>
      </c>
      <c r="K1406" s="46" t="s">
        <v>803</v>
      </c>
      <c r="L1406" s="46"/>
    </row>
    <row r="1407" spans="1:12" x14ac:dyDescent="0.25">
      <c r="A1407" s="46" t="s">
        <v>236</v>
      </c>
      <c r="B1407" s="47">
        <v>42402</v>
      </c>
      <c r="C1407" s="46" t="s">
        <v>1200</v>
      </c>
      <c r="D1407" s="46" t="str">
        <f t="shared" si="46"/>
        <v>Parent support</v>
      </c>
      <c r="E1407" s="46" t="s">
        <v>1002</v>
      </c>
      <c r="F1407" s="46" t="s">
        <v>238</v>
      </c>
      <c r="G1407" s="46">
        <v>-589.91999999999996</v>
      </c>
      <c r="H1407" s="46">
        <f t="shared" si="45"/>
        <v>201602</v>
      </c>
      <c r="I1407" s="46">
        <f>MATCH(D1407,$O:$O,0)</f>
        <v>24</v>
      </c>
      <c r="J1407" s="46" t="s">
        <v>39</v>
      </c>
      <c r="K1407" s="46" t="s">
        <v>803</v>
      </c>
      <c r="L1407" s="46" t="s">
        <v>816</v>
      </c>
    </row>
    <row r="1408" spans="1:12" x14ac:dyDescent="0.25">
      <c r="A1408" s="46" t="s">
        <v>236</v>
      </c>
      <c r="B1408" s="47">
        <v>42402</v>
      </c>
      <c r="C1408" s="46" t="s">
        <v>1063</v>
      </c>
      <c r="D1408" s="46" t="str">
        <f t="shared" si="46"/>
        <v>D-Restaurant</v>
      </c>
      <c r="E1408" s="46" t="s">
        <v>204</v>
      </c>
      <c r="F1408" s="46" t="s">
        <v>238</v>
      </c>
      <c r="G1408" s="46">
        <v>-10.15</v>
      </c>
      <c r="H1408" s="46">
        <f t="shared" si="45"/>
        <v>201602</v>
      </c>
      <c r="I1408" s="46">
        <f>MATCH(D1408,$O:$O,0)</f>
        <v>9</v>
      </c>
      <c r="J1408" s="46" t="s">
        <v>39</v>
      </c>
      <c r="K1408" s="46" t="s">
        <v>628</v>
      </c>
      <c r="L1408" s="46" t="s">
        <v>1084</v>
      </c>
    </row>
    <row r="1409" spans="1:12" x14ac:dyDescent="0.25">
      <c r="A1409" s="46" t="s">
        <v>236</v>
      </c>
      <c r="B1409" s="47">
        <v>42402</v>
      </c>
      <c r="C1409" s="46" t="s">
        <v>435</v>
      </c>
      <c r="D1409" s="46" t="str">
        <f t="shared" si="46"/>
        <v>Credit Card Payments</v>
      </c>
      <c r="E1409" s="46" t="s">
        <v>242</v>
      </c>
      <c r="F1409" s="46" t="s">
        <v>238</v>
      </c>
      <c r="G1409" s="46">
        <v>509.38</v>
      </c>
      <c r="H1409" s="46">
        <f t="shared" si="45"/>
        <v>201602</v>
      </c>
      <c r="I1409" s="46">
        <f>MATCH(D1409,$O:$O,0)</f>
        <v>38</v>
      </c>
      <c r="J1409" s="46" t="s">
        <v>39</v>
      </c>
      <c r="K1409" s="46" t="s">
        <v>630</v>
      </c>
      <c r="L1409" s="46"/>
    </row>
    <row r="1410" spans="1:12" x14ac:dyDescent="0.25">
      <c r="A1410" s="46" t="s">
        <v>236</v>
      </c>
      <c r="B1410" s="47">
        <v>42403</v>
      </c>
      <c r="C1410" s="46" t="s">
        <v>1198</v>
      </c>
      <c r="D1410" s="46" t="str">
        <f t="shared" si="46"/>
        <v>Property Tax</v>
      </c>
      <c r="E1410" s="46" t="s">
        <v>177</v>
      </c>
      <c r="F1410" s="46" t="s">
        <v>238</v>
      </c>
      <c r="G1410" s="48">
        <v>-4712.16</v>
      </c>
      <c r="H1410" s="46">
        <f t="shared" ref="H1410:H1473" si="47">YEAR(B1410)*100+MONTH(B1410)</f>
        <v>201602</v>
      </c>
      <c r="I1410" s="46">
        <f>MATCH(D1410,$O:$O,0)</f>
        <v>15</v>
      </c>
      <c r="J1410" s="46" t="s">
        <v>39</v>
      </c>
      <c r="K1410" s="46" t="s">
        <v>649</v>
      </c>
      <c r="L1410" s="46"/>
    </row>
    <row r="1411" spans="1:12" x14ac:dyDescent="0.25">
      <c r="A1411" s="46" t="s">
        <v>236</v>
      </c>
      <c r="B1411" s="47">
        <v>42403</v>
      </c>
      <c r="C1411" s="46" t="s">
        <v>565</v>
      </c>
      <c r="D1411" s="46" t="str">
        <f t="shared" si="46"/>
        <v>Grocery</v>
      </c>
      <c r="E1411" s="46" t="s">
        <v>192</v>
      </c>
      <c r="F1411" s="46" t="s">
        <v>238</v>
      </c>
      <c r="G1411" s="46">
        <v>-123.18</v>
      </c>
      <c r="H1411" s="46">
        <f t="shared" si="47"/>
        <v>201602</v>
      </c>
      <c r="I1411" s="46">
        <f>MATCH(D1411,$O:$O,0)</f>
        <v>12</v>
      </c>
      <c r="J1411" s="46" t="s">
        <v>39</v>
      </c>
      <c r="K1411" s="46" t="s">
        <v>649</v>
      </c>
      <c r="L1411" s="46" t="s">
        <v>270</v>
      </c>
    </row>
    <row r="1412" spans="1:12" x14ac:dyDescent="0.25">
      <c r="A1412" s="46" t="s">
        <v>236</v>
      </c>
      <c r="B1412" s="47">
        <v>42403</v>
      </c>
      <c r="C1412" s="46" t="s">
        <v>847</v>
      </c>
      <c r="D1412" s="46" t="str">
        <f t="shared" si="46"/>
        <v>Grocery</v>
      </c>
      <c r="E1412" s="46" t="s">
        <v>192</v>
      </c>
      <c r="F1412" s="46" t="s">
        <v>238</v>
      </c>
      <c r="G1412" s="46">
        <v>-18</v>
      </c>
      <c r="H1412" s="46">
        <f t="shared" si="47"/>
        <v>201602</v>
      </c>
      <c r="I1412" s="46">
        <f>MATCH(D1412,$O:$O,0)</f>
        <v>12</v>
      </c>
      <c r="J1412" s="46" t="s">
        <v>39</v>
      </c>
      <c r="K1412" s="46" t="s">
        <v>649</v>
      </c>
      <c r="L1412" s="46"/>
    </row>
    <row r="1413" spans="1:12" x14ac:dyDescent="0.25">
      <c r="A1413" s="46" t="s">
        <v>236</v>
      </c>
      <c r="B1413" s="47">
        <v>42404</v>
      </c>
      <c r="C1413" s="46" t="s">
        <v>1194</v>
      </c>
      <c r="D1413" s="46" t="str">
        <f t="shared" si="46"/>
        <v>Car Related</v>
      </c>
      <c r="E1413" s="46" t="s">
        <v>185</v>
      </c>
      <c r="F1413" s="46" t="s">
        <v>238</v>
      </c>
      <c r="G1413" s="46">
        <v>-321.52</v>
      </c>
      <c r="H1413" s="46">
        <f t="shared" si="47"/>
        <v>201602</v>
      </c>
      <c r="I1413" s="46">
        <f>MATCH(D1413,$O:$O,0)</f>
        <v>31</v>
      </c>
      <c r="J1413" s="46" t="s">
        <v>39</v>
      </c>
      <c r="K1413" s="46" t="s">
        <v>649</v>
      </c>
      <c r="L1413" s="46" t="s">
        <v>340</v>
      </c>
    </row>
    <row r="1414" spans="1:12" x14ac:dyDescent="0.25">
      <c r="A1414" s="46" t="s">
        <v>236</v>
      </c>
      <c r="B1414" s="47">
        <v>42404</v>
      </c>
      <c r="C1414" s="46" t="s">
        <v>1195</v>
      </c>
      <c r="D1414" s="46" t="str">
        <f t="shared" si="46"/>
        <v>Parent support</v>
      </c>
      <c r="E1414" s="46" t="s">
        <v>1002</v>
      </c>
      <c r="F1414" s="46" t="s">
        <v>238</v>
      </c>
      <c r="G1414" s="48">
        <v>-2677.52</v>
      </c>
      <c r="H1414" s="46">
        <f t="shared" si="47"/>
        <v>201602</v>
      </c>
      <c r="I1414" s="46">
        <f>MATCH(D1414,$O:$O,0)</f>
        <v>24</v>
      </c>
      <c r="J1414" s="46" t="s">
        <v>39</v>
      </c>
      <c r="K1414" s="46" t="s">
        <v>649</v>
      </c>
      <c r="L1414" s="46"/>
    </row>
    <row r="1415" spans="1:12" x14ac:dyDescent="0.25">
      <c r="A1415" s="46" t="s">
        <v>236</v>
      </c>
      <c r="B1415" s="47">
        <v>42404</v>
      </c>
      <c r="C1415" s="46" t="s">
        <v>1197</v>
      </c>
      <c r="D1415" s="46" t="str">
        <f t="shared" si="46"/>
        <v>D-Restaurant</v>
      </c>
      <c r="E1415" s="46" t="s">
        <v>204</v>
      </c>
      <c r="F1415" s="46" t="s">
        <v>238</v>
      </c>
      <c r="G1415" s="46">
        <v>-12.06</v>
      </c>
      <c r="H1415" s="46">
        <f t="shared" si="47"/>
        <v>201602</v>
      </c>
      <c r="I1415" s="46">
        <f>MATCH(D1415,$O:$O,0)</f>
        <v>9</v>
      </c>
      <c r="J1415" s="46" t="s">
        <v>39</v>
      </c>
      <c r="K1415" s="46" t="s">
        <v>649</v>
      </c>
      <c r="L1415" s="46" t="s">
        <v>1090</v>
      </c>
    </row>
    <row r="1416" spans="1:12" x14ac:dyDescent="0.25">
      <c r="A1416" s="46" t="s">
        <v>236</v>
      </c>
      <c r="B1416" s="47">
        <v>42405</v>
      </c>
      <c r="C1416" s="46" t="s">
        <v>1192</v>
      </c>
      <c r="D1416" s="46" t="str">
        <f t="shared" si="46"/>
        <v>Paychecks/Salary</v>
      </c>
      <c r="E1416" s="46" t="s">
        <v>375</v>
      </c>
      <c r="F1416" s="46" t="s">
        <v>238</v>
      </c>
      <c r="G1416" s="48">
        <v>30194</v>
      </c>
      <c r="H1416" s="46">
        <f t="shared" si="47"/>
        <v>201602</v>
      </c>
      <c r="I1416" s="46">
        <f>MATCH(D1416,$O:$O,0)</f>
        <v>40</v>
      </c>
      <c r="J1416" s="46" t="s">
        <v>39</v>
      </c>
      <c r="K1416" s="46" t="s">
        <v>649</v>
      </c>
      <c r="L1416" s="46" t="s">
        <v>326</v>
      </c>
    </row>
    <row r="1417" spans="1:12" x14ac:dyDescent="0.25">
      <c r="A1417" s="46" t="s">
        <v>236</v>
      </c>
      <c r="B1417" s="47">
        <v>42405</v>
      </c>
      <c r="C1417" s="46" t="s">
        <v>565</v>
      </c>
      <c r="D1417" s="46" t="str">
        <f t="shared" si="46"/>
        <v>Grocery</v>
      </c>
      <c r="E1417" s="46" t="s">
        <v>192</v>
      </c>
      <c r="F1417" s="46" t="s">
        <v>238</v>
      </c>
      <c r="G1417" s="46">
        <v>-128.52000000000001</v>
      </c>
      <c r="H1417" s="46">
        <f t="shared" si="47"/>
        <v>201602</v>
      </c>
      <c r="I1417" s="46">
        <f>MATCH(D1417,$O:$O,0)</f>
        <v>12</v>
      </c>
      <c r="J1417" s="46" t="s">
        <v>39</v>
      </c>
      <c r="K1417" s="46" t="s">
        <v>619</v>
      </c>
      <c r="L1417" s="46"/>
    </row>
    <row r="1418" spans="1:12" x14ac:dyDescent="0.25">
      <c r="A1418" s="46" t="s">
        <v>236</v>
      </c>
      <c r="B1418" s="47">
        <v>42405</v>
      </c>
      <c r="C1418" s="46" t="s">
        <v>565</v>
      </c>
      <c r="D1418" s="46" t="str">
        <f t="shared" si="46"/>
        <v>Grocery</v>
      </c>
      <c r="E1418" s="46" t="s">
        <v>192</v>
      </c>
      <c r="F1418" s="46" t="s">
        <v>238</v>
      </c>
      <c r="G1418" s="46">
        <v>-90</v>
      </c>
      <c r="H1418" s="46">
        <f t="shared" si="47"/>
        <v>201602</v>
      </c>
      <c r="I1418" s="46">
        <f>MATCH(D1418,$O:$O,0)</f>
        <v>12</v>
      </c>
      <c r="J1418" s="46" t="s">
        <v>39</v>
      </c>
      <c r="K1418" s="46" t="s">
        <v>803</v>
      </c>
      <c r="L1418" s="46" t="s">
        <v>723</v>
      </c>
    </row>
    <row r="1419" spans="1:12" x14ac:dyDescent="0.25">
      <c r="A1419" s="46" t="s">
        <v>236</v>
      </c>
      <c r="B1419" s="47">
        <v>42405</v>
      </c>
      <c r="C1419" s="46" t="s">
        <v>397</v>
      </c>
      <c r="D1419" s="46" t="str">
        <f t="shared" si="46"/>
        <v>Grocery</v>
      </c>
      <c r="E1419" s="46" t="s">
        <v>192</v>
      </c>
      <c r="F1419" s="46" t="s">
        <v>238</v>
      </c>
      <c r="G1419" s="46">
        <v>-16.09</v>
      </c>
      <c r="H1419" s="46">
        <f t="shared" si="47"/>
        <v>201602</v>
      </c>
      <c r="I1419" s="46">
        <f>MATCH(D1419,$O:$O,0)</f>
        <v>12</v>
      </c>
      <c r="J1419" s="46" t="s">
        <v>39</v>
      </c>
      <c r="K1419" s="46" t="s">
        <v>803</v>
      </c>
      <c r="L1419" s="46" t="s">
        <v>1093</v>
      </c>
    </row>
    <row r="1420" spans="1:12" x14ac:dyDescent="0.25">
      <c r="A1420" s="46" t="s">
        <v>236</v>
      </c>
      <c r="B1420" s="47">
        <v>42405</v>
      </c>
      <c r="C1420" s="46" t="s">
        <v>1193</v>
      </c>
      <c r="D1420" s="46" t="str">
        <f t="shared" si="46"/>
        <v>D-Restaurant</v>
      </c>
      <c r="E1420" s="46" t="s">
        <v>204</v>
      </c>
      <c r="F1420" s="46" t="s">
        <v>238</v>
      </c>
      <c r="G1420" s="46">
        <v>-8.65</v>
      </c>
      <c r="H1420" s="46">
        <f t="shared" si="47"/>
        <v>201602</v>
      </c>
      <c r="I1420" s="46">
        <f>MATCH(D1420,$O:$O,0)</f>
        <v>9</v>
      </c>
      <c r="J1420" s="46" t="s">
        <v>39</v>
      </c>
      <c r="K1420" s="46" t="s">
        <v>630</v>
      </c>
      <c r="L1420" s="46" t="s">
        <v>805</v>
      </c>
    </row>
    <row r="1421" spans="1:12" x14ac:dyDescent="0.25">
      <c r="A1421" s="46" t="s">
        <v>236</v>
      </c>
      <c r="B1421" s="47">
        <v>42405</v>
      </c>
      <c r="C1421" s="46" t="s">
        <v>249</v>
      </c>
      <c r="D1421" s="46" t="str">
        <f t="shared" si="46"/>
        <v>Retirement Contributions</v>
      </c>
      <c r="E1421" s="46" t="s">
        <v>263</v>
      </c>
      <c r="F1421" s="46" t="s">
        <v>238</v>
      </c>
      <c r="G1421" s="48">
        <v>8498</v>
      </c>
      <c r="H1421" s="46">
        <f t="shared" si="47"/>
        <v>201602</v>
      </c>
      <c r="I1421" s="46">
        <f>MATCH(D1421,$O:$O,0)</f>
        <v>39</v>
      </c>
      <c r="J1421" s="46" t="s">
        <v>39</v>
      </c>
      <c r="K1421" s="46" t="s">
        <v>630</v>
      </c>
      <c r="L1421" s="46" t="s">
        <v>225</v>
      </c>
    </row>
    <row r="1422" spans="1:12" x14ac:dyDescent="0.25">
      <c r="A1422" s="46" t="s">
        <v>236</v>
      </c>
      <c r="B1422" s="47">
        <v>42408</v>
      </c>
      <c r="C1422" s="46" t="s">
        <v>1190</v>
      </c>
      <c r="D1422" s="46" t="str">
        <f t="shared" si="46"/>
        <v>Parent support</v>
      </c>
      <c r="E1422" s="46" t="s">
        <v>1002</v>
      </c>
      <c r="F1422" s="46" t="s">
        <v>238</v>
      </c>
      <c r="G1422" s="46">
        <v>-302.64999999999998</v>
      </c>
      <c r="H1422" s="46">
        <f t="shared" si="47"/>
        <v>201602</v>
      </c>
      <c r="I1422" s="46">
        <f>MATCH(D1422,$O:$O,0)</f>
        <v>24</v>
      </c>
      <c r="J1422" s="46" t="s">
        <v>39</v>
      </c>
      <c r="K1422" s="46" t="s">
        <v>649</v>
      </c>
      <c r="L1422" s="46"/>
    </row>
    <row r="1423" spans="1:12" x14ac:dyDescent="0.25">
      <c r="A1423" s="46" t="s">
        <v>236</v>
      </c>
      <c r="B1423" s="47">
        <v>42408</v>
      </c>
      <c r="C1423" s="46" t="s">
        <v>1191</v>
      </c>
      <c r="D1423" s="46" t="str">
        <f t="shared" si="46"/>
        <v>Parent support</v>
      </c>
      <c r="E1423" s="46" t="s">
        <v>1002</v>
      </c>
      <c r="F1423" s="46" t="s">
        <v>238</v>
      </c>
      <c r="G1423" s="46">
        <v>-111.5</v>
      </c>
      <c r="H1423" s="46">
        <f t="shared" si="47"/>
        <v>201602</v>
      </c>
      <c r="I1423" s="46">
        <f>MATCH(D1423,$O:$O,0)</f>
        <v>24</v>
      </c>
      <c r="J1423" s="46" t="s">
        <v>39</v>
      </c>
      <c r="K1423" s="46" t="s">
        <v>649</v>
      </c>
      <c r="L1423" s="46"/>
    </row>
    <row r="1424" spans="1:12" x14ac:dyDescent="0.25">
      <c r="A1424" s="46" t="s">
        <v>236</v>
      </c>
      <c r="B1424" s="47">
        <v>42408</v>
      </c>
      <c r="C1424" s="46" t="s">
        <v>1190</v>
      </c>
      <c r="D1424" s="46" t="str">
        <f t="shared" si="46"/>
        <v>Parent support</v>
      </c>
      <c r="E1424" s="46" t="s">
        <v>1002</v>
      </c>
      <c r="F1424" s="46" t="s">
        <v>238</v>
      </c>
      <c r="G1424" s="46">
        <v>302.64999999999998</v>
      </c>
      <c r="H1424" s="46">
        <f t="shared" si="47"/>
        <v>201602</v>
      </c>
      <c r="I1424" s="46">
        <f>MATCH(D1424,$O:$O,0)</f>
        <v>24</v>
      </c>
      <c r="J1424" s="46" t="s">
        <v>39</v>
      </c>
      <c r="K1424" s="46" t="s">
        <v>649</v>
      </c>
      <c r="L1424" s="46"/>
    </row>
    <row r="1425" spans="1:12" x14ac:dyDescent="0.25">
      <c r="A1425" s="46" t="s">
        <v>236</v>
      </c>
      <c r="B1425" s="47">
        <v>42409</v>
      </c>
      <c r="C1425" s="46" t="s">
        <v>1189</v>
      </c>
      <c r="D1425" s="46" t="str">
        <f t="shared" si="46"/>
        <v>Newspapers</v>
      </c>
      <c r="E1425" s="46" t="s">
        <v>35</v>
      </c>
      <c r="F1425" s="46" t="s">
        <v>238</v>
      </c>
      <c r="G1425" s="46">
        <v>-14.99</v>
      </c>
      <c r="H1425" s="46">
        <f t="shared" si="47"/>
        <v>201602</v>
      </c>
      <c r="I1425" s="46">
        <f>MATCH(D1425,$O:$O,0)</f>
        <v>23</v>
      </c>
      <c r="J1425" s="46" t="s">
        <v>39</v>
      </c>
      <c r="K1425" s="46" t="s">
        <v>630</v>
      </c>
      <c r="L1425" s="46"/>
    </row>
    <row r="1426" spans="1:12" x14ac:dyDescent="0.25">
      <c r="A1426" s="46" t="s">
        <v>236</v>
      </c>
      <c r="B1426" s="47">
        <v>42410</v>
      </c>
      <c r="C1426" s="46" t="s">
        <v>412</v>
      </c>
      <c r="D1426" s="46" t="str">
        <f t="shared" si="46"/>
        <v>Interest</v>
      </c>
      <c r="E1426" s="46" t="s">
        <v>200</v>
      </c>
      <c r="F1426" s="46" t="s">
        <v>238</v>
      </c>
      <c r="G1426" s="46">
        <v>0.47</v>
      </c>
      <c r="H1426" s="46">
        <f t="shared" si="47"/>
        <v>201602</v>
      </c>
      <c r="I1426" s="46" t="e">
        <f>MATCH(D1426,$O:$O,0)</f>
        <v>#N/A</v>
      </c>
      <c r="J1426" s="46" t="s">
        <v>39</v>
      </c>
      <c r="K1426" s="46" t="s">
        <v>630</v>
      </c>
      <c r="L1426" s="46"/>
    </row>
    <row r="1427" spans="1:12" x14ac:dyDescent="0.25">
      <c r="A1427" s="46" t="s">
        <v>236</v>
      </c>
      <c r="B1427" s="47">
        <v>42410</v>
      </c>
      <c r="C1427" s="46" t="s">
        <v>412</v>
      </c>
      <c r="D1427" s="46" t="str">
        <f t="shared" si="46"/>
        <v>Interest</v>
      </c>
      <c r="E1427" s="46" t="s">
        <v>200</v>
      </c>
      <c r="F1427" s="46" t="s">
        <v>238</v>
      </c>
      <c r="G1427" s="46">
        <v>0.2</v>
      </c>
      <c r="H1427" s="46">
        <f t="shared" si="47"/>
        <v>201602</v>
      </c>
      <c r="I1427" s="46" t="e">
        <f>MATCH(D1427,$O:$O,0)</f>
        <v>#N/A</v>
      </c>
      <c r="J1427" s="46" t="s">
        <v>39</v>
      </c>
      <c r="K1427" s="46" t="s">
        <v>630</v>
      </c>
      <c r="L1427" s="46"/>
    </row>
    <row r="1428" spans="1:12" x14ac:dyDescent="0.25">
      <c r="A1428" s="46" t="s">
        <v>236</v>
      </c>
      <c r="B1428" s="47">
        <v>42410</v>
      </c>
      <c r="C1428" s="46" t="s">
        <v>412</v>
      </c>
      <c r="D1428" s="46" t="str">
        <f t="shared" si="46"/>
        <v>Interest</v>
      </c>
      <c r="E1428" s="46" t="s">
        <v>200</v>
      </c>
      <c r="F1428" s="46" t="s">
        <v>238</v>
      </c>
      <c r="G1428" s="46">
        <v>0.37</v>
      </c>
      <c r="H1428" s="46">
        <f t="shared" si="47"/>
        <v>201602</v>
      </c>
      <c r="I1428" s="46" t="e">
        <f>MATCH(D1428,$O:$O,0)</f>
        <v>#N/A</v>
      </c>
      <c r="J1428" s="46" t="s">
        <v>39</v>
      </c>
      <c r="K1428" s="46" t="s">
        <v>630</v>
      </c>
      <c r="L1428" s="46"/>
    </row>
    <row r="1429" spans="1:12" x14ac:dyDescent="0.25">
      <c r="A1429" s="46" t="s">
        <v>236</v>
      </c>
      <c r="B1429" s="47">
        <v>42410</v>
      </c>
      <c r="C1429" s="46" t="s">
        <v>412</v>
      </c>
      <c r="D1429" s="46" t="str">
        <f t="shared" si="46"/>
        <v>Interest</v>
      </c>
      <c r="E1429" s="46" t="s">
        <v>200</v>
      </c>
      <c r="F1429" s="46" t="s">
        <v>238</v>
      </c>
      <c r="G1429" s="46">
        <v>0.05</v>
      </c>
      <c r="H1429" s="46">
        <f t="shared" si="47"/>
        <v>201602</v>
      </c>
      <c r="I1429" s="46" t="e">
        <f>MATCH(D1429,$O:$O,0)</f>
        <v>#N/A</v>
      </c>
      <c r="J1429" s="46" t="s">
        <v>39</v>
      </c>
      <c r="K1429" s="46" t="s">
        <v>649</v>
      </c>
      <c r="L1429" s="46"/>
    </row>
    <row r="1430" spans="1:12" x14ac:dyDescent="0.25">
      <c r="A1430" s="46" t="s">
        <v>236</v>
      </c>
      <c r="B1430" s="47">
        <v>42410</v>
      </c>
      <c r="C1430" s="46" t="s">
        <v>221</v>
      </c>
      <c r="D1430" s="46" t="str">
        <f t="shared" si="46"/>
        <v>Tax</v>
      </c>
      <c r="E1430" s="46" t="s">
        <v>222</v>
      </c>
      <c r="F1430" s="46" t="s">
        <v>238</v>
      </c>
      <c r="G1430" s="46">
        <v>-0.13</v>
      </c>
      <c r="H1430" s="46">
        <f t="shared" si="47"/>
        <v>201602</v>
      </c>
      <c r="I1430" s="46">
        <f>MATCH(D1430,$O:$O,0)</f>
        <v>29</v>
      </c>
      <c r="J1430" s="46" t="s">
        <v>39</v>
      </c>
      <c r="K1430" s="46" t="s">
        <v>649</v>
      </c>
      <c r="L1430" s="46"/>
    </row>
    <row r="1431" spans="1:12" x14ac:dyDescent="0.25">
      <c r="A1431" s="46" t="s">
        <v>236</v>
      </c>
      <c r="B1431" s="47">
        <v>42410</v>
      </c>
      <c r="C1431" s="46" t="s">
        <v>221</v>
      </c>
      <c r="D1431" s="46" t="str">
        <f t="shared" si="46"/>
        <v>Tax</v>
      </c>
      <c r="E1431" s="46" t="s">
        <v>222</v>
      </c>
      <c r="F1431" s="46" t="s">
        <v>238</v>
      </c>
      <c r="G1431" s="46">
        <v>-0.06</v>
      </c>
      <c r="H1431" s="46">
        <f t="shared" si="47"/>
        <v>201602</v>
      </c>
      <c r="I1431" s="46">
        <f>MATCH(D1431,$O:$O,0)</f>
        <v>29</v>
      </c>
      <c r="J1431" s="46" t="s">
        <v>39</v>
      </c>
      <c r="K1431" s="46" t="s">
        <v>649</v>
      </c>
      <c r="L1431" s="46"/>
    </row>
    <row r="1432" spans="1:12" x14ac:dyDescent="0.25">
      <c r="A1432" s="46" t="s">
        <v>236</v>
      </c>
      <c r="B1432" s="47">
        <v>42412</v>
      </c>
      <c r="C1432" s="46" t="s">
        <v>1067</v>
      </c>
      <c r="D1432" s="46" t="str">
        <f t="shared" si="46"/>
        <v>Utility</v>
      </c>
      <c r="E1432" s="46" t="s">
        <v>19</v>
      </c>
      <c r="F1432" s="46" t="s">
        <v>238</v>
      </c>
      <c r="G1432" s="46">
        <v>-79.48</v>
      </c>
      <c r="H1432" s="46">
        <f t="shared" si="47"/>
        <v>201602</v>
      </c>
      <c r="I1432" s="46">
        <f>MATCH(D1432,$O:$O,0)</f>
        <v>34</v>
      </c>
      <c r="J1432" s="46" t="s">
        <v>39</v>
      </c>
      <c r="K1432" s="46" t="s">
        <v>649</v>
      </c>
      <c r="L1432" s="46"/>
    </row>
    <row r="1433" spans="1:12" x14ac:dyDescent="0.25">
      <c r="A1433" s="46" t="s">
        <v>236</v>
      </c>
      <c r="B1433" s="47">
        <v>42412</v>
      </c>
      <c r="C1433" s="46" t="s">
        <v>1184</v>
      </c>
      <c r="D1433" s="46" t="str">
        <f t="shared" si="46"/>
        <v>Paychecks/Salary</v>
      </c>
      <c r="E1433" s="46" t="s">
        <v>375</v>
      </c>
      <c r="F1433" s="46" t="s">
        <v>238</v>
      </c>
      <c r="G1433" s="48">
        <v>3373.5</v>
      </c>
      <c r="H1433" s="46">
        <f t="shared" si="47"/>
        <v>201602</v>
      </c>
      <c r="I1433" s="46">
        <f>MATCH(D1433,$O:$O,0)</f>
        <v>40</v>
      </c>
      <c r="J1433" s="46" t="s">
        <v>39</v>
      </c>
      <c r="K1433" s="46" t="s">
        <v>649</v>
      </c>
      <c r="L1433" s="46"/>
    </row>
    <row r="1434" spans="1:12" x14ac:dyDescent="0.25">
      <c r="A1434" s="46" t="s">
        <v>236</v>
      </c>
      <c r="B1434" s="47">
        <v>42412</v>
      </c>
      <c r="C1434" s="46" t="s">
        <v>1185</v>
      </c>
      <c r="D1434" s="46" t="str">
        <f t="shared" si="46"/>
        <v>D-Travel</v>
      </c>
      <c r="E1434" s="46" t="s">
        <v>161</v>
      </c>
      <c r="F1434" s="46" t="s">
        <v>238</v>
      </c>
      <c r="G1434" s="46">
        <v>-13.92</v>
      </c>
      <c r="H1434" s="46">
        <f t="shared" si="47"/>
        <v>201602</v>
      </c>
      <c r="I1434" s="46">
        <f>MATCH(D1434,$O:$O,0)</f>
        <v>10</v>
      </c>
      <c r="J1434" s="46" t="s">
        <v>39</v>
      </c>
      <c r="K1434" s="46" t="s">
        <v>649</v>
      </c>
      <c r="L1434" s="46"/>
    </row>
    <row r="1435" spans="1:12" x14ac:dyDescent="0.25">
      <c r="A1435" s="46" t="s">
        <v>236</v>
      </c>
      <c r="B1435" s="47">
        <v>42412</v>
      </c>
      <c r="C1435" s="46" t="s">
        <v>1186</v>
      </c>
      <c r="D1435" s="46" t="str">
        <f t="shared" si="46"/>
        <v>D-Travel</v>
      </c>
      <c r="E1435" s="46" t="s">
        <v>161</v>
      </c>
      <c r="F1435" s="46" t="s">
        <v>238</v>
      </c>
      <c r="G1435" s="46">
        <v>-16.47</v>
      </c>
      <c r="H1435" s="46">
        <f t="shared" si="47"/>
        <v>201602</v>
      </c>
      <c r="I1435" s="46">
        <f>MATCH(D1435,$O:$O,0)</f>
        <v>10</v>
      </c>
      <c r="J1435" s="46" t="s">
        <v>39</v>
      </c>
      <c r="K1435" s="46" t="s">
        <v>630</v>
      </c>
      <c r="L1435" s="46"/>
    </row>
    <row r="1436" spans="1:12" x14ac:dyDescent="0.25">
      <c r="A1436" s="46" t="s">
        <v>236</v>
      </c>
      <c r="B1436" s="47">
        <v>42412</v>
      </c>
      <c r="C1436" s="46" t="s">
        <v>1061</v>
      </c>
      <c r="D1436" s="46" t="str">
        <f t="shared" si="46"/>
        <v>D-Travel</v>
      </c>
      <c r="E1436" s="46" t="s">
        <v>161</v>
      </c>
      <c r="F1436" s="46" t="s">
        <v>238</v>
      </c>
      <c r="G1436" s="46">
        <v>-329.1</v>
      </c>
      <c r="H1436" s="46">
        <f t="shared" si="47"/>
        <v>201602</v>
      </c>
      <c r="I1436" s="46">
        <f>MATCH(D1436,$O:$O,0)</f>
        <v>10</v>
      </c>
      <c r="J1436" s="46" t="s">
        <v>39</v>
      </c>
      <c r="K1436" s="46" t="s">
        <v>630</v>
      </c>
      <c r="L1436" s="46"/>
    </row>
    <row r="1437" spans="1:12" x14ac:dyDescent="0.25">
      <c r="A1437" s="46" t="s">
        <v>236</v>
      </c>
      <c r="B1437" s="47">
        <v>42412</v>
      </c>
      <c r="C1437" s="46" t="s">
        <v>1187</v>
      </c>
      <c r="D1437" s="46" t="str">
        <f t="shared" si="46"/>
        <v>D-Restaurant</v>
      </c>
      <c r="E1437" s="46" t="s">
        <v>204</v>
      </c>
      <c r="F1437" s="46" t="s">
        <v>238</v>
      </c>
      <c r="G1437" s="46">
        <v>-13.85</v>
      </c>
      <c r="H1437" s="46">
        <f t="shared" si="47"/>
        <v>201602</v>
      </c>
      <c r="I1437" s="46">
        <f>MATCH(D1437,$O:$O,0)</f>
        <v>9</v>
      </c>
      <c r="J1437" s="46" t="s">
        <v>39</v>
      </c>
      <c r="K1437" s="46" t="s">
        <v>630</v>
      </c>
      <c r="L1437" s="46"/>
    </row>
    <row r="1438" spans="1:12" x14ac:dyDescent="0.25">
      <c r="A1438" s="46" t="s">
        <v>236</v>
      </c>
      <c r="B1438" s="47">
        <v>42412</v>
      </c>
      <c r="C1438" s="46" t="s">
        <v>1188</v>
      </c>
      <c r="D1438" s="46" t="str">
        <f t="shared" si="46"/>
        <v>Parent support</v>
      </c>
      <c r="E1438" s="46" t="s">
        <v>1002</v>
      </c>
      <c r="F1438" s="46" t="s">
        <v>238</v>
      </c>
      <c r="G1438" s="46">
        <v>-97.64</v>
      </c>
      <c r="H1438" s="46">
        <f t="shared" si="47"/>
        <v>201602</v>
      </c>
      <c r="I1438" s="46">
        <f>MATCH(D1438,$O:$O,0)</f>
        <v>24</v>
      </c>
      <c r="J1438" s="46" t="s">
        <v>39</v>
      </c>
      <c r="K1438" s="46" t="s">
        <v>630</v>
      </c>
      <c r="L1438" s="46"/>
    </row>
    <row r="1439" spans="1:12" x14ac:dyDescent="0.25">
      <c r="A1439" s="46" t="s">
        <v>236</v>
      </c>
      <c r="B1439" s="47">
        <v>42415</v>
      </c>
      <c r="C1439" s="46" t="s">
        <v>1178</v>
      </c>
      <c r="D1439" s="46" t="str">
        <f t="shared" si="46"/>
        <v>Grocery</v>
      </c>
      <c r="E1439" s="46" t="s">
        <v>385</v>
      </c>
      <c r="F1439" s="46" t="s">
        <v>238</v>
      </c>
      <c r="G1439" s="46">
        <v>-13.21</v>
      </c>
      <c r="H1439" s="46">
        <f t="shared" si="47"/>
        <v>201602</v>
      </c>
      <c r="I1439" s="46">
        <f>MATCH(D1439,$O:$O,0)</f>
        <v>12</v>
      </c>
      <c r="J1439" s="46" t="s">
        <v>39</v>
      </c>
      <c r="K1439" s="46" t="s">
        <v>630</v>
      </c>
      <c r="L1439" s="46"/>
    </row>
    <row r="1440" spans="1:12" x14ac:dyDescent="0.25">
      <c r="A1440" s="46" t="s">
        <v>236</v>
      </c>
      <c r="B1440" s="47">
        <v>42415</v>
      </c>
      <c r="C1440" s="46" t="s">
        <v>1179</v>
      </c>
      <c r="D1440" s="46" t="str">
        <f t="shared" si="46"/>
        <v>D-Travel</v>
      </c>
      <c r="E1440" s="46" t="s">
        <v>161</v>
      </c>
      <c r="F1440" s="46" t="s">
        <v>238</v>
      </c>
      <c r="G1440" s="46">
        <v>-15</v>
      </c>
      <c r="H1440" s="46">
        <f t="shared" si="47"/>
        <v>201602</v>
      </c>
      <c r="I1440" s="46">
        <f>MATCH(D1440,$O:$O,0)</f>
        <v>10</v>
      </c>
      <c r="J1440" s="46" t="s">
        <v>39</v>
      </c>
      <c r="K1440" s="46" t="s">
        <v>630</v>
      </c>
      <c r="L1440" s="46"/>
    </row>
    <row r="1441" spans="1:12" x14ac:dyDescent="0.25">
      <c r="A1441" s="46" t="s">
        <v>236</v>
      </c>
      <c r="B1441" s="47">
        <v>42415</v>
      </c>
      <c r="C1441" s="46" t="s">
        <v>1180</v>
      </c>
      <c r="D1441" s="46" t="str">
        <f t="shared" si="46"/>
        <v>D-Travel</v>
      </c>
      <c r="E1441" s="46" t="s">
        <v>161</v>
      </c>
      <c r="F1441" s="46" t="s">
        <v>238</v>
      </c>
      <c r="G1441" s="46">
        <v>-368.6</v>
      </c>
      <c r="H1441" s="46">
        <f t="shared" si="47"/>
        <v>201602</v>
      </c>
      <c r="I1441" s="46">
        <f>MATCH(D1441,$O:$O,0)</f>
        <v>10</v>
      </c>
      <c r="J1441" s="46" t="s">
        <v>39</v>
      </c>
      <c r="K1441" s="46" t="s">
        <v>630</v>
      </c>
      <c r="L1441" s="46"/>
    </row>
    <row r="1442" spans="1:12" x14ac:dyDescent="0.25">
      <c r="A1442" s="46" t="s">
        <v>236</v>
      </c>
      <c r="B1442" s="47">
        <v>42415</v>
      </c>
      <c r="C1442" s="46" t="s">
        <v>1181</v>
      </c>
      <c r="D1442" s="46" t="str">
        <f t="shared" si="46"/>
        <v>D-Restaurant</v>
      </c>
      <c r="E1442" s="46" t="s">
        <v>204</v>
      </c>
      <c r="F1442" s="46" t="s">
        <v>238</v>
      </c>
      <c r="G1442" s="46">
        <v>-17.62</v>
      </c>
      <c r="H1442" s="46">
        <f t="shared" si="47"/>
        <v>201602</v>
      </c>
      <c r="I1442" s="46">
        <f>MATCH(D1442,$O:$O,0)</f>
        <v>9</v>
      </c>
      <c r="J1442" s="46" t="s">
        <v>39</v>
      </c>
      <c r="K1442" s="46" t="s">
        <v>630</v>
      </c>
      <c r="L1442" s="46"/>
    </row>
    <row r="1443" spans="1:12" x14ac:dyDescent="0.25">
      <c r="A1443" s="46" t="s">
        <v>236</v>
      </c>
      <c r="B1443" s="47">
        <v>42415</v>
      </c>
      <c r="C1443" s="46" t="s">
        <v>1182</v>
      </c>
      <c r="D1443" s="46" t="str">
        <f t="shared" si="46"/>
        <v>D-Restaurant</v>
      </c>
      <c r="E1443" s="46" t="s">
        <v>204</v>
      </c>
      <c r="F1443" s="46" t="s">
        <v>238</v>
      </c>
      <c r="G1443" s="46">
        <v>-12.59</v>
      </c>
      <c r="H1443" s="46">
        <f t="shared" si="47"/>
        <v>201602</v>
      </c>
      <c r="I1443" s="46">
        <f>MATCH(D1443,$O:$O,0)</f>
        <v>9</v>
      </c>
      <c r="J1443" s="46" t="s">
        <v>39</v>
      </c>
      <c r="K1443" s="46" t="s">
        <v>630</v>
      </c>
      <c r="L1443" s="46"/>
    </row>
    <row r="1444" spans="1:12" x14ac:dyDescent="0.25">
      <c r="A1444" s="46" t="s">
        <v>236</v>
      </c>
      <c r="B1444" s="47">
        <v>42416</v>
      </c>
      <c r="C1444" s="46" t="s">
        <v>1175</v>
      </c>
      <c r="D1444" s="46" t="str">
        <f t="shared" ref="D1444:D1507" si="48">IF(ISNA(VLOOKUP(E1444,$L$2:$M$26,2,FALSE)),E1444,VLOOKUP(E1444,$L$2:$M$26,2,FALSE))</f>
        <v>Credit Card Payments</v>
      </c>
      <c r="E1444" s="46" t="s">
        <v>242</v>
      </c>
      <c r="F1444" s="46" t="s">
        <v>238</v>
      </c>
      <c r="G1444" s="46">
        <v>-535</v>
      </c>
      <c r="H1444" s="46">
        <f t="shared" si="47"/>
        <v>201602</v>
      </c>
      <c r="I1444" s="46">
        <f>MATCH(D1444,$O:$O,0)</f>
        <v>38</v>
      </c>
      <c r="J1444" s="46" t="s">
        <v>39</v>
      </c>
      <c r="K1444" s="46" t="s">
        <v>630</v>
      </c>
      <c r="L1444" s="46" t="s">
        <v>939</v>
      </c>
    </row>
    <row r="1445" spans="1:12" x14ac:dyDescent="0.25">
      <c r="A1445" s="46" t="s">
        <v>236</v>
      </c>
      <c r="B1445" s="47">
        <v>42416</v>
      </c>
      <c r="C1445" s="46" t="s">
        <v>1176</v>
      </c>
      <c r="D1445" s="46" t="str">
        <f t="shared" si="48"/>
        <v>Credit Card Payments</v>
      </c>
      <c r="E1445" s="46" t="s">
        <v>242</v>
      </c>
      <c r="F1445" s="46" t="s">
        <v>238</v>
      </c>
      <c r="G1445" s="48">
        <v>-5000</v>
      </c>
      <c r="H1445" s="46">
        <f t="shared" si="47"/>
        <v>201602</v>
      </c>
      <c r="I1445" s="46">
        <f>MATCH(D1445,$O:$O,0)</f>
        <v>38</v>
      </c>
      <c r="J1445" s="46" t="s">
        <v>39</v>
      </c>
      <c r="K1445" s="46" t="s">
        <v>630</v>
      </c>
      <c r="L1445" s="46" t="s">
        <v>1111</v>
      </c>
    </row>
    <row r="1446" spans="1:12" x14ac:dyDescent="0.25">
      <c r="A1446" s="46" t="s">
        <v>236</v>
      </c>
      <c r="B1446" s="47">
        <v>42416</v>
      </c>
      <c r="C1446" s="46" t="s">
        <v>1177</v>
      </c>
      <c r="D1446" s="46" t="str">
        <f t="shared" si="48"/>
        <v>D-Coffee</v>
      </c>
      <c r="E1446" s="46" t="s">
        <v>215</v>
      </c>
      <c r="F1446" s="46" t="s">
        <v>238</v>
      </c>
      <c r="G1446" s="46">
        <v>-25</v>
      </c>
      <c r="H1446" s="46">
        <f t="shared" si="47"/>
        <v>201602</v>
      </c>
      <c r="I1446" s="46">
        <f>MATCH(D1446,$O:$O,0)</f>
        <v>7</v>
      </c>
      <c r="J1446" s="46" t="s">
        <v>39</v>
      </c>
      <c r="K1446" s="46" t="s">
        <v>630</v>
      </c>
      <c r="L1446" s="46"/>
    </row>
    <row r="1447" spans="1:12" x14ac:dyDescent="0.25">
      <c r="A1447" s="46" t="s">
        <v>236</v>
      </c>
      <c r="B1447" s="47">
        <v>42416</v>
      </c>
      <c r="C1447" s="46" t="s">
        <v>557</v>
      </c>
      <c r="D1447" s="46" t="str">
        <f t="shared" si="48"/>
        <v>Credit Card Payments</v>
      </c>
      <c r="E1447" s="46" t="s">
        <v>242</v>
      </c>
      <c r="F1447" s="46" t="s">
        <v>238</v>
      </c>
      <c r="G1447" s="48">
        <v>5000</v>
      </c>
      <c r="H1447" s="46">
        <f t="shared" si="47"/>
        <v>201602</v>
      </c>
      <c r="I1447" s="46">
        <f>MATCH(D1447,$O:$O,0)</f>
        <v>38</v>
      </c>
      <c r="J1447" s="46" t="s">
        <v>39</v>
      </c>
      <c r="K1447" s="46" t="s">
        <v>630</v>
      </c>
      <c r="L1447" s="46"/>
    </row>
    <row r="1448" spans="1:12" x14ac:dyDescent="0.25">
      <c r="A1448" s="46" t="s">
        <v>236</v>
      </c>
      <c r="B1448" s="47">
        <v>42416</v>
      </c>
      <c r="C1448" s="46" t="s">
        <v>845</v>
      </c>
      <c r="D1448" s="46" t="str">
        <f t="shared" si="48"/>
        <v>Credit Card Payments</v>
      </c>
      <c r="E1448" s="46" t="s">
        <v>242</v>
      </c>
      <c r="F1448" s="46" t="s">
        <v>238</v>
      </c>
      <c r="G1448" s="46">
        <v>535</v>
      </c>
      <c r="H1448" s="46">
        <f t="shared" si="47"/>
        <v>201602</v>
      </c>
      <c r="I1448" s="46">
        <f>MATCH(D1448,$O:$O,0)</f>
        <v>38</v>
      </c>
      <c r="J1448" s="46" t="s">
        <v>39</v>
      </c>
      <c r="K1448" s="46" t="s">
        <v>630</v>
      </c>
      <c r="L1448" s="46"/>
    </row>
    <row r="1449" spans="1:12" x14ac:dyDescent="0.25">
      <c r="A1449" s="46" t="s">
        <v>236</v>
      </c>
      <c r="B1449" s="47">
        <v>42417</v>
      </c>
      <c r="C1449" s="46" t="s">
        <v>1173</v>
      </c>
      <c r="D1449" s="46" t="str">
        <f t="shared" si="48"/>
        <v>D-Travel</v>
      </c>
      <c r="E1449" s="46" t="s">
        <v>161</v>
      </c>
      <c r="F1449" s="46" t="s">
        <v>238</v>
      </c>
      <c r="G1449" s="46">
        <v>-15.48</v>
      </c>
      <c r="H1449" s="46">
        <f t="shared" si="47"/>
        <v>201602</v>
      </c>
      <c r="I1449" s="46">
        <f>MATCH(D1449,$O:$O,0)</f>
        <v>10</v>
      </c>
      <c r="J1449" s="46" t="s">
        <v>39</v>
      </c>
      <c r="K1449" s="46" t="s">
        <v>649</v>
      </c>
      <c r="L1449" s="46"/>
    </row>
    <row r="1450" spans="1:12" x14ac:dyDescent="0.25">
      <c r="A1450" s="46" t="s">
        <v>236</v>
      </c>
      <c r="B1450" s="47">
        <v>42417</v>
      </c>
      <c r="C1450" s="46" t="s">
        <v>1174</v>
      </c>
      <c r="D1450" s="46" t="str">
        <f t="shared" si="48"/>
        <v>D-Coffee</v>
      </c>
      <c r="E1450" s="46" t="s">
        <v>215</v>
      </c>
      <c r="F1450" s="46" t="s">
        <v>238</v>
      </c>
      <c r="G1450" s="46">
        <v>-3.18</v>
      </c>
      <c r="H1450" s="46">
        <f t="shared" si="47"/>
        <v>201602</v>
      </c>
      <c r="I1450" s="46">
        <f>MATCH(D1450,$O:$O,0)</f>
        <v>7</v>
      </c>
      <c r="J1450" s="46" t="s">
        <v>39</v>
      </c>
      <c r="K1450" s="46" t="s">
        <v>649</v>
      </c>
      <c r="L1450" s="46"/>
    </row>
    <row r="1451" spans="1:12" x14ac:dyDescent="0.25">
      <c r="A1451" s="46" t="s">
        <v>236</v>
      </c>
      <c r="B1451" s="47">
        <v>42417</v>
      </c>
      <c r="C1451" s="46" t="s">
        <v>249</v>
      </c>
      <c r="D1451" s="46" t="str">
        <f t="shared" si="48"/>
        <v>Retirement Contributions</v>
      </c>
      <c r="E1451" s="46" t="s">
        <v>263</v>
      </c>
      <c r="F1451" s="46" t="s">
        <v>238</v>
      </c>
      <c r="G1451" s="46">
        <v>843.75</v>
      </c>
      <c r="H1451" s="46">
        <f t="shared" si="47"/>
        <v>201602</v>
      </c>
      <c r="I1451" s="46">
        <f>MATCH(D1451,$O:$O,0)</f>
        <v>39</v>
      </c>
      <c r="J1451" s="46" t="s">
        <v>39</v>
      </c>
      <c r="K1451" s="46" t="s">
        <v>630</v>
      </c>
      <c r="L1451" s="46"/>
    </row>
    <row r="1452" spans="1:12" x14ac:dyDescent="0.25">
      <c r="A1452" s="46" t="s">
        <v>236</v>
      </c>
      <c r="B1452" s="47">
        <v>42419</v>
      </c>
      <c r="C1452" s="46" t="s">
        <v>1170</v>
      </c>
      <c r="D1452" s="46" t="str">
        <f t="shared" si="48"/>
        <v>Parent support</v>
      </c>
      <c r="E1452" s="46" t="s">
        <v>1002</v>
      </c>
      <c r="F1452" s="46" t="s">
        <v>238</v>
      </c>
      <c r="G1452" s="46">
        <v>-421.15</v>
      </c>
      <c r="H1452" s="46">
        <f t="shared" si="47"/>
        <v>201602</v>
      </c>
      <c r="I1452" s="46">
        <f>MATCH(D1452,$O:$O,0)</f>
        <v>24</v>
      </c>
      <c r="J1452" s="46" t="s">
        <v>39</v>
      </c>
      <c r="K1452" s="46" t="s">
        <v>630</v>
      </c>
      <c r="L1452" s="46"/>
    </row>
    <row r="1453" spans="1:12" x14ac:dyDescent="0.25">
      <c r="A1453" s="46" t="s">
        <v>236</v>
      </c>
      <c r="B1453" s="47">
        <v>42419</v>
      </c>
      <c r="C1453" s="46" t="s">
        <v>1128</v>
      </c>
      <c r="D1453" s="46" t="str">
        <f t="shared" si="48"/>
        <v>Parent support</v>
      </c>
      <c r="E1453" s="46" t="s">
        <v>1002</v>
      </c>
      <c r="F1453" s="46" t="s">
        <v>238</v>
      </c>
      <c r="G1453" s="46">
        <v>-508.93</v>
      </c>
      <c r="H1453" s="46">
        <f t="shared" si="47"/>
        <v>201602</v>
      </c>
      <c r="I1453" s="46">
        <f>MATCH(D1453,$O:$O,0)</f>
        <v>24</v>
      </c>
      <c r="J1453" s="46" t="s">
        <v>39</v>
      </c>
      <c r="K1453" s="46" t="s">
        <v>630</v>
      </c>
      <c r="L1453" s="46"/>
    </row>
    <row r="1454" spans="1:12" x14ac:dyDescent="0.25">
      <c r="A1454" s="46" t="s">
        <v>236</v>
      </c>
      <c r="B1454" s="47">
        <v>42419</v>
      </c>
      <c r="C1454" s="46" t="s">
        <v>1171</v>
      </c>
      <c r="D1454" s="46" t="str">
        <f t="shared" si="48"/>
        <v>Parent support</v>
      </c>
      <c r="E1454" s="46" t="s">
        <v>1002</v>
      </c>
      <c r="F1454" s="46" t="s">
        <v>238</v>
      </c>
      <c r="G1454" s="46">
        <v>-318</v>
      </c>
      <c r="H1454" s="46">
        <f t="shared" si="47"/>
        <v>201602</v>
      </c>
      <c r="I1454" s="46">
        <f>MATCH(D1454,$O:$O,0)</f>
        <v>24</v>
      </c>
      <c r="J1454" s="46" t="s">
        <v>39</v>
      </c>
      <c r="K1454" s="46" t="s">
        <v>649</v>
      </c>
      <c r="L1454" s="46" t="s">
        <v>939</v>
      </c>
    </row>
    <row r="1455" spans="1:12" x14ac:dyDescent="0.25">
      <c r="A1455" s="46" t="s">
        <v>236</v>
      </c>
      <c r="B1455" s="47">
        <v>42419</v>
      </c>
      <c r="C1455" s="46" t="s">
        <v>911</v>
      </c>
      <c r="D1455" s="46" t="str">
        <f t="shared" si="48"/>
        <v>Public Transit</v>
      </c>
      <c r="E1455" s="46" t="s">
        <v>1169</v>
      </c>
      <c r="F1455" s="46" t="s">
        <v>238</v>
      </c>
      <c r="G1455" s="46">
        <v>-20</v>
      </c>
      <c r="H1455" s="46">
        <f t="shared" si="47"/>
        <v>201602</v>
      </c>
      <c r="I1455" s="46">
        <f>MATCH(D1455,$O:$O,0)</f>
        <v>25</v>
      </c>
      <c r="J1455" s="46" t="s">
        <v>39</v>
      </c>
      <c r="K1455" s="46" t="s">
        <v>649</v>
      </c>
      <c r="L1455" s="46"/>
    </row>
    <row r="1456" spans="1:12" x14ac:dyDescent="0.25">
      <c r="A1456" s="46" t="s">
        <v>236</v>
      </c>
      <c r="B1456" s="47">
        <v>42419</v>
      </c>
      <c r="C1456" s="46" t="s">
        <v>1172</v>
      </c>
      <c r="D1456" s="46" t="str">
        <f t="shared" si="48"/>
        <v>Parent support</v>
      </c>
      <c r="E1456" s="46" t="s">
        <v>1002</v>
      </c>
      <c r="F1456" s="46" t="s">
        <v>238</v>
      </c>
      <c r="G1456" s="46">
        <v>-14.38</v>
      </c>
      <c r="H1456" s="46">
        <f t="shared" si="47"/>
        <v>201602</v>
      </c>
      <c r="I1456" s="46">
        <f>MATCH(D1456,$O:$O,0)</f>
        <v>24</v>
      </c>
      <c r="J1456" s="46" t="s">
        <v>39</v>
      </c>
      <c r="K1456" s="46" t="s">
        <v>630</v>
      </c>
      <c r="L1456" s="46"/>
    </row>
    <row r="1457" spans="1:12" x14ac:dyDescent="0.25">
      <c r="A1457" s="46" t="s">
        <v>236</v>
      </c>
      <c r="B1457" s="47">
        <v>42419</v>
      </c>
      <c r="C1457" s="46" t="s">
        <v>1116</v>
      </c>
      <c r="D1457" s="46" t="str">
        <f t="shared" si="48"/>
        <v>Parent support</v>
      </c>
      <c r="E1457" s="46" t="s">
        <v>1002</v>
      </c>
      <c r="F1457" s="46" t="s">
        <v>238</v>
      </c>
      <c r="G1457" s="46">
        <v>-0.43</v>
      </c>
      <c r="H1457" s="46">
        <f t="shared" si="47"/>
        <v>201602</v>
      </c>
      <c r="I1457" s="46">
        <f>MATCH(D1457,$O:$O,0)</f>
        <v>24</v>
      </c>
      <c r="J1457" s="46" t="s">
        <v>39</v>
      </c>
      <c r="K1457" s="46" t="s">
        <v>630</v>
      </c>
      <c r="L1457" s="46" t="s">
        <v>1121</v>
      </c>
    </row>
    <row r="1458" spans="1:12" x14ac:dyDescent="0.25">
      <c r="A1458" s="46" t="s">
        <v>236</v>
      </c>
      <c r="B1458" s="47">
        <v>42420</v>
      </c>
      <c r="C1458" s="46" t="s">
        <v>654</v>
      </c>
      <c r="D1458" s="46" t="str">
        <f t="shared" si="48"/>
        <v>Public Transit</v>
      </c>
      <c r="E1458" s="46" t="s">
        <v>1169</v>
      </c>
      <c r="F1458" s="46" t="s">
        <v>238</v>
      </c>
      <c r="G1458" s="46">
        <v>-60</v>
      </c>
      <c r="H1458" s="46">
        <f t="shared" si="47"/>
        <v>201602</v>
      </c>
      <c r="I1458" s="46">
        <f>MATCH(D1458,$O:$O,0)</f>
        <v>25</v>
      </c>
      <c r="J1458" s="46" t="s">
        <v>39</v>
      </c>
      <c r="K1458" s="46" t="s">
        <v>649</v>
      </c>
      <c r="L1458" s="46"/>
    </row>
    <row r="1459" spans="1:12" x14ac:dyDescent="0.25">
      <c r="A1459" s="46" t="s">
        <v>236</v>
      </c>
      <c r="B1459" s="47">
        <v>42421</v>
      </c>
      <c r="C1459" s="46" t="s">
        <v>1168</v>
      </c>
      <c r="D1459" s="46" t="str">
        <f t="shared" si="48"/>
        <v>Grocery</v>
      </c>
      <c r="E1459" s="46" t="s">
        <v>192</v>
      </c>
      <c r="F1459" s="46" t="s">
        <v>238</v>
      </c>
      <c r="G1459" s="46">
        <v>-1.99</v>
      </c>
      <c r="H1459" s="46">
        <f t="shared" si="47"/>
        <v>201602</v>
      </c>
      <c r="I1459" s="46">
        <f>MATCH(D1459,$O:$O,0)</f>
        <v>12</v>
      </c>
      <c r="J1459" s="46" t="s">
        <v>39</v>
      </c>
      <c r="K1459" s="46" t="s">
        <v>649</v>
      </c>
      <c r="L1459" s="46"/>
    </row>
    <row r="1460" spans="1:12" x14ac:dyDescent="0.25">
      <c r="A1460" s="46" t="s">
        <v>236</v>
      </c>
      <c r="B1460" s="47">
        <v>42421</v>
      </c>
      <c r="C1460" s="46" t="s">
        <v>917</v>
      </c>
      <c r="D1460" s="46" t="str">
        <f t="shared" si="48"/>
        <v>Grocery</v>
      </c>
      <c r="E1460" s="46" t="s">
        <v>385</v>
      </c>
      <c r="F1460" s="46" t="s">
        <v>238</v>
      </c>
      <c r="G1460" s="46">
        <v>-94.15</v>
      </c>
      <c r="H1460" s="46">
        <f t="shared" si="47"/>
        <v>201602</v>
      </c>
      <c r="I1460" s="46">
        <f>MATCH(D1460,$O:$O,0)</f>
        <v>12</v>
      </c>
      <c r="J1460" s="46" t="s">
        <v>39</v>
      </c>
      <c r="K1460" s="46" t="s">
        <v>632</v>
      </c>
      <c r="L1460" s="46"/>
    </row>
    <row r="1461" spans="1:12" x14ac:dyDescent="0.25">
      <c r="A1461" s="46" t="s">
        <v>236</v>
      </c>
      <c r="B1461" s="47">
        <v>42422</v>
      </c>
      <c r="C1461" s="46" t="s">
        <v>1167</v>
      </c>
      <c r="D1461" s="46" t="str">
        <f t="shared" si="48"/>
        <v>Parking</v>
      </c>
      <c r="E1461" s="46" t="s">
        <v>170</v>
      </c>
      <c r="F1461" s="46" t="s">
        <v>238</v>
      </c>
      <c r="G1461" s="46">
        <v>-4</v>
      </c>
      <c r="H1461" s="46">
        <f t="shared" si="47"/>
        <v>201602</v>
      </c>
      <c r="I1461" s="46">
        <f>MATCH(D1461,$O:$O,0)</f>
        <v>32</v>
      </c>
      <c r="J1461" s="46" t="s">
        <v>39</v>
      </c>
      <c r="K1461" s="46" t="s">
        <v>630</v>
      </c>
      <c r="L1461" s="46" t="s">
        <v>1125</v>
      </c>
    </row>
    <row r="1462" spans="1:12" x14ac:dyDescent="0.25">
      <c r="A1462" s="46" t="s">
        <v>236</v>
      </c>
      <c r="B1462" s="47">
        <v>42424</v>
      </c>
      <c r="C1462" s="46" t="s">
        <v>885</v>
      </c>
      <c r="D1462" s="46" t="str">
        <f t="shared" si="48"/>
        <v>Grocery</v>
      </c>
      <c r="E1462" s="46" t="s">
        <v>192</v>
      </c>
      <c r="F1462" s="46" t="s">
        <v>238</v>
      </c>
      <c r="G1462" s="46">
        <v>-31.08</v>
      </c>
      <c r="H1462" s="46">
        <f t="shared" si="47"/>
        <v>201602</v>
      </c>
      <c r="I1462" s="46">
        <f>MATCH(D1462,$O:$O,0)</f>
        <v>12</v>
      </c>
      <c r="J1462" s="46" t="s">
        <v>39</v>
      </c>
      <c r="K1462" s="46" t="s">
        <v>630</v>
      </c>
      <c r="L1462" s="46" t="s">
        <v>1125</v>
      </c>
    </row>
    <row r="1463" spans="1:12" x14ac:dyDescent="0.25">
      <c r="A1463" s="46" t="s">
        <v>236</v>
      </c>
      <c r="B1463" s="47">
        <v>42424</v>
      </c>
      <c r="C1463" s="46" t="s">
        <v>575</v>
      </c>
      <c r="D1463" s="46" t="str">
        <f t="shared" si="48"/>
        <v>D-Restaurant</v>
      </c>
      <c r="E1463" s="46" t="s">
        <v>204</v>
      </c>
      <c r="F1463" s="46" t="s">
        <v>238</v>
      </c>
      <c r="G1463" s="46">
        <v>-8.1999999999999993</v>
      </c>
      <c r="H1463" s="46">
        <f t="shared" si="47"/>
        <v>201602</v>
      </c>
      <c r="I1463" s="46">
        <f>MATCH(D1463,$O:$O,0)</f>
        <v>9</v>
      </c>
      <c r="J1463" s="46" t="s">
        <v>39</v>
      </c>
      <c r="K1463" s="46" t="s">
        <v>649</v>
      </c>
      <c r="L1463" s="46"/>
    </row>
    <row r="1464" spans="1:12" x14ac:dyDescent="0.25">
      <c r="A1464" s="46" t="s">
        <v>236</v>
      </c>
      <c r="B1464" s="47">
        <v>42424</v>
      </c>
      <c r="C1464" s="46" t="s">
        <v>894</v>
      </c>
      <c r="D1464" s="46" t="str">
        <f t="shared" si="48"/>
        <v>Movies/Software/Online Service</v>
      </c>
      <c r="E1464" s="46" t="s">
        <v>167</v>
      </c>
      <c r="F1464" s="46" t="s">
        <v>238</v>
      </c>
      <c r="G1464" s="46">
        <v>-7.99</v>
      </c>
      <c r="H1464" s="46">
        <f t="shared" si="47"/>
        <v>201602</v>
      </c>
      <c r="I1464" s="46">
        <f>MATCH(D1464,$O:$O,0)</f>
        <v>22</v>
      </c>
      <c r="J1464" s="46" t="s">
        <v>39</v>
      </c>
      <c r="K1464" s="46" t="s">
        <v>649</v>
      </c>
      <c r="L1464" s="46" t="s">
        <v>722</v>
      </c>
    </row>
    <row r="1465" spans="1:12" x14ac:dyDescent="0.25">
      <c r="A1465" s="46" t="s">
        <v>236</v>
      </c>
      <c r="B1465" s="47">
        <v>42425</v>
      </c>
      <c r="C1465" s="46" t="s">
        <v>1166</v>
      </c>
      <c r="D1465" s="46" t="str">
        <f t="shared" si="48"/>
        <v>D-Restaurant</v>
      </c>
      <c r="E1465" s="46" t="s">
        <v>204</v>
      </c>
      <c r="F1465" s="46" t="s">
        <v>238</v>
      </c>
      <c r="G1465" s="46">
        <v>-86.03</v>
      </c>
      <c r="H1465" s="46">
        <f t="shared" si="47"/>
        <v>201602</v>
      </c>
      <c r="I1465" s="46">
        <f>MATCH(D1465,$O:$O,0)</f>
        <v>9</v>
      </c>
      <c r="J1465" s="46" t="s">
        <v>39</v>
      </c>
      <c r="K1465" s="46" t="s">
        <v>649</v>
      </c>
      <c r="L1465" s="46"/>
    </row>
    <row r="1466" spans="1:12" x14ac:dyDescent="0.25">
      <c r="A1466" s="46" t="s">
        <v>236</v>
      </c>
      <c r="B1466" s="47">
        <v>42425</v>
      </c>
      <c r="C1466" s="46" t="s">
        <v>1063</v>
      </c>
      <c r="D1466" s="46" t="str">
        <f t="shared" si="48"/>
        <v>D-Restaurant</v>
      </c>
      <c r="E1466" s="46" t="s">
        <v>204</v>
      </c>
      <c r="F1466" s="46" t="s">
        <v>238</v>
      </c>
      <c r="G1466" s="46">
        <v>-4.3499999999999996</v>
      </c>
      <c r="H1466" s="46">
        <f t="shared" si="47"/>
        <v>201602</v>
      </c>
      <c r="I1466" s="46">
        <f>MATCH(D1466,$O:$O,0)</f>
        <v>9</v>
      </c>
      <c r="J1466" s="46" t="s">
        <v>39</v>
      </c>
      <c r="K1466" s="46" t="s">
        <v>630</v>
      </c>
      <c r="L1466" s="46" t="s">
        <v>252</v>
      </c>
    </row>
    <row r="1467" spans="1:12" x14ac:dyDescent="0.25">
      <c r="A1467" s="46" t="s">
        <v>236</v>
      </c>
      <c r="B1467" s="47">
        <v>42426</v>
      </c>
      <c r="C1467" s="46" t="s">
        <v>1063</v>
      </c>
      <c r="D1467" s="46" t="str">
        <f t="shared" si="48"/>
        <v>D-Restaurant</v>
      </c>
      <c r="E1467" s="46" t="s">
        <v>204</v>
      </c>
      <c r="F1467" s="46" t="s">
        <v>238</v>
      </c>
      <c r="G1467" s="46">
        <v>-4.55</v>
      </c>
      <c r="H1467" s="46">
        <f t="shared" si="47"/>
        <v>201602</v>
      </c>
      <c r="I1467" s="46">
        <f>MATCH(D1467,$O:$O,0)</f>
        <v>9</v>
      </c>
      <c r="J1467" s="46" t="s">
        <v>39</v>
      </c>
      <c r="K1467" s="46" t="s">
        <v>649</v>
      </c>
      <c r="L1467" s="46"/>
    </row>
    <row r="1468" spans="1:12" x14ac:dyDescent="0.25">
      <c r="A1468" s="46" t="s">
        <v>236</v>
      </c>
      <c r="B1468" s="47">
        <v>42427</v>
      </c>
      <c r="C1468" s="46" t="s">
        <v>565</v>
      </c>
      <c r="D1468" s="46" t="str">
        <f t="shared" si="48"/>
        <v>Gifts</v>
      </c>
      <c r="E1468" s="46" t="s">
        <v>40</v>
      </c>
      <c r="F1468" s="46" t="s">
        <v>238</v>
      </c>
      <c r="G1468" s="46">
        <v>-100</v>
      </c>
      <c r="H1468" s="46">
        <f t="shared" si="47"/>
        <v>201602</v>
      </c>
      <c r="I1468" s="46">
        <f>MATCH(D1468,$O:$O,0)</f>
        <v>11</v>
      </c>
      <c r="J1468" s="46" t="s">
        <v>39</v>
      </c>
      <c r="K1468" s="46" t="s">
        <v>632</v>
      </c>
      <c r="L1468" s="46"/>
    </row>
    <row r="1469" spans="1:12" x14ac:dyDescent="0.25">
      <c r="A1469" s="46" t="s">
        <v>236</v>
      </c>
      <c r="B1469" s="47">
        <v>42427</v>
      </c>
      <c r="C1469" s="46" t="s">
        <v>565</v>
      </c>
      <c r="D1469" s="46" t="str">
        <f t="shared" si="48"/>
        <v>Grocery</v>
      </c>
      <c r="E1469" s="46" t="s">
        <v>192</v>
      </c>
      <c r="F1469" s="46" t="s">
        <v>238</v>
      </c>
      <c r="G1469" s="46">
        <v>-42.49</v>
      </c>
      <c r="H1469" s="46">
        <f t="shared" si="47"/>
        <v>201602</v>
      </c>
      <c r="I1469" s="46">
        <f>MATCH(D1469,$O:$O,0)</f>
        <v>12</v>
      </c>
      <c r="J1469" s="46" t="s">
        <v>39</v>
      </c>
      <c r="K1469" s="46" t="s">
        <v>803</v>
      </c>
      <c r="L1469" s="46"/>
    </row>
    <row r="1470" spans="1:12" x14ac:dyDescent="0.25">
      <c r="A1470" s="46" t="s">
        <v>236</v>
      </c>
      <c r="B1470" s="47">
        <v>42427</v>
      </c>
      <c r="C1470" s="46" t="s">
        <v>565</v>
      </c>
      <c r="D1470" s="46" t="str">
        <f t="shared" si="48"/>
        <v>Grocery</v>
      </c>
      <c r="E1470" s="46" t="s">
        <v>192</v>
      </c>
      <c r="F1470" s="46" t="s">
        <v>238</v>
      </c>
      <c r="G1470" s="46">
        <v>-2.99</v>
      </c>
      <c r="H1470" s="46">
        <f t="shared" si="47"/>
        <v>201602</v>
      </c>
      <c r="I1470" s="46">
        <f>MATCH(D1470,$O:$O,0)</f>
        <v>12</v>
      </c>
      <c r="J1470" s="46" t="s">
        <v>39</v>
      </c>
      <c r="K1470" s="46" t="s">
        <v>803</v>
      </c>
      <c r="L1470" s="46" t="s">
        <v>223</v>
      </c>
    </row>
    <row r="1471" spans="1:12" x14ac:dyDescent="0.25">
      <c r="A1471" s="46" t="s">
        <v>236</v>
      </c>
      <c r="B1471" s="47">
        <v>42427</v>
      </c>
      <c r="C1471" s="46" t="s">
        <v>849</v>
      </c>
      <c r="D1471" s="46" t="str">
        <f t="shared" si="48"/>
        <v>Home Maintainence/Improvement</v>
      </c>
      <c r="E1471" s="46" t="s">
        <v>342</v>
      </c>
      <c r="F1471" s="46" t="s">
        <v>238</v>
      </c>
      <c r="G1471" s="46">
        <v>-125.22</v>
      </c>
      <c r="H1471" s="46">
        <f t="shared" si="47"/>
        <v>201602</v>
      </c>
      <c r="I1471" s="46">
        <f>MATCH(D1471,$O:$O,0)</f>
        <v>16</v>
      </c>
      <c r="J1471" s="46" t="s">
        <v>39</v>
      </c>
      <c r="K1471" s="46" t="s">
        <v>675</v>
      </c>
      <c r="L1471" s="46"/>
    </row>
    <row r="1472" spans="1:12" x14ac:dyDescent="0.25">
      <c r="A1472" s="46" t="s">
        <v>236</v>
      </c>
      <c r="B1472" s="47">
        <v>42428</v>
      </c>
      <c r="C1472" s="46" t="s">
        <v>900</v>
      </c>
      <c r="D1472" s="46" t="str">
        <f t="shared" si="48"/>
        <v>Gas</v>
      </c>
      <c r="E1472" s="46" t="s">
        <v>311</v>
      </c>
      <c r="F1472" s="46" t="s">
        <v>238</v>
      </c>
      <c r="G1472" s="46">
        <v>-24.71</v>
      </c>
      <c r="H1472" s="46">
        <f t="shared" si="47"/>
        <v>201602</v>
      </c>
      <c r="I1472" s="46">
        <f>MATCH(D1472,$O:$O,0)</f>
        <v>30</v>
      </c>
      <c r="J1472" s="46" t="s">
        <v>39</v>
      </c>
      <c r="K1472" s="46" t="s">
        <v>803</v>
      </c>
      <c r="L1472" s="46" t="s">
        <v>200</v>
      </c>
    </row>
    <row r="1473" spans="1:12" x14ac:dyDescent="0.25">
      <c r="A1473" s="46" t="s">
        <v>236</v>
      </c>
      <c r="B1473" s="47">
        <v>42428</v>
      </c>
      <c r="C1473" s="46" t="s">
        <v>917</v>
      </c>
      <c r="D1473" s="46" t="str">
        <f t="shared" si="48"/>
        <v>Grocery</v>
      </c>
      <c r="E1473" s="46" t="s">
        <v>385</v>
      </c>
      <c r="F1473" s="46" t="s">
        <v>238</v>
      </c>
      <c r="G1473" s="46">
        <v>-95.39</v>
      </c>
      <c r="H1473" s="46">
        <f t="shared" si="47"/>
        <v>201602</v>
      </c>
      <c r="I1473" s="46">
        <f>MATCH(D1473,$O:$O,0)</f>
        <v>12</v>
      </c>
      <c r="J1473" s="46" t="s">
        <v>39</v>
      </c>
      <c r="K1473" s="46" t="s">
        <v>628</v>
      </c>
      <c r="L1473" s="46"/>
    </row>
    <row r="1474" spans="1:12" x14ac:dyDescent="0.25">
      <c r="A1474" s="46" t="s">
        <v>236</v>
      </c>
      <c r="B1474" s="47">
        <v>42429</v>
      </c>
      <c r="C1474" s="46" t="s">
        <v>1165</v>
      </c>
      <c r="D1474" s="46" t="str">
        <f t="shared" si="48"/>
        <v>Paychecks/Salary</v>
      </c>
      <c r="E1474" s="46" t="s">
        <v>375</v>
      </c>
      <c r="F1474" s="46" t="s">
        <v>238</v>
      </c>
      <c r="G1474" s="48">
        <v>3429.73</v>
      </c>
      <c r="H1474" s="46">
        <f t="shared" ref="H1474:H1537" si="49">YEAR(B1474)*100+MONTH(B1474)</f>
        <v>201602</v>
      </c>
      <c r="I1474" s="46">
        <f>MATCH(D1474,$O:$O,0)</f>
        <v>40</v>
      </c>
      <c r="J1474" s="46" t="s">
        <v>39</v>
      </c>
      <c r="K1474" s="46" t="s">
        <v>676</v>
      </c>
      <c r="L1474" s="46" t="s">
        <v>200</v>
      </c>
    </row>
    <row r="1475" spans="1:12" x14ac:dyDescent="0.25">
      <c r="A1475" s="46" t="s">
        <v>236</v>
      </c>
      <c r="B1475" s="47">
        <v>42429</v>
      </c>
      <c r="C1475" s="46" t="s">
        <v>646</v>
      </c>
      <c r="D1475" s="46" t="str">
        <f t="shared" si="48"/>
        <v>Cell Phone</v>
      </c>
      <c r="E1475" s="46" t="s">
        <v>224</v>
      </c>
      <c r="F1475" s="46" t="s">
        <v>238</v>
      </c>
      <c r="G1475" s="46">
        <v>-178.25</v>
      </c>
      <c r="H1475" s="46">
        <f t="shared" si="49"/>
        <v>201602</v>
      </c>
      <c r="I1475" s="46">
        <f>MATCH(D1475,$O:$O,0)</f>
        <v>4</v>
      </c>
      <c r="J1475" s="46" t="s">
        <v>39</v>
      </c>
      <c r="K1475" s="46" t="s">
        <v>675</v>
      </c>
      <c r="L1475" s="46" t="s">
        <v>229</v>
      </c>
    </row>
    <row r="1476" spans="1:12" x14ac:dyDescent="0.25">
      <c r="A1476" s="46" t="s">
        <v>236</v>
      </c>
      <c r="B1476" s="47">
        <v>42429</v>
      </c>
      <c r="C1476" s="46" t="s">
        <v>973</v>
      </c>
      <c r="D1476" s="46" t="str">
        <f t="shared" si="48"/>
        <v>D-Restaurant</v>
      </c>
      <c r="E1476" s="46" t="s">
        <v>204</v>
      </c>
      <c r="F1476" s="46" t="s">
        <v>238</v>
      </c>
      <c r="G1476" s="46">
        <v>-36.9</v>
      </c>
      <c r="H1476" s="46">
        <f t="shared" si="49"/>
        <v>201602</v>
      </c>
      <c r="I1476" s="46">
        <f>MATCH(D1476,$O:$O,0)</f>
        <v>9</v>
      </c>
      <c r="J1476" s="46" t="s">
        <v>39</v>
      </c>
      <c r="K1476" s="46" t="s">
        <v>803</v>
      </c>
      <c r="L1476" s="46" t="s">
        <v>200</v>
      </c>
    </row>
    <row r="1477" spans="1:12" x14ac:dyDescent="0.25">
      <c r="A1477" s="46" t="s">
        <v>236</v>
      </c>
      <c r="B1477" s="47">
        <v>42429</v>
      </c>
      <c r="C1477" s="46" t="s">
        <v>775</v>
      </c>
      <c r="D1477" s="46" t="str">
        <f t="shared" si="48"/>
        <v>Grocery</v>
      </c>
      <c r="E1477" s="46" t="s">
        <v>192</v>
      </c>
      <c r="F1477" s="46" t="s">
        <v>238</v>
      </c>
      <c r="G1477" s="46">
        <v>-12.3</v>
      </c>
      <c r="H1477" s="46">
        <f t="shared" si="49"/>
        <v>201602</v>
      </c>
      <c r="I1477" s="46">
        <f>MATCH(D1477,$O:$O,0)</f>
        <v>12</v>
      </c>
      <c r="J1477" s="46" t="s">
        <v>39</v>
      </c>
      <c r="K1477" s="46" t="s">
        <v>628</v>
      </c>
      <c r="L1477" s="46" t="s">
        <v>200</v>
      </c>
    </row>
    <row r="1478" spans="1:12" x14ac:dyDescent="0.25">
      <c r="A1478" s="46" t="s">
        <v>236</v>
      </c>
      <c r="B1478" s="47">
        <v>42429</v>
      </c>
      <c r="C1478" s="46" t="s">
        <v>411</v>
      </c>
      <c r="D1478" s="46" t="str">
        <f t="shared" si="48"/>
        <v>Paychecks/Salary</v>
      </c>
      <c r="E1478" s="46" t="s">
        <v>375</v>
      </c>
      <c r="F1478" s="46" t="s">
        <v>238</v>
      </c>
      <c r="G1478" s="46">
        <v>4</v>
      </c>
      <c r="H1478" s="46">
        <f t="shared" si="49"/>
        <v>201602</v>
      </c>
      <c r="I1478" s="46">
        <f>MATCH(D1478,$O:$O,0)</f>
        <v>40</v>
      </c>
      <c r="J1478" s="46" t="s">
        <v>39</v>
      </c>
      <c r="K1478" s="46" t="s">
        <v>649</v>
      </c>
      <c r="L1478" s="46"/>
    </row>
    <row r="1479" spans="1:12" x14ac:dyDescent="0.25">
      <c r="A1479" s="46" t="s">
        <v>236</v>
      </c>
      <c r="B1479" s="47">
        <v>42429</v>
      </c>
      <c r="C1479" s="46" t="s">
        <v>249</v>
      </c>
      <c r="D1479" s="46" t="str">
        <f t="shared" si="48"/>
        <v>Retirement Contributions</v>
      </c>
      <c r="E1479" s="46" t="s">
        <v>263</v>
      </c>
      <c r="F1479" s="46" t="s">
        <v>238</v>
      </c>
      <c r="G1479" s="46">
        <v>843.75</v>
      </c>
      <c r="H1479" s="46">
        <f t="shared" si="49"/>
        <v>201602</v>
      </c>
      <c r="I1479" s="46">
        <f>MATCH(D1479,$O:$O,0)</f>
        <v>39</v>
      </c>
      <c r="J1479" s="46" t="s">
        <v>39</v>
      </c>
      <c r="K1479" s="46" t="s">
        <v>649</v>
      </c>
      <c r="L1479" s="46" t="s">
        <v>339</v>
      </c>
    </row>
    <row r="1480" spans="1:12" x14ac:dyDescent="0.25">
      <c r="A1480" s="46" t="s">
        <v>236</v>
      </c>
      <c r="B1480" s="47">
        <v>42430</v>
      </c>
      <c r="C1480" s="46" t="s">
        <v>591</v>
      </c>
      <c r="D1480" s="46" t="str">
        <f t="shared" si="48"/>
        <v>Mortgage/Rent</v>
      </c>
      <c r="E1480" s="46" t="s">
        <v>202</v>
      </c>
      <c r="F1480" s="46" t="s">
        <v>238</v>
      </c>
      <c r="G1480" s="48">
        <v>-3116.77</v>
      </c>
      <c r="H1480" s="46">
        <f t="shared" si="49"/>
        <v>201603</v>
      </c>
      <c r="I1480" s="46">
        <f>MATCH(D1480,$O:$O,0)</f>
        <v>21</v>
      </c>
      <c r="J1480" s="46" t="s">
        <v>39</v>
      </c>
      <c r="K1480" s="46" t="s">
        <v>649</v>
      </c>
      <c r="L1480" s="46"/>
    </row>
    <row r="1481" spans="1:12" x14ac:dyDescent="0.25">
      <c r="A1481" s="46" t="s">
        <v>236</v>
      </c>
      <c r="B1481" s="47">
        <v>42430</v>
      </c>
      <c r="C1481" s="46" t="s">
        <v>1163</v>
      </c>
      <c r="D1481" s="46" t="str">
        <f t="shared" si="48"/>
        <v>Credit Card Payments</v>
      </c>
      <c r="E1481" s="46" t="s">
        <v>242</v>
      </c>
      <c r="F1481" s="46" t="s">
        <v>238</v>
      </c>
      <c r="G1481" s="46">
        <v>-500</v>
      </c>
      <c r="H1481" s="46">
        <f t="shared" si="49"/>
        <v>201603</v>
      </c>
      <c r="I1481" s="46">
        <f>MATCH(D1481,$O:$O,0)</f>
        <v>38</v>
      </c>
      <c r="J1481" s="46" t="s">
        <v>39</v>
      </c>
      <c r="K1481" s="46" t="s">
        <v>649</v>
      </c>
      <c r="L1481" s="46"/>
    </row>
    <row r="1482" spans="1:12" x14ac:dyDescent="0.25">
      <c r="A1482" s="46" t="s">
        <v>236</v>
      </c>
      <c r="B1482" s="47">
        <v>42430</v>
      </c>
      <c r="C1482" s="46" t="s">
        <v>1164</v>
      </c>
      <c r="D1482" s="46" t="str">
        <f t="shared" si="48"/>
        <v>Credit Card Payments</v>
      </c>
      <c r="E1482" s="46" t="s">
        <v>242</v>
      </c>
      <c r="F1482" s="46" t="s">
        <v>238</v>
      </c>
      <c r="G1482" s="48">
        <v>-1500</v>
      </c>
      <c r="H1482" s="46">
        <f t="shared" si="49"/>
        <v>201603</v>
      </c>
      <c r="I1482" s="46">
        <f>MATCH(D1482,$O:$O,0)</f>
        <v>38</v>
      </c>
      <c r="J1482" s="46" t="s">
        <v>39</v>
      </c>
      <c r="K1482" s="46" t="s">
        <v>649</v>
      </c>
      <c r="L1482" s="46" t="s">
        <v>252</v>
      </c>
    </row>
    <row r="1483" spans="1:12" x14ac:dyDescent="0.25">
      <c r="A1483" s="46" t="s">
        <v>236</v>
      </c>
      <c r="B1483" s="47">
        <v>42430</v>
      </c>
      <c r="C1483" s="46" t="s">
        <v>557</v>
      </c>
      <c r="D1483" s="46" t="str">
        <f t="shared" si="48"/>
        <v>Credit Card Payments</v>
      </c>
      <c r="E1483" s="46" t="s">
        <v>242</v>
      </c>
      <c r="F1483" s="46" t="s">
        <v>238</v>
      </c>
      <c r="G1483" s="48">
        <v>1500</v>
      </c>
      <c r="H1483" s="46">
        <f t="shared" si="49"/>
        <v>201603</v>
      </c>
      <c r="I1483" s="46">
        <f>MATCH(D1483,$O:$O,0)</f>
        <v>38</v>
      </c>
      <c r="J1483" s="46" t="s">
        <v>39</v>
      </c>
      <c r="K1483" s="46" t="s">
        <v>649</v>
      </c>
      <c r="L1483" s="46"/>
    </row>
    <row r="1484" spans="1:12" x14ac:dyDescent="0.25">
      <c r="A1484" s="46" t="s">
        <v>236</v>
      </c>
      <c r="B1484" s="47">
        <v>42430</v>
      </c>
      <c r="C1484" s="46" t="s">
        <v>565</v>
      </c>
      <c r="D1484" s="46" t="str">
        <f t="shared" si="48"/>
        <v>Grocery</v>
      </c>
      <c r="E1484" s="46" t="s">
        <v>192</v>
      </c>
      <c r="F1484" s="46" t="s">
        <v>238</v>
      </c>
      <c r="G1484" s="46">
        <v>-7.99</v>
      </c>
      <c r="H1484" s="46">
        <f t="shared" si="49"/>
        <v>201603</v>
      </c>
      <c r="I1484" s="46">
        <f>MATCH(D1484,$O:$O,0)</f>
        <v>12</v>
      </c>
      <c r="J1484" s="46" t="s">
        <v>39</v>
      </c>
      <c r="K1484" s="46" t="s">
        <v>649</v>
      </c>
      <c r="L1484" s="46" t="s">
        <v>1133</v>
      </c>
    </row>
    <row r="1485" spans="1:12" x14ac:dyDescent="0.25">
      <c r="A1485" s="46" t="s">
        <v>236</v>
      </c>
      <c r="B1485" s="47">
        <v>42430</v>
      </c>
      <c r="C1485" s="46" t="s">
        <v>845</v>
      </c>
      <c r="D1485" s="46" t="str">
        <f t="shared" si="48"/>
        <v>Credit Card Payments</v>
      </c>
      <c r="E1485" s="46" t="s">
        <v>242</v>
      </c>
      <c r="F1485" s="46" t="s">
        <v>238</v>
      </c>
      <c r="G1485" s="46">
        <v>500</v>
      </c>
      <c r="H1485" s="46">
        <f t="shared" si="49"/>
        <v>201603</v>
      </c>
      <c r="I1485" s="46">
        <f>MATCH(D1485,$O:$O,0)</f>
        <v>38</v>
      </c>
      <c r="J1485" s="46" t="s">
        <v>39</v>
      </c>
      <c r="K1485" s="46" t="s">
        <v>619</v>
      </c>
      <c r="L1485" s="46" t="s">
        <v>1135</v>
      </c>
    </row>
    <row r="1486" spans="1:12" x14ac:dyDescent="0.25">
      <c r="A1486" s="46" t="s">
        <v>236</v>
      </c>
      <c r="B1486" s="47">
        <v>42431</v>
      </c>
      <c r="C1486" s="46" t="s">
        <v>1162</v>
      </c>
      <c r="D1486" s="46" t="str">
        <f t="shared" si="48"/>
        <v>Credit Card Payments</v>
      </c>
      <c r="E1486" s="46" t="s">
        <v>242</v>
      </c>
      <c r="F1486" s="46" t="s">
        <v>238</v>
      </c>
      <c r="G1486" s="46">
        <v>-307.19</v>
      </c>
      <c r="H1486" s="46">
        <f t="shared" si="49"/>
        <v>201603</v>
      </c>
      <c r="I1486" s="46">
        <f>MATCH(D1486,$O:$O,0)</f>
        <v>38</v>
      </c>
      <c r="J1486" s="46" t="s">
        <v>39</v>
      </c>
      <c r="K1486" s="46" t="s">
        <v>619</v>
      </c>
      <c r="L1486" s="46" t="s">
        <v>1137</v>
      </c>
    </row>
    <row r="1487" spans="1:12" x14ac:dyDescent="0.25">
      <c r="A1487" s="46" t="s">
        <v>236</v>
      </c>
      <c r="B1487" s="47">
        <v>42431</v>
      </c>
      <c r="C1487" s="46" t="s">
        <v>435</v>
      </c>
      <c r="D1487" s="46" t="str">
        <f t="shared" si="48"/>
        <v>Credit Card Payments</v>
      </c>
      <c r="E1487" s="46" t="s">
        <v>242</v>
      </c>
      <c r="F1487" s="46" t="s">
        <v>238</v>
      </c>
      <c r="G1487" s="46">
        <v>307.19</v>
      </c>
      <c r="H1487" s="46">
        <f t="shared" si="49"/>
        <v>201603</v>
      </c>
      <c r="I1487" s="46">
        <f>MATCH(D1487,$O:$O,0)</f>
        <v>38</v>
      </c>
      <c r="J1487" s="46" t="s">
        <v>39</v>
      </c>
      <c r="K1487" s="46" t="s">
        <v>619</v>
      </c>
      <c r="L1487" s="46"/>
    </row>
    <row r="1488" spans="1:12" x14ac:dyDescent="0.25">
      <c r="A1488" s="46" t="s">
        <v>236</v>
      </c>
      <c r="B1488" s="47">
        <v>42431</v>
      </c>
      <c r="C1488" s="46" t="s">
        <v>584</v>
      </c>
      <c r="D1488" s="46" t="str">
        <f t="shared" si="48"/>
        <v>Parking</v>
      </c>
      <c r="E1488" s="46" t="s">
        <v>170</v>
      </c>
      <c r="F1488" s="46" t="s">
        <v>238</v>
      </c>
      <c r="G1488" s="46">
        <v>-3.5</v>
      </c>
      <c r="H1488" s="46">
        <f t="shared" si="49"/>
        <v>201603</v>
      </c>
      <c r="I1488" s="46">
        <f>MATCH(D1488,$O:$O,0)</f>
        <v>32</v>
      </c>
      <c r="J1488" s="46" t="s">
        <v>39</v>
      </c>
      <c r="K1488" s="46" t="s">
        <v>649</v>
      </c>
      <c r="L1488" s="46" t="s">
        <v>939</v>
      </c>
    </row>
    <row r="1489" spans="1:12" x14ac:dyDescent="0.25">
      <c r="A1489" s="46" t="s">
        <v>236</v>
      </c>
      <c r="B1489" s="47">
        <v>42431</v>
      </c>
      <c r="C1489" s="46" t="s">
        <v>849</v>
      </c>
      <c r="D1489" s="46" t="str">
        <f t="shared" si="48"/>
        <v>Home Maintainence/Improvement</v>
      </c>
      <c r="E1489" s="46" t="s">
        <v>342</v>
      </c>
      <c r="F1489" s="46" t="s">
        <v>238</v>
      </c>
      <c r="G1489" s="46">
        <v>-16.32</v>
      </c>
      <c r="H1489" s="46">
        <f t="shared" si="49"/>
        <v>201603</v>
      </c>
      <c r="I1489" s="46">
        <f>MATCH(D1489,$O:$O,0)</f>
        <v>16</v>
      </c>
      <c r="J1489" s="46" t="s">
        <v>39</v>
      </c>
      <c r="K1489" s="46" t="s">
        <v>649</v>
      </c>
      <c r="L1489" s="46" t="s">
        <v>939</v>
      </c>
    </row>
    <row r="1490" spans="1:12" x14ac:dyDescent="0.25">
      <c r="A1490" s="46" t="s">
        <v>236</v>
      </c>
      <c r="B1490" s="47">
        <v>42431</v>
      </c>
      <c r="C1490" s="46" t="s">
        <v>249</v>
      </c>
      <c r="D1490" s="46" t="str">
        <f t="shared" si="48"/>
        <v>Retirement Contributions</v>
      </c>
      <c r="E1490" s="46" t="s">
        <v>263</v>
      </c>
      <c r="F1490" s="46" t="s">
        <v>238</v>
      </c>
      <c r="G1490" s="48">
        <v>8471.67</v>
      </c>
      <c r="H1490" s="46">
        <f t="shared" si="49"/>
        <v>201603</v>
      </c>
      <c r="I1490" s="46">
        <f>MATCH(D1490,$O:$O,0)</f>
        <v>39</v>
      </c>
      <c r="J1490" s="46" t="s">
        <v>39</v>
      </c>
      <c r="K1490" s="46" t="s">
        <v>803</v>
      </c>
      <c r="L1490" s="46" t="s">
        <v>939</v>
      </c>
    </row>
    <row r="1491" spans="1:12" x14ac:dyDescent="0.25">
      <c r="A1491" s="46" t="s">
        <v>236</v>
      </c>
      <c r="B1491" s="47">
        <v>42432</v>
      </c>
      <c r="C1491" s="46" t="s">
        <v>1158</v>
      </c>
      <c r="D1491" s="46" t="str">
        <f t="shared" si="48"/>
        <v>Cash Rebate</v>
      </c>
      <c r="E1491" s="46" t="s">
        <v>1050</v>
      </c>
      <c r="F1491" s="46" t="s">
        <v>238</v>
      </c>
      <c r="G1491" s="46">
        <v>52.49</v>
      </c>
      <c r="H1491" s="46">
        <f t="shared" si="49"/>
        <v>201603</v>
      </c>
      <c r="I1491" s="46">
        <f>MATCH(D1491,$O:$O,0)</f>
        <v>42</v>
      </c>
      <c r="J1491" s="46" t="s">
        <v>39</v>
      </c>
      <c r="K1491" s="46" t="s">
        <v>803</v>
      </c>
      <c r="L1491" s="46" t="s">
        <v>1143</v>
      </c>
    </row>
    <row r="1492" spans="1:12" x14ac:dyDescent="0.25">
      <c r="A1492" s="46" t="s">
        <v>236</v>
      </c>
      <c r="B1492" s="47">
        <v>42432</v>
      </c>
      <c r="C1492" s="46" t="s">
        <v>1159</v>
      </c>
      <c r="D1492" s="46" t="str">
        <f t="shared" si="48"/>
        <v>D-Restaurant</v>
      </c>
      <c r="E1492" s="46" t="s">
        <v>204</v>
      </c>
      <c r="F1492" s="46" t="s">
        <v>238</v>
      </c>
      <c r="G1492" s="46">
        <v>-9.14</v>
      </c>
      <c r="H1492" s="46">
        <f t="shared" si="49"/>
        <v>201603</v>
      </c>
      <c r="I1492" s="46">
        <f>MATCH(D1492,$O:$O,0)</f>
        <v>9</v>
      </c>
      <c r="J1492" s="46" t="s">
        <v>39</v>
      </c>
      <c r="K1492" s="46" t="s">
        <v>619</v>
      </c>
      <c r="L1492" s="46" t="s">
        <v>1145</v>
      </c>
    </row>
    <row r="1493" spans="1:12" x14ac:dyDescent="0.25">
      <c r="A1493" s="46" t="s">
        <v>236</v>
      </c>
      <c r="B1493" s="47">
        <v>42432</v>
      </c>
      <c r="C1493" s="46" t="s">
        <v>1160</v>
      </c>
      <c r="D1493" s="46" t="str">
        <f t="shared" si="48"/>
        <v>Gifts</v>
      </c>
      <c r="E1493" s="46" t="s">
        <v>40</v>
      </c>
      <c r="F1493" s="46" t="s">
        <v>238</v>
      </c>
      <c r="G1493" s="46">
        <v>-8.75</v>
      </c>
      <c r="H1493" s="46">
        <f t="shared" si="49"/>
        <v>201603</v>
      </c>
      <c r="I1493" s="46">
        <f>MATCH(D1493,$O:$O,0)</f>
        <v>11</v>
      </c>
      <c r="J1493" s="46" t="s">
        <v>39</v>
      </c>
      <c r="K1493" s="46" t="s">
        <v>649</v>
      </c>
      <c r="L1493" s="46" t="s">
        <v>239</v>
      </c>
    </row>
    <row r="1494" spans="1:12" x14ac:dyDescent="0.25">
      <c r="A1494" s="46" t="s">
        <v>236</v>
      </c>
      <c r="B1494" s="47">
        <v>42432</v>
      </c>
      <c r="C1494" s="46" t="s">
        <v>575</v>
      </c>
      <c r="D1494" s="46" t="str">
        <f t="shared" si="48"/>
        <v>D-Restaurant</v>
      </c>
      <c r="E1494" s="46" t="s">
        <v>204</v>
      </c>
      <c r="F1494" s="46" t="s">
        <v>238</v>
      </c>
      <c r="G1494" s="46">
        <v>-4.55</v>
      </c>
      <c r="H1494" s="46">
        <f t="shared" si="49"/>
        <v>201603</v>
      </c>
      <c r="I1494" s="46">
        <f>MATCH(D1494,$O:$O,0)</f>
        <v>9</v>
      </c>
      <c r="J1494" s="46" t="s">
        <v>39</v>
      </c>
      <c r="K1494" s="46" t="s">
        <v>649</v>
      </c>
      <c r="L1494" s="46" t="s">
        <v>1148</v>
      </c>
    </row>
    <row r="1495" spans="1:12" x14ac:dyDescent="0.25">
      <c r="A1495" s="46" t="s">
        <v>236</v>
      </c>
      <c r="B1495" s="47">
        <v>42433</v>
      </c>
      <c r="C1495" s="46" t="s">
        <v>1155</v>
      </c>
      <c r="D1495" s="46" t="str">
        <f t="shared" si="48"/>
        <v>Car Related</v>
      </c>
      <c r="E1495" s="46" t="s">
        <v>185</v>
      </c>
      <c r="F1495" s="46" t="s">
        <v>238</v>
      </c>
      <c r="G1495" s="46">
        <v>-321.52</v>
      </c>
      <c r="H1495" s="46">
        <f t="shared" si="49"/>
        <v>201603</v>
      </c>
      <c r="I1495" s="46">
        <f>MATCH(D1495,$O:$O,0)</f>
        <v>31</v>
      </c>
      <c r="J1495" s="46" t="s">
        <v>39</v>
      </c>
      <c r="K1495" s="46" t="s">
        <v>619</v>
      </c>
      <c r="L1495" s="46"/>
    </row>
    <row r="1496" spans="1:12" x14ac:dyDescent="0.25">
      <c r="A1496" s="46" t="s">
        <v>236</v>
      </c>
      <c r="B1496" s="47">
        <v>42433</v>
      </c>
      <c r="C1496" s="46" t="s">
        <v>1157</v>
      </c>
      <c r="D1496" s="46" t="str">
        <f t="shared" si="48"/>
        <v>Gifts</v>
      </c>
      <c r="E1496" s="46" t="s">
        <v>40</v>
      </c>
      <c r="F1496" s="46" t="s">
        <v>238</v>
      </c>
      <c r="G1496" s="46">
        <v>-50</v>
      </c>
      <c r="H1496" s="46">
        <f t="shared" si="49"/>
        <v>201603</v>
      </c>
      <c r="I1496" s="46">
        <f>MATCH(D1496,$O:$O,0)</f>
        <v>11</v>
      </c>
      <c r="J1496" s="46" t="s">
        <v>39</v>
      </c>
      <c r="K1496" s="46" t="s">
        <v>676</v>
      </c>
      <c r="L1496" s="46"/>
    </row>
    <row r="1497" spans="1:12" x14ac:dyDescent="0.25">
      <c r="A1497" s="46" t="s">
        <v>236</v>
      </c>
      <c r="B1497" s="47">
        <v>42433</v>
      </c>
      <c r="C1497" s="46" t="s">
        <v>1063</v>
      </c>
      <c r="D1497" s="46" t="str">
        <f t="shared" si="48"/>
        <v>D-Restaurant</v>
      </c>
      <c r="E1497" s="46" t="s">
        <v>204</v>
      </c>
      <c r="F1497" s="46" t="s">
        <v>238</v>
      </c>
      <c r="G1497" s="46">
        <v>-4.8</v>
      </c>
      <c r="H1497" s="46">
        <f t="shared" si="49"/>
        <v>201603</v>
      </c>
      <c r="I1497" s="46">
        <f>MATCH(D1497,$O:$O,0)</f>
        <v>9</v>
      </c>
      <c r="J1497" s="46" t="s">
        <v>39</v>
      </c>
      <c r="K1497" s="46" t="s">
        <v>649</v>
      </c>
      <c r="L1497" s="46" t="s">
        <v>1151</v>
      </c>
    </row>
    <row r="1498" spans="1:12" x14ac:dyDescent="0.25">
      <c r="A1498" s="46" t="s">
        <v>236</v>
      </c>
      <c r="B1498" s="47">
        <v>42434</v>
      </c>
      <c r="C1498" s="46" t="s">
        <v>565</v>
      </c>
      <c r="D1498" s="46" t="str">
        <f t="shared" si="48"/>
        <v>Grocery</v>
      </c>
      <c r="E1498" s="46" t="s">
        <v>192</v>
      </c>
      <c r="F1498" s="46" t="s">
        <v>238</v>
      </c>
      <c r="G1498" s="46">
        <v>-6.17</v>
      </c>
      <c r="H1498" s="46">
        <f t="shared" si="49"/>
        <v>201603</v>
      </c>
      <c r="I1498" s="46">
        <f>MATCH(D1498,$O:$O,0)</f>
        <v>12</v>
      </c>
      <c r="J1498" s="46" t="s">
        <v>39</v>
      </c>
      <c r="K1498" s="46" t="s">
        <v>649</v>
      </c>
      <c r="L1498" s="46" t="s">
        <v>939</v>
      </c>
    </row>
    <row r="1499" spans="1:12" x14ac:dyDescent="0.25">
      <c r="A1499" s="46" t="s">
        <v>236</v>
      </c>
      <c r="B1499" s="47">
        <v>42434</v>
      </c>
      <c r="C1499" s="46" t="s">
        <v>1154</v>
      </c>
      <c r="D1499" s="46" t="str">
        <f t="shared" si="48"/>
        <v>Parent support</v>
      </c>
      <c r="E1499" s="46" t="s">
        <v>1002</v>
      </c>
      <c r="F1499" s="46" t="s">
        <v>238</v>
      </c>
      <c r="G1499" s="46">
        <v>-22.55</v>
      </c>
      <c r="H1499" s="46">
        <f t="shared" si="49"/>
        <v>201603</v>
      </c>
      <c r="I1499" s="46">
        <f>MATCH(D1499,$O:$O,0)</f>
        <v>24</v>
      </c>
      <c r="J1499" s="46" t="s">
        <v>39</v>
      </c>
      <c r="K1499" s="46" t="s">
        <v>649</v>
      </c>
      <c r="L1499" s="46" t="s">
        <v>723</v>
      </c>
    </row>
    <row r="1500" spans="1:12" x14ac:dyDescent="0.25">
      <c r="A1500" s="46" t="s">
        <v>236</v>
      </c>
      <c r="B1500" s="47">
        <v>42436</v>
      </c>
      <c r="C1500" s="46" t="s">
        <v>1153</v>
      </c>
      <c r="D1500" s="46" t="str">
        <f t="shared" si="48"/>
        <v>Paychecks/Salary</v>
      </c>
      <c r="E1500" s="46" t="s">
        <v>375</v>
      </c>
      <c r="F1500" s="46" t="s">
        <v>238</v>
      </c>
      <c r="G1500" s="46">
        <v>104.09</v>
      </c>
      <c r="H1500" s="46">
        <f t="shared" si="49"/>
        <v>201603</v>
      </c>
      <c r="I1500" s="46">
        <f>MATCH(D1500,$O:$O,0)</f>
        <v>40</v>
      </c>
      <c r="J1500" s="46" t="s">
        <v>39</v>
      </c>
      <c r="K1500" s="46" t="s">
        <v>649</v>
      </c>
      <c r="L1500" s="46" t="s">
        <v>1151</v>
      </c>
    </row>
    <row r="1501" spans="1:12" x14ac:dyDescent="0.25">
      <c r="A1501" s="46" t="s">
        <v>236</v>
      </c>
      <c r="B1501" s="47">
        <v>42436</v>
      </c>
      <c r="C1501" s="46" t="s">
        <v>1150</v>
      </c>
      <c r="D1501" s="46" t="str">
        <f t="shared" si="48"/>
        <v>Gifts</v>
      </c>
      <c r="E1501" s="46" t="s">
        <v>40</v>
      </c>
      <c r="F1501" s="46" t="s">
        <v>238</v>
      </c>
      <c r="G1501" s="46">
        <v>-38.9</v>
      </c>
      <c r="H1501" s="46">
        <f t="shared" si="49"/>
        <v>201603</v>
      </c>
      <c r="I1501" s="46">
        <f>MATCH(D1501,$O:$O,0)</f>
        <v>11</v>
      </c>
      <c r="J1501" s="46" t="s">
        <v>39</v>
      </c>
      <c r="K1501" s="46" t="s">
        <v>649</v>
      </c>
      <c r="L1501" s="46" t="s">
        <v>252</v>
      </c>
    </row>
    <row r="1502" spans="1:12" x14ac:dyDescent="0.25">
      <c r="A1502" s="46" t="s">
        <v>236</v>
      </c>
      <c r="B1502" s="47">
        <v>42436</v>
      </c>
      <c r="C1502" s="46" t="s">
        <v>565</v>
      </c>
      <c r="D1502" s="46" t="str">
        <f t="shared" si="48"/>
        <v>Grocery</v>
      </c>
      <c r="E1502" s="46" t="s">
        <v>192</v>
      </c>
      <c r="F1502" s="46" t="s">
        <v>238</v>
      </c>
      <c r="G1502" s="46">
        <v>-2.5</v>
      </c>
      <c r="H1502" s="46">
        <f t="shared" si="49"/>
        <v>201603</v>
      </c>
      <c r="I1502" s="46">
        <f>MATCH(D1502,$O:$O,0)</f>
        <v>12</v>
      </c>
      <c r="J1502" s="46" t="s">
        <v>39</v>
      </c>
      <c r="K1502" s="46" t="s">
        <v>649</v>
      </c>
      <c r="L1502" s="46" t="s">
        <v>351</v>
      </c>
    </row>
    <row r="1503" spans="1:12" x14ac:dyDescent="0.25">
      <c r="A1503" s="46" t="s">
        <v>236</v>
      </c>
      <c r="B1503" s="47">
        <v>42436</v>
      </c>
      <c r="C1503" s="46" t="s">
        <v>849</v>
      </c>
      <c r="D1503" s="46" t="str">
        <f t="shared" si="48"/>
        <v>Home Maintainence/Improvement</v>
      </c>
      <c r="E1503" s="46" t="s">
        <v>342</v>
      </c>
      <c r="F1503" s="46" t="s">
        <v>238</v>
      </c>
      <c r="G1503" s="46">
        <v>-39.75</v>
      </c>
      <c r="H1503" s="46">
        <f t="shared" si="49"/>
        <v>201603</v>
      </c>
      <c r="I1503" s="46">
        <f>MATCH(D1503,$O:$O,0)</f>
        <v>16</v>
      </c>
      <c r="J1503" s="46" t="s">
        <v>39</v>
      </c>
      <c r="K1503" s="46" t="s">
        <v>675</v>
      </c>
      <c r="L1503" s="46" t="s">
        <v>340</v>
      </c>
    </row>
    <row r="1504" spans="1:12" x14ac:dyDescent="0.25">
      <c r="A1504" s="46" t="s">
        <v>236</v>
      </c>
      <c r="B1504" s="47">
        <v>42436</v>
      </c>
      <c r="C1504" s="46" t="s">
        <v>682</v>
      </c>
      <c r="D1504" s="46" t="str">
        <f t="shared" si="48"/>
        <v>Parking</v>
      </c>
      <c r="E1504" s="46" t="s">
        <v>170</v>
      </c>
      <c r="F1504" s="46" t="s">
        <v>238</v>
      </c>
      <c r="G1504" s="46">
        <v>-4</v>
      </c>
      <c r="H1504" s="46">
        <f t="shared" si="49"/>
        <v>201603</v>
      </c>
      <c r="I1504" s="46">
        <f>MATCH(D1504,$O:$O,0)</f>
        <v>32</v>
      </c>
      <c r="J1504" s="46" t="s">
        <v>39</v>
      </c>
      <c r="K1504" s="46" t="s">
        <v>649</v>
      </c>
      <c r="L1504" s="46" t="s">
        <v>252</v>
      </c>
    </row>
    <row r="1505" spans="1:12" x14ac:dyDescent="0.25">
      <c r="A1505" s="46" t="s">
        <v>236</v>
      </c>
      <c r="B1505" s="47">
        <v>42437</v>
      </c>
      <c r="C1505" s="46" t="s">
        <v>1152</v>
      </c>
      <c r="D1505" s="46" t="str">
        <f t="shared" si="48"/>
        <v>Taxi and Rental</v>
      </c>
      <c r="E1505" s="46" t="s">
        <v>1206</v>
      </c>
      <c r="F1505" s="46" t="s">
        <v>238</v>
      </c>
      <c r="G1505" s="46">
        <v>-11.14</v>
      </c>
      <c r="H1505" s="46">
        <f t="shared" si="49"/>
        <v>201603</v>
      </c>
      <c r="I1505" s="46">
        <f>MATCH(D1505,$O:$O,0)</f>
        <v>28</v>
      </c>
      <c r="J1505" s="46" t="s">
        <v>39</v>
      </c>
      <c r="K1505" s="46" t="s">
        <v>649</v>
      </c>
      <c r="L1505" s="46"/>
    </row>
    <row r="1506" spans="1:12" x14ac:dyDescent="0.25">
      <c r="A1506" s="46" t="s">
        <v>236</v>
      </c>
      <c r="B1506" s="47">
        <v>42438</v>
      </c>
      <c r="C1506" s="46" t="s">
        <v>1146</v>
      </c>
      <c r="D1506" s="46" t="str">
        <f t="shared" si="48"/>
        <v>Seattle House</v>
      </c>
      <c r="E1506" s="46" t="s">
        <v>1207</v>
      </c>
      <c r="F1506" s="46" t="s">
        <v>238</v>
      </c>
      <c r="G1506" s="46">
        <v>-30</v>
      </c>
      <c r="H1506" s="46">
        <f t="shared" si="49"/>
        <v>201603</v>
      </c>
      <c r="I1506" s="46">
        <f>MATCH(D1506,$O:$O,0)</f>
        <v>43</v>
      </c>
      <c r="J1506" s="46" t="s">
        <v>39</v>
      </c>
      <c r="K1506" s="46" t="s">
        <v>803</v>
      </c>
      <c r="L1506" s="46" t="s">
        <v>1156</v>
      </c>
    </row>
    <row r="1507" spans="1:12" x14ac:dyDescent="0.25">
      <c r="A1507" s="46" t="s">
        <v>236</v>
      </c>
      <c r="B1507" s="47">
        <v>42438</v>
      </c>
      <c r="C1507" s="46" t="s">
        <v>1147</v>
      </c>
      <c r="D1507" s="46" t="str">
        <f t="shared" si="48"/>
        <v>Seattle House</v>
      </c>
      <c r="E1507" s="46" t="s">
        <v>1207</v>
      </c>
      <c r="F1507" s="46" t="s">
        <v>238</v>
      </c>
      <c r="G1507" s="48">
        <v>-10000</v>
      </c>
      <c r="H1507" s="46">
        <f t="shared" si="49"/>
        <v>201603</v>
      </c>
      <c r="I1507" s="46">
        <f>MATCH(D1507,$O:$O,0)</f>
        <v>43</v>
      </c>
      <c r="J1507" s="46" t="s">
        <v>39</v>
      </c>
      <c r="K1507" s="46" t="s">
        <v>619</v>
      </c>
      <c r="L1507" s="46"/>
    </row>
    <row r="1508" spans="1:12" x14ac:dyDescent="0.25">
      <c r="A1508" s="46" t="s">
        <v>236</v>
      </c>
      <c r="B1508" s="47">
        <v>42438</v>
      </c>
      <c r="C1508" s="46" t="s">
        <v>1149</v>
      </c>
      <c r="D1508" s="46" t="str">
        <f t="shared" ref="D1508:D1571" si="50">IF(ISNA(VLOOKUP(E1508,$L$2:$M$26,2,FALSE)),E1508,VLOOKUP(E1508,$L$2:$M$26,2,FALSE))</f>
        <v>Newspapers</v>
      </c>
      <c r="E1508" s="46" t="s">
        <v>35</v>
      </c>
      <c r="F1508" s="46" t="s">
        <v>238</v>
      </c>
      <c r="G1508" s="46">
        <v>-14.99</v>
      </c>
      <c r="H1508" s="46">
        <f t="shared" si="49"/>
        <v>201603</v>
      </c>
      <c r="I1508" s="46">
        <f>MATCH(D1508,$O:$O,0)</f>
        <v>23</v>
      </c>
      <c r="J1508" s="46" t="s">
        <v>39</v>
      </c>
      <c r="K1508" s="46" t="s">
        <v>649</v>
      </c>
      <c r="L1508" s="46"/>
    </row>
    <row r="1509" spans="1:12" x14ac:dyDescent="0.25">
      <c r="A1509" s="46" t="s">
        <v>236</v>
      </c>
      <c r="B1509" s="47">
        <v>42438</v>
      </c>
      <c r="C1509" s="46" t="s">
        <v>923</v>
      </c>
      <c r="D1509" s="46" t="str">
        <f t="shared" si="50"/>
        <v>D-Restaurant</v>
      </c>
      <c r="E1509" s="46" t="s">
        <v>204</v>
      </c>
      <c r="F1509" s="46" t="s">
        <v>238</v>
      </c>
      <c r="G1509" s="46">
        <v>-56</v>
      </c>
      <c r="H1509" s="46">
        <f t="shared" si="49"/>
        <v>201603</v>
      </c>
      <c r="I1509" s="46">
        <f>MATCH(D1509,$O:$O,0)</f>
        <v>9</v>
      </c>
      <c r="J1509" s="46" t="s">
        <v>39</v>
      </c>
      <c r="K1509" s="46" t="s">
        <v>649</v>
      </c>
      <c r="L1509" s="46"/>
    </row>
    <row r="1510" spans="1:12" x14ac:dyDescent="0.25">
      <c r="A1510" s="46" t="s">
        <v>236</v>
      </c>
      <c r="B1510" s="47">
        <v>42438</v>
      </c>
      <c r="C1510" s="46" t="s">
        <v>1150</v>
      </c>
      <c r="D1510" s="46" t="str">
        <f t="shared" si="50"/>
        <v>Gifts</v>
      </c>
      <c r="E1510" s="46" t="s">
        <v>40</v>
      </c>
      <c r="F1510" s="46" t="s">
        <v>238</v>
      </c>
      <c r="G1510" s="46">
        <v>-23.95</v>
      </c>
      <c r="H1510" s="46">
        <f t="shared" si="49"/>
        <v>201603</v>
      </c>
      <c r="I1510" s="46">
        <f>MATCH(D1510,$O:$O,0)</f>
        <v>11</v>
      </c>
      <c r="J1510" s="46" t="s">
        <v>39</v>
      </c>
      <c r="K1510" s="46" t="s">
        <v>803</v>
      </c>
      <c r="L1510" s="46" t="s">
        <v>354</v>
      </c>
    </row>
    <row r="1511" spans="1:12" x14ac:dyDescent="0.25">
      <c r="A1511" s="46" t="s">
        <v>236</v>
      </c>
      <c r="B1511" s="47">
        <v>42439</v>
      </c>
      <c r="C1511" s="46" t="s">
        <v>1139</v>
      </c>
      <c r="D1511" s="46" t="str">
        <f t="shared" si="50"/>
        <v>Taxi and Rental</v>
      </c>
      <c r="E1511" s="46" t="s">
        <v>1206</v>
      </c>
      <c r="F1511" s="46" t="s">
        <v>238</v>
      </c>
      <c r="G1511" s="46">
        <v>-36.9</v>
      </c>
      <c r="H1511" s="46">
        <f t="shared" si="49"/>
        <v>201603</v>
      </c>
      <c r="I1511" s="46">
        <f>MATCH(D1511,$O:$O,0)</f>
        <v>28</v>
      </c>
      <c r="J1511" s="46" t="s">
        <v>39</v>
      </c>
      <c r="K1511" s="46" t="s">
        <v>619</v>
      </c>
      <c r="L1511" s="46" t="s">
        <v>1161</v>
      </c>
    </row>
    <row r="1512" spans="1:12" x14ac:dyDescent="0.25">
      <c r="A1512" s="46" t="s">
        <v>236</v>
      </c>
      <c r="B1512" s="47">
        <v>42439</v>
      </c>
      <c r="C1512" s="46" t="s">
        <v>1140</v>
      </c>
      <c r="D1512" s="46" t="str">
        <f t="shared" si="50"/>
        <v>Taxi and Rental</v>
      </c>
      <c r="E1512" s="46" t="s">
        <v>1206</v>
      </c>
      <c r="F1512" s="46" t="s">
        <v>238</v>
      </c>
      <c r="G1512" s="46">
        <v>-22.45</v>
      </c>
      <c r="H1512" s="46">
        <f t="shared" si="49"/>
        <v>201603</v>
      </c>
      <c r="I1512" s="46">
        <f>MATCH(D1512,$O:$O,0)</f>
        <v>28</v>
      </c>
      <c r="J1512" s="46" t="s">
        <v>39</v>
      </c>
      <c r="K1512" s="46" t="s">
        <v>649</v>
      </c>
      <c r="L1512" s="46"/>
    </row>
    <row r="1513" spans="1:12" x14ac:dyDescent="0.25">
      <c r="A1513" s="46" t="s">
        <v>236</v>
      </c>
      <c r="B1513" s="47">
        <v>42439</v>
      </c>
      <c r="C1513" s="46" t="s">
        <v>1141</v>
      </c>
      <c r="D1513" s="46" t="str">
        <f t="shared" si="50"/>
        <v>Taxi and Rental</v>
      </c>
      <c r="E1513" s="46" t="s">
        <v>1206</v>
      </c>
      <c r="F1513" s="46" t="s">
        <v>238</v>
      </c>
      <c r="G1513" s="46">
        <v>-23.99</v>
      </c>
      <c r="H1513" s="46">
        <f t="shared" si="49"/>
        <v>201603</v>
      </c>
      <c r="I1513" s="46">
        <f>MATCH(D1513,$O:$O,0)</f>
        <v>28</v>
      </c>
      <c r="J1513" s="46" t="s">
        <v>39</v>
      </c>
      <c r="K1513" s="46" t="s">
        <v>649</v>
      </c>
      <c r="L1513" s="46"/>
    </row>
    <row r="1514" spans="1:12" x14ac:dyDescent="0.25">
      <c r="A1514" s="46" t="s">
        <v>236</v>
      </c>
      <c r="B1514" s="47">
        <v>42439</v>
      </c>
      <c r="C1514" s="46" t="s">
        <v>1142</v>
      </c>
      <c r="D1514" s="46" t="str">
        <f t="shared" si="50"/>
        <v>Public Transit</v>
      </c>
      <c r="E1514" s="46" t="s">
        <v>90</v>
      </c>
      <c r="F1514" s="46" t="s">
        <v>238</v>
      </c>
      <c r="G1514" s="46">
        <v>-3</v>
      </c>
      <c r="H1514" s="46">
        <f t="shared" si="49"/>
        <v>201603</v>
      </c>
      <c r="I1514" s="46">
        <f>MATCH(D1514,$O:$O,0)</f>
        <v>25</v>
      </c>
      <c r="J1514" s="46" t="s">
        <v>39</v>
      </c>
      <c r="K1514" s="46" t="s">
        <v>632</v>
      </c>
      <c r="L1514" s="46"/>
    </row>
    <row r="1515" spans="1:12" x14ac:dyDescent="0.25">
      <c r="A1515" s="46" t="s">
        <v>236</v>
      </c>
      <c r="B1515" s="47">
        <v>42439</v>
      </c>
      <c r="C1515" s="46" t="s">
        <v>1144</v>
      </c>
      <c r="D1515" s="46" t="str">
        <f t="shared" si="50"/>
        <v>D-Restaurant</v>
      </c>
      <c r="E1515" s="46" t="s">
        <v>204</v>
      </c>
      <c r="F1515" s="46" t="s">
        <v>238</v>
      </c>
      <c r="G1515" s="46">
        <v>-1.9</v>
      </c>
      <c r="H1515" s="46">
        <f t="shared" si="49"/>
        <v>201603</v>
      </c>
      <c r="I1515" s="46">
        <f>MATCH(D1515,$O:$O,0)</f>
        <v>9</v>
      </c>
      <c r="J1515" s="46" t="s">
        <v>39</v>
      </c>
      <c r="K1515" s="46" t="s">
        <v>803</v>
      </c>
      <c r="L1515" s="46"/>
    </row>
    <row r="1516" spans="1:12" x14ac:dyDescent="0.25">
      <c r="A1516" s="46" t="s">
        <v>236</v>
      </c>
      <c r="B1516" s="47">
        <v>42440</v>
      </c>
      <c r="C1516" s="46" t="s">
        <v>1136</v>
      </c>
      <c r="D1516" s="46" t="str">
        <f t="shared" si="50"/>
        <v>D-Restaurant</v>
      </c>
      <c r="E1516" s="46" t="s">
        <v>204</v>
      </c>
      <c r="F1516" s="46" t="s">
        <v>238</v>
      </c>
      <c r="G1516" s="46">
        <v>-56.8</v>
      </c>
      <c r="H1516" s="46">
        <f t="shared" si="49"/>
        <v>201603</v>
      </c>
      <c r="I1516" s="46">
        <f>MATCH(D1516,$O:$O,0)</f>
        <v>9</v>
      </c>
      <c r="J1516" s="46" t="s">
        <v>39</v>
      </c>
      <c r="K1516" s="46" t="s">
        <v>675</v>
      </c>
      <c r="L1516" s="46"/>
    </row>
    <row r="1517" spans="1:12" x14ac:dyDescent="0.25">
      <c r="A1517" s="46" t="s">
        <v>236</v>
      </c>
      <c r="B1517" s="47">
        <v>42440</v>
      </c>
      <c r="C1517" s="46" t="s">
        <v>1138</v>
      </c>
      <c r="D1517" s="46" t="str">
        <f t="shared" si="50"/>
        <v>D-Restaurant</v>
      </c>
      <c r="E1517" s="46" t="s">
        <v>204</v>
      </c>
      <c r="F1517" s="46" t="s">
        <v>238</v>
      </c>
      <c r="G1517" s="46">
        <v>-17.420000000000002</v>
      </c>
      <c r="H1517" s="46">
        <f t="shared" si="49"/>
        <v>201603</v>
      </c>
      <c r="I1517" s="46">
        <f>MATCH(D1517,$O:$O,0)</f>
        <v>9</v>
      </c>
      <c r="J1517" s="46" t="s">
        <v>39</v>
      </c>
      <c r="K1517" s="46" t="s">
        <v>803</v>
      </c>
      <c r="L1517" s="46"/>
    </row>
    <row r="1518" spans="1:12" x14ac:dyDescent="0.25">
      <c r="A1518" s="46" t="s">
        <v>236</v>
      </c>
      <c r="B1518" s="47">
        <v>42441</v>
      </c>
      <c r="C1518" s="46" t="s">
        <v>1134</v>
      </c>
      <c r="D1518" s="46" t="str">
        <f t="shared" si="50"/>
        <v>Grocery</v>
      </c>
      <c r="E1518" s="46" t="s">
        <v>385</v>
      </c>
      <c r="F1518" s="46" t="s">
        <v>238</v>
      </c>
      <c r="G1518" s="46">
        <v>-2.83</v>
      </c>
      <c r="H1518" s="46">
        <f t="shared" si="49"/>
        <v>201603</v>
      </c>
      <c r="I1518" s="46">
        <f>MATCH(D1518,$O:$O,0)</f>
        <v>12</v>
      </c>
      <c r="J1518" s="46" t="s">
        <v>39</v>
      </c>
      <c r="K1518" s="46" t="s">
        <v>630</v>
      </c>
      <c r="L1518" s="46"/>
    </row>
    <row r="1519" spans="1:12" x14ac:dyDescent="0.25">
      <c r="A1519" s="46" t="s">
        <v>236</v>
      </c>
      <c r="B1519" s="47">
        <v>42443</v>
      </c>
      <c r="C1519" s="46" t="s">
        <v>1131</v>
      </c>
      <c r="D1519" s="46" t="str">
        <f t="shared" si="50"/>
        <v>Movies/Software/Online Service</v>
      </c>
      <c r="E1519" s="46" t="s">
        <v>167</v>
      </c>
      <c r="F1519" s="46" t="s">
        <v>238</v>
      </c>
      <c r="G1519" s="46">
        <v>-148</v>
      </c>
      <c r="H1519" s="46">
        <f t="shared" si="49"/>
        <v>201603</v>
      </c>
      <c r="I1519" s="46">
        <f>MATCH(D1519,$O:$O,0)</f>
        <v>22</v>
      </c>
      <c r="J1519" s="46" t="s">
        <v>39</v>
      </c>
      <c r="K1519" s="46" t="s">
        <v>649</v>
      </c>
      <c r="L1519" s="46"/>
    </row>
    <row r="1520" spans="1:12" x14ac:dyDescent="0.25">
      <c r="A1520" s="46" t="s">
        <v>236</v>
      </c>
      <c r="B1520" s="47">
        <v>42443</v>
      </c>
      <c r="C1520" s="46" t="s">
        <v>1132</v>
      </c>
      <c r="D1520" s="46" t="str">
        <f t="shared" si="50"/>
        <v>D-Restaurant</v>
      </c>
      <c r="E1520" s="46" t="s">
        <v>204</v>
      </c>
      <c r="F1520" s="46" t="s">
        <v>238</v>
      </c>
      <c r="G1520" s="46">
        <v>-9.25</v>
      </c>
      <c r="H1520" s="46">
        <f t="shared" si="49"/>
        <v>201603</v>
      </c>
      <c r="I1520" s="46">
        <f>MATCH(D1520,$O:$O,0)</f>
        <v>9</v>
      </c>
      <c r="J1520" s="46" t="s">
        <v>39</v>
      </c>
      <c r="K1520" s="46" t="s">
        <v>649</v>
      </c>
      <c r="L1520" s="46"/>
    </row>
    <row r="1521" spans="1:12" x14ac:dyDescent="0.25">
      <c r="A1521" s="46" t="s">
        <v>236</v>
      </c>
      <c r="B1521" s="47">
        <v>42444</v>
      </c>
      <c r="C1521" s="46" t="s">
        <v>412</v>
      </c>
      <c r="D1521" s="46" t="str">
        <f t="shared" si="50"/>
        <v>Interest</v>
      </c>
      <c r="E1521" s="46" t="s">
        <v>200</v>
      </c>
      <c r="F1521" s="46" t="s">
        <v>238</v>
      </c>
      <c r="G1521" s="46">
        <v>1.1399999999999999</v>
      </c>
      <c r="H1521" s="46">
        <f t="shared" si="49"/>
        <v>201603</v>
      </c>
      <c r="I1521" s="46" t="e">
        <f>MATCH(D1521,$O:$O,0)</f>
        <v>#N/A</v>
      </c>
      <c r="J1521" s="46" t="s">
        <v>39</v>
      </c>
      <c r="K1521" s="46" t="s">
        <v>803</v>
      </c>
      <c r="L1521" s="46"/>
    </row>
    <row r="1522" spans="1:12" x14ac:dyDescent="0.25">
      <c r="A1522" s="46" t="s">
        <v>236</v>
      </c>
      <c r="B1522" s="47">
        <v>42444</v>
      </c>
      <c r="C1522" s="46" t="s">
        <v>221</v>
      </c>
      <c r="D1522" s="46" t="str">
        <f t="shared" si="50"/>
        <v>Tax</v>
      </c>
      <c r="E1522" s="46" t="s">
        <v>222</v>
      </c>
      <c r="F1522" s="46" t="s">
        <v>238</v>
      </c>
      <c r="G1522" s="46">
        <v>-0.32</v>
      </c>
      <c r="H1522" s="46">
        <f t="shared" si="49"/>
        <v>201603</v>
      </c>
      <c r="I1522" s="46">
        <f>MATCH(D1522,$O:$O,0)</f>
        <v>29</v>
      </c>
      <c r="J1522" s="46" t="s">
        <v>39</v>
      </c>
      <c r="K1522" s="46" t="s">
        <v>630</v>
      </c>
      <c r="L1522" s="46" t="s">
        <v>252</v>
      </c>
    </row>
    <row r="1523" spans="1:12" x14ac:dyDescent="0.25">
      <c r="A1523" s="46" t="s">
        <v>236</v>
      </c>
      <c r="B1523" s="47">
        <v>42444</v>
      </c>
      <c r="C1523" s="46" t="s">
        <v>412</v>
      </c>
      <c r="D1523" s="46" t="str">
        <f t="shared" si="50"/>
        <v>Interest</v>
      </c>
      <c r="E1523" s="46" t="s">
        <v>200</v>
      </c>
      <c r="F1523" s="46" t="s">
        <v>238</v>
      </c>
      <c r="G1523" s="46">
        <v>0.04</v>
      </c>
      <c r="H1523" s="46">
        <f t="shared" si="49"/>
        <v>201603</v>
      </c>
      <c r="I1523" s="46" t="e">
        <f>MATCH(D1523,$O:$O,0)</f>
        <v>#N/A</v>
      </c>
      <c r="J1523" s="46" t="s">
        <v>39</v>
      </c>
      <c r="K1523" s="46" t="s">
        <v>649</v>
      </c>
      <c r="L1523" s="46"/>
    </row>
    <row r="1524" spans="1:12" x14ac:dyDescent="0.25">
      <c r="A1524" s="46" t="s">
        <v>236</v>
      </c>
      <c r="B1524" s="47">
        <v>42444</v>
      </c>
      <c r="C1524" s="46" t="s">
        <v>1129</v>
      </c>
      <c r="D1524" s="46" t="str">
        <f t="shared" si="50"/>
        <v>Utility</v>
      </c>
      <c r="E1524" s="46" t="s">
        <v>19</v>
      </c>
      <c r="F1524" s="46" t="s">
        <v>238</v>
      </c>
      <c r="G1524" s="46">
        <v>-55.3</v>
      </c>
      <c r="H1524" s="46">
        <f t="shared" si="49"/>
        <v>201603</v>
      </c>
      <c r="I1524" s="46">
        <f>MATCH(D1524,$O:$O,0)</f>
        <v>34</v>
      </c>
      <c r="J1524" s="46" t="s">
        <v>39</v>
      </c>
      <c r="K1524" s="46" t="s">
        <v>649</v>
      </c>
      <c r="L1524" s="46" t="s">
        <v>339</v>
      </c>
    </row>
    <row r="1525" spans="1:12" x14ac:dyDescent="0.25">
      <c r="A1525" s="46" t="s">
        <v>236</v>
      </c>
      <c r="B1525" s="47">
        <v>42444</v>
      </c>
      <c r="C1525" s="46" t="s">
        <v>412</v>
      </c>
      <c r="D1525" s="46" t="str">
        <f t="shared" si="50"/>
        <v>Interest</v>
      </c>
      <c r="E1525" s="46" t="s">
        <v>200</v>
      </c>
      <c r="F1525" s="46" t="s">
        <v>238</v>
      </c>
      <c r="G1525" s="46">
        <v>0.24</v>
      </c>
      <c r="H1525" s="46">
        <f t="shared" si="49"/>
        <v>201603</v>
      </c>
      <c r="I1525" s="46" t="e">
        <f>MATCH(D1525,$O:$O,0)</f>
        <v>#N/A</v>
      </c>
      <c r="J1525" s="46" t="s">
        <v>39</v>
      </c>
      <c r="K1525" s="46" t="s">
        <v>632</v>
      </c>
      <c r="L1525" s="46" t="s">
        <v>363</v>
      </c>
    </row>
    <row r="1526" spans="1:12" x14ac:dyDescent="0.25">
      <c r="A1526" s="46" t="s">
        <v>236</v>
      </c>
      <c r="B1526" s="47">
        <v>42444</v>
      </c>
      <c r="C1526" s="46" t="s">
        <v>412</v>
      </c>
      <c r="D1526" s="46" t="str">
        <f t="shared" si="50"/>
        <v>Interest</v>
      </c>
      <c r="E1526" s="46" t="s">
        <v>200</v>
      </c>
      <c r="F1526" s="46" t="s">
        <v>238</v>
      </c>
      <c r="G1526" s="46">
        <v>0.44</v>
      </c>
      <c r="H1526" s="46">
        <f t="shared" si="49"/>
        <v>201603</v>
      </c>
      <c r="I1526" s="46" t="e">
        <f>MATCH(D1526,$O:$O,0)</f>
        <v>#N/A</v>
      </c>
      <c r="J1526" s="46" t="s">
        <v>39</v>
      </c>
      <c r="K1526" s="46" t="s">
        <v>632</v>
      </c>
      <c r="L1526" s="46" t="s">
        <v>974</v>
      </c>
    </row>
    <row r="1527" spans="1:12" x14ac:dyDescent="0.25">
      <c r="A1527" s="46" t="s">
        <v>236</v>
      </c>
      <c r="B1527" s="47">
        <v>42444</v>
      </c>
      <c r="C1527" s="46" t="s">
        <v>1078</v>
      </c>
      <c r="D1527" s="46" t="str">
        <f t="shared" si="50"/>
        <v>Paychecks/Salary</v>
      </c>
      <c r="E1527" s="46" t="s">
        <v>375</v>
      </c>
      <c r="F1527" s="46" t="s">
        <v>238</v>
      </c>
      <c r="G1527" s="46">
        <v>706.94</v>
      </c>
      <c r="H1527" s="46">
        <f t="shared" si="49"/>
        <v>201603</v>
      </c>
      <c r="I1527" s="46">
        <f>MATCH(D1527,$O:$O,0)</f>
        <v>40</v>
      </c>
      <c r="J1527" s="46" t="s">
        <v>39</v>
      </c>
      <c r="K1527" s="46" t="s">
        <v>619</v>
      </c>
      <c r="L1527" s="46" t="s">
        <v>816</v>
      </c>
    </row>
    <row r="1528" spans="1:12" x14ac:dyDescent="0.25">
      <c r="A1528" s="46" t="s">
        <v>236</v>
      </c>
      <c r="B1528" s="47">
        <v>42444</v>
      </c>
      <c r="C1528" s="46" t="s">
        <v>1130</v>
      </c>
      <c r="D1528" s="46" t="str">
        <f t="shared" si="50"/>
        <v>Paychecks/Salary</v>
      </c>
      <c r="E1528" s="46" t="s">
        <v>375</v>
      </c>
      <c r="F1528" s="46" t="s">
        <v>238</v>
      </c>
      <c r="G1528" s="48">
        <v>3373.51</v>
      </c>
      <c r="H1528" s="46">
        <f t="shared" si="49"/>
        <v>201603</v>
      </c>
      <c r="I1528" s="46">
        <f>MATCH(D1528,$O:$O,0)</f>
        <v>40</v>
      </c>
      <c r="J1528" s="46" t="s">
        <v>39</v>
      </c>
      <c r="K1528" s="46" t="s">
        <v>619</v>
      </c>
      <c r="L1528" s="46"/>
    </row>
    <row r="1529" spans="1:12" x14ac:dyDescent="0.25">
      <c r="A1529" s="46" t="s">
        <v>236</v>
      </c>
      <c r="B1529" s="47">
        <v>42444</v>
      </c>
      <c r="C1529" s="46" t="s">
        <v>221</v>
      </c>
      <c r="D1529" s="46" t="str">
        <f t="shared" si="50"/>
        <v>Tax</v>
      </c>
      <c r="E1529" s="46" t="s">
        <v>222</v>
      </c>
      <c r="F1529" s="46" t="s">
        <v>238</v>
      </c>
      <c r="G1529" s="46">
        <v>-7.0000000000000007E-2</v>
      </c>
      <c r="H1529" s="46">
        <f t="shared" si="49"/>
        <v>201603</v>
      </c>
      <c r="I1529" s="46">
        <f>MATCH(D1529,$O:$O,0)</f>
        <v>29</v>
      </c>
      <c r="J1529" s="46" t="s">
        <v>39</v>
      </c>
      <c r="K1529" s="46" t="s">
        <v>649</v>
      </c>
      <c r="L1529" s="46"/>
    </row>
    <row r="1530" spans="1:12" x14ac:dyDescent="0.25">
      <c r="A1530" s="46" t="s">
        <v>236</v>
      </c>
      <c r="B1530" s="47">
        <v>42444</v>
      </c>
      <c r="C1530" s="46" t="s">
        <v>1081</v>
      </c>
      <c r="D1530" s="46" t="str">
        <f t="shared" si="50"/>
        <v>Parking</v>
      </c>
      <c r="E1530" s="46" t="s">
        <v>170</v>
      </c>
      <c r="F1530" s="46" t="s">
        <v>238</v>
      </c>
      <c r="G1530" s="46">
        <v>-2</v>
      </c>
      <c r="H1530" s="46">
        <f t="shared" si="49"/>
        <v>201603</v>
      </c>
      <c r="I1530" s="46">
        <f>MATCH(D1530,$O:$O,0)</f>
        <v>32</v>
      </c>
      <c r="J1530" s="46" t="s">
        <v>39</v>
      </c>
      <c r="K1530" s="46" t="s">
        <v>649</v>
      </c>
      <c r="L1530" s="46" t="s">
        <v>310</v>
      </c>
    </row>
    <row r="1531" spans="1:12" x14ac:dyDescent="0.25">
      <c r="A1531" s="46" t="s">
        <v>236</v>
      </c>
      <c r="B1531" s="47">
        <v>42444</v>
      </c>
      <c r="C1531" s="46" t="s">
        <v>565</v>
      </c>
      <c r="D1531" s="46" t="str">
        <f t="shared" si="50"/>
        <v>Grocery</v>
      </c>
      <c r="E1531" s="46" t="s">
        <v>192</v>
      </c>
      <c r="F1531" s="46" t="s">
        <v>238</v>
      </c>
      <c r="G1531" s="46">
        <v>-16.78</v>
      </c>
      <c r="H1531" s="46">
        <f t="shared" si="49"/>
        <v>201603</v>
      </c>
      <c r="I1531" s="46">
        <f>MATCH(D1531,$O:$O,0)</f>
        <v>12</v>
      </c>
      <c r="J1531" s="46" t="s">
        <v>39</v>
      </c>
      <c r="K1531" s="46" t="s">
        <v>649</v>
      </c>
      <c r="L1531" s="46" t="s">
        <v>193</v>
      </c>
    </row>
    <row r="1532" spans="1:12" x14ac:dyDescent="0.25">
      <c r="A1532" s="46" t="s">
        <v>236</v>
      </c>
      <c r="B1532" s="47">
        <v>42445</v>
      </c>
      <c r="C1532" s="46" t="s">
        <v>1128</v>
      </c>
      <c r="D1532" s="46" t="str">
        <f t="shared" si="50"/>
        <v>D-Travel</v>
      </c>
      <c r="E1532" s="46" t="s">
        <v>161</v>
      </c>
      <c r="F1532" s="46" t="s">
        <v>238</v>
      </c>
      <c r="G1532" s="46">
        <v>-22.59</v>
      </c>
      <c r="H1532" s="46">
        <f t="shared" si="49"/>
        <v>201603</v>
      </c>
      <c r="I1532" s="46">
        <f>MATCH(D1532,$O:$O,0)</f>
        <v>10</v>
      </c>
      <c r="J1532" s="46" t="s">
        <v>39</v>
      </c>
      <c r="K1532" s="46" t="s">
        <v>649</v>
      </c>
      <c r="L1532" s="46" t="s">
        <v>252</v>
      </c>
    </row>
    <row r="1533" spans="1:12" x14ac:dyDescent="0.25">
      <c r="A1533" s="46" t="s">
        <v>236</v>
      </c>
      <c r="B1533" s="47">
        <v>42445</v>
      </c>
      <c r="C1533" s="46" t="s">
        <v>747</v>
      </c>
      <c r="D1533" s="46" t="str">
        <f t="shared" si="50"/>
        <v>Internet</v>
      </c>
      <c r="E1533" s="46" t="s">
        <v>57</v>
      </c>
      <c r="F1533" s="46" t="s">
        <v>238</v>
      </c>
      <c r="G1533" s="46">
        <v>-77.489999999999995</v>
      </c>
      <c r="H1533" s="46">
        <f t="shared" si="49"/>
        <v>201603</v>
      </c>
      <c r="I1533" s="46">
        <f>MATCH(D1533,$O:$O,0)</f>
        <v>18</v>
      </c>
      <c r="J1533" s="46" t="s">
        <v>39</v>
      </c>
      <c r="K1533" s="46" t="s">
        <v>649</v>
      </c>
      <c r="L1533" s="46" t="s">
        <v>252</v>
      </c>
    </row>
    <row r="1534" spans="1:12" x14ac:dyDescent="0.25">
      <c r="A1534" s="46" t="s">
        <v>236</v>
      </c>
      <c r="B1534" s="47">
        <v>42445</v>
      </c>
      <c r="C1534" s="46" t="s">
        <v>411</v>
      </c>
      <c r="D1534" s="46" t="str">
        <f t="shared" si="50"/>
        <v>Retirement Contributions</v>
      </c>
      <c r="E1534" s="46" t="s">
        <v>263</v>
      </c>
      <c r="F1534" s="46" t="s">
        <v>238</v>
      </c>
      <c r="G1534" s="46">
        <v>0.69</v>
      </c>
      <c r="H1534" s="46">
        <f t="shared" si="49"/>
        <v>201603</v>
      </c>
      <c r="I1534" s="46">
        <f>MATCH(D1534,$O:$O,0)</f>
        <v>39</v>
      </c>
      <c r="J1534" s="46" t="s">
        <v>39</v>
      </c>
      <c r="K1534" s="46" t="s">
        <v>649</v>
      </c>
      <c r="L1534" s="46" t="s">
        <v>252</v>
      </c>
    </row>
    <row r="1535" spans="1:12" x14ac:dyDescent="0.25">
      <c r="A1535" s="46" t="s">
        <v>236</v>
      </c>
      <c r="B1535" s="47">
        <v>42446</v>
      </c>
      <c r="C1535" s="46" t="s">
        <v>1126</v>
      </c>
      <c r="D1535" s="46" t="str">
        <f t="shared" si="50"/>
        <v>D-Restaurant</v>
      </c>
      <c r="E1535" s="46" t="s">
        <v>204</v>
      </c>
      <c r="F1535" s="46" t="s">
        <v>238</v>
      </c>
      <c r="G1535" s="46">
        <v>-18.829999999999998</v>
      </c>
      <c r="H1535" s="46">
        <f t="shared" si="49"/>
        <v>201603</v>
      </c>
      <c r="I1535" s="46">
        <f>MATCH(D1535,$O:$O,0)</f>
        <v>9</v>
      </c>
      <c r="J1535" s="46" t="s">
        <v>39</v>
      </c>
      <c r="K1535" s="46" t="s">
        <v>649</v>
      </c>
      <c r="L1535" s="46" t="s">
        <v>351</v>
      </c>
    </row>
    <row r="1536" spans="1:12" x14ac:dyDescent="0.25">
      <c r="A1536" s="46" t="s">
        <v>236</v>
      </c>
      <c r="B1536" s="47">
        <v>42446</v>
      </c>
      <c r="C1536" s="46" t="s">
        <v>1127</v>
      </c>
      <c r="D1536" s="46" t="str">
        <f t="shared" si="50"/>
        <v>D-Restaurant</v>
      </c>
      <c r="E1536" s="46" t="s">
        <v>204</v>
      </c>
      <c r="F1536" s="46" t="s">
        <v>238</v>
      </c>
      <c r="G1536" s="46">
        <v>-68.08</v>
      </c>
      <c r="H1536" s="46">
        <f t="shared" si="49"/>
        <v>201603</v>
      </c>
      <c r="I1536" s="46">
        <f>MATCH(D1536,$O:$O,0)</f>
        <v>9</v>
      </c>
      <c r="J1536" s="46" t="s">
        <v>39</v>
      </c>
      <c r="K1536" s="46" t="s">
        <v>649</v>
      </c>
      <c r="L1536" s="46"/>
    </row>
    <row r="1537" spans="1:12" x14ac:dyDescent="0.25">
      <c r="A1537" s="46" t="s">
        <v>236</v>
      </c>
      <c r="B1537" s="47">
        <v>42446</v>
      </c>
      <c r="C1537" s="46" t="s">
        <v>565</v>
      </c>
      <c r="D1537" s="46" t="str">
        <f t="shared" si="50"/>
        <v>Grocery</v>
      </c>
      <c r="E1537" s="46" t="s">
        <v>192</v>
      </c>
      <c r="F1537" s="46" t="s">
        <v>238</v>
      </c>
      <c r="G1537" s="46">
        <v>-21.5</v>
      </c>
      <c r="H1537" s="46">
        <f t="shared" si="49"/>
        <v>201603</v>
      </c>
      <c r="I1537" s="46">
        <f>MATCH(D1537,$O:$O,0)</f>
        <v>12</v>
      </c>
      <c r="J1537" s="46" t="s">
        <v>39</v>
      </c>
      <c r="K1537" s="46" t="s">
        <v>649</v>
      </c>
      <c r="L1537" s="46"/>
    </row>
    <row r="1538" spans="1:12" x14ac:dyDescent="0.25">
      <c r="A1538" s="46" t="s">
        <v>236</v>
      </c>
      <c r="B1538" s="47">
        <v>42446</v>
      </c>
      <c r="C1538" s="46" t="s">
        <v>1116</v>
      </c>
      <c r="D1538" s="46" t="str">
        <f t="shared" si="50"/>
        <v>Finance Charges</v>
      </c>
      <c r="E1538" s="46" t="s">
        <v>220</v>
      </c>
      <c r="F1538" s="46" t="s">
        <v>238</v>
      </c>
      <c r="G1538" s="46">
        <v>-0.04</v>
      </c>
      <c r="H1538" s="46">
        <f t="shared" ref="H1538:H1601" si="51">YEAR(B1538)*100+MONTH(B1538)</f>
        <v>201603</v>
      </c>
      <c r="I1538" s="46">
        <f>MATCH(D1538,$O:$O,0)</f>
        <v>35</v>
      </c>
      <c r="J1538" s="46" t="s">
        <v>39</v>
      </c>
      <c r="K1538" s="46" t="s">
        <v>649</v>
      </c>
      <c r="L1538" s="46"/>
    </row>
    <row r="1539" spans="1:12" x14ac:dyDescent="0.25">
      <c r="A1539" s="46" t="s">
        <v>236</v>
      </c>
      <c r="B1539" s="47">
        <v>42446</v>
      </c>
      <c r="C1539" s="46" t="s">
        <v>1099</v>
      </c>
      <c r="D1539" s="46" t="str">
        <f t="shared" si="50"/>
        <v>Grocery</v>
      </c>
      <c r="E1539" s="46" t="s">
        <v>192</v>
      </c>
      <c r="F1539" s="46" t="s">
        <v>238</v>
      </c>
      <c r="G1539" s="46">
        <v>-1.36</v>
      </c>
      <c r="H1539" s="46">
        <f t="shared" si="51"/>
        <v>201603</v>
      </c>
      <c r="I1539" s="46">
        <f>MATCH(D1539,$O:$O,0)</f>
        <v>12</v>
      </c>
      <c r="J1539" s="46" t="s">
        <v>39</v>
      </c>
      <c r="K1539" s="46" t="s">
        <v>619</v>
      </c>
      <c r="L1539" s="46" t="s">
        <v>886</v>
      </c>
    </row>
    <row r="1540" spans="1:12" x14ac:dyDescent="0.25">
      <c r="A1540" s="46" t="s">
        <v>236</v>
      </c>
      <c r="B1540" s="47">
        <v>42447</v>
      </c>
      <c r="C1540" s="46" t="s">
        <v>1122</v>
      </c>
      <c r="D1540" s="46" t="str">
        <f t="shared" si="50"/>
        <v>Parent support</v>
      </c>
      <c r="E1540" s="46" t="s">
        <v>1002</v>
      </c>
      <c r="F1540" s="46" t="s">
        <v>238</v>
      </c>
      <c r="G1540" s="46">
        <v>-34.94</v>
      </c>
      <c r="H1540" s="46">
        <f t="shared" si="51"/>
        <v>201603</v>
      </c>
      <c r="I1540" s="46">
        <f>MATCH(D1540,$O:$O,0)</f>
        <v>24</v>
      </c>
      <c r="J1540" s="46" t="s">
        <v>39</v>
      </c>
      <c r="K1540" s="46" t="s">
        <v>619</v>
      </c>
      <c r="L1540" s="46"/>
    </row>
    <row r="1541" spans="1:12" x14ac:dyDescent="0.25">
      <c r="A1541" s="46" t="s">
        <v>236</v>
      </c>
      <c r="B1541" s="47">
        <v>42447</v>
      </c>
      <c r="C1541" s="46" t="s">
        <v>1123</v>
      </c>
      <c r="D1541" s="46" t="str">
        <f t="shared" si="50"/>
        <v>Parent support</v>
      </c>
      <c r="E1541" s="46" t="s">
        <v>1002</v>
      </c>
      <c r="F1541" s="46" t="s">
        <v>238</v>
      </c>
      <c r="G1541" s="46">
        <v>-32.94</v>
      </c>
      <c r="H1541" s="46">
        <f t="shared" si="51"/>
        <v>201603</v>
      </c>
      <c r="I1541" s="46">
        <f>MATCH(D1541,$O:$O,0)</f>
        <v>24</v>
      </c>
      <c r="J1541" s="46" t="s">
        <v>39</v>
      </c>
      <c r="K1541" s="46" t="s">
        <v>619</v>
      </c>
      <c r="L1541" s="46" t="s">
        <v>895</v>
      </c>
    </row>
    <row r="1542" spans="1:12" x14ac:dyDescent="0.25">
      <c r="A1542" s="46" t="s">
        <v>236</v>
      </c>
      <c r="B1542" s="47">
        <v>42447</v>
      </c>
      <c r="C1542" s="46" t="s">
        <v>1124</v>
      </c>
      <c r="D1542" s="46" t="str">
        <f t="shared" si="50"/>
        <v>D-Restaurant</v>
      </c>
      <c r="E1542" s="46" t="s">
        <v>204</v>
      </c>
      <c r="F1542" s="46" t="s">
        <v>238</v>
      </c>
      <c r="G1542" s="46">
        <v>-4.8899999999999997</v>
      </c>
      <c r="H1542" s="46">
        <f t="shared" si="51"/>
        <v>201603</v>
      </c>
      <c r="I1542" s="46">
        <f>MATCH(D1542,$O:$O,0)</f>
        <v>9</v>
      </c>
      <c r="J1542" s="46" t="s">
        <v>39</v>
      </c>
      <c r="K1542" s="46" t="s">
        <v>630</v>
      </c>
      <c r="L1542" s="46" t="s">
        <v>340</v>
      </c>
    </row>
    <row r="1543" spans="1:12" x14ac:dyDescent="0.25">
      <c r="A1543" s="46" t="s">
        <v>236</v>
      </c>
      <c r="B1543" s="47">
        <v>42447</v>
      </c>
      <c r="C1543" s="46" t="s">
        <v>1124</v>
      </c>
      <c r="D1543" s="46" t="str">
        <f t="shared" si="50"/>
        <v>D-Restaurant</v>
      </c>
      <c r="E1543" s="46" t="s">
        <v>204</v>
      </c>
      <c r="F1543" s="46" t="s">
        <v>238</v>
      </c>
      <c r="G1543" s="46">
        <v>-5.29</v>
      </c>
      <c r="H1543" s="46">
        <f t="shared" si="51"/>
        <v>201603</v>
      </c>
      <c r="I1543" s="46">
        <f>MATCH(D1543,$O:$O,0)</f>
        <v>9</v>
      </c>
      <c r="J1543" s="46" t="s">
        <v>39</v>
      </c>
      <c r="K1543" s="46" t="s">
        <v>630</v>
      </c>
      <c r="L1543" s="46" t="s">
        <v>252</v>
      </c>
    </row>
    <row r="1544" spans="1:12" x14ac:dyDescent="0.25">
      <c r="A1544" s="46" t="s">
        <v>236</v>
      </c>
      <c r="B1544" s="47">
        <v>42447</v>
      </c>
      <c r="C1544" s="46" t="s">
        <v>249</v>
      </c>
      <c r="D1544" s="46" t="str">
        <f t="shared" si="50"/>
        <v>Retirement Contributions</v>
      </c>
      <c r="E1544" s="46" t="s">
        <v>263</v>
      </c>
      <c r="F1544" s="46" t="s">
        <v>238</v>
      </c>
      <c r="G1544" s="46">
        <v>843.75</v>
      </c>
      <c r="H1544" s="46">
        <f t="shared" si="51"/>
        <v>201603</v>
      </c>
      <c r="I1544" s="46">
        <f>MATCH(D1544,$O:$O,0)</f>
        <v>39</v>
      </c>
      <c r="J1544" s="46" t="s">
        <v>39</v>
      </c>
      <c r="K1544" s="46" t="s">
        <v>630</v>
      </c>
      <c r="L1544" s="46" t="s">
        <v>193</v>
      </c>
    </row>
    <row r="1545" spans="1:12" x14ac:dyDescent="0.25">
      <c r="A1545" s="46" t="s">
        <v>236</v>
      </c>
      <c r="B1545" s="47">
        <v>42448</v>
      </c>
      <c r="C1545" s="46" t="s">
        <v>1109</v>
      </c>
      <c r="D1545" s="46" t="str">
        <f t="shared" si="50"/>
        <v>D-Travel</v>
      </c>
      <c r="E1545" s="46" t="s">
        <v>161</v>
      </c>
      <c r="F1545" s="46" t="s">
        <v>238</v>
      </c>
      <c r="G1545" s="46">
        <v>-7.27</v>
      </c>
      <c r="H1545" s="46">
        <f t="shared" si="51"/>
        <v>201603</v>
      </c>
      <c r="I1545" s="46">
        <f>MATCH(D1545,$O:$O,0)</f>
        <v>10</v>
      </c>
      <c r="J1545" s="46" t="s">
        <v>39</v>
      </c>
      <c r="K1545" s="46" t="s">
        <v>630</v>
      </c>
      <c r="L1545" s="46" t="s">
        <v>334</v>
      </c>
    </row>
    <row r="1546" spans="1:12" x14ac:dyDescent="0.25">
      <c r="A1546" s="46" t="s">
        <v>236</v>
      </c>
      <c r="B1546" s="47">
        <v>42448</v>
      </c>
      <c r="C1546" s="46" t="s">
        <v>1118</v>
      </c>
      <c r="D1546" s="46" t="str">
        <f t="shared" si="50"/>
        <v>D-Travel</v>
      </c>
      <c r="E1546" s="46" t="s">
        <v>161</v>
      </c>
      <c r="F1546" s="46" t="s">
        <v>238</v>
      </c>
      <c r="G1546" s="46">
        <v>-42.76</v>
      </c>
      <c r="H1546" s="46">
        <f t="shared" si="51"/>
        <v>201603</v>
      </c>
      <c r="I1546" s="46">
        <f>MATCH(D1546,$O:$O,0)</f>
        <v>10</v>
      </c>
      <c r="J1546" s="46" t="s">
        <v>39</v>
      </c>
      <c r="K1546" s="46" t="s">
        <v>649</v>
      </c>
      <c r="L1546" s="46"/>
    </row>
    <row r="1547" spans="1:12" x14ac:dyDescent="0.25">
      <c r="A1547" s="46" t="s">
        <v>236</v>
      </c>
      <c r="B1547" s="47">
        <v>42448</v>
      </c>
      <c r="C1547" s="46" t="s">
        <v>1119</v>
      </c>
      <c r="D1547" s="46" t="str">
        <f t="shared" si="50"/>
        <v>D-Restaurant</v>
      </c>
      <c r="E1547" s="46" t="s">
        <v>204</v>
      </c>
      <c r="F1547" s="46" t="s">
        <v>238</v>
      </c>
      <c r="G1547" s="46">
        <v>-50.26</v>
      </c>
      <c r="H1547" s="46">
        <f t="shared" si="51"/>
        <v>201603</v>
      </c>
      <c r="I1547" s="46">
        <f>MATCH(D1547,$O:$O,0)</f>
        <v>9</v>
      </c>
      <c r="J1547" s="46" t="s">
        <v>39</v>
      </c>
      <c r="K1547" s="46" t="s">
        <v>649</v>
      </c>
      <c r="L1547" s="46"/>
    </row>
    <row r="1548" spans="1:12" x14ac:dyDescent="0.25">
      <c r="A1548" s="46" t="s">
        <v>236</v>
      </c>
      <c r="B1548" s="47">
        <v>42448</v>
      </c>
      <c r="C1548" s="46" t="s">
        <v>1120</v>
      </c>
      <c r="D1548" s="46" t="str">
        <f t="shared" si="50"/>
        <v>D-Restaurant</v>
      </c>
      <c r="E1548" s="46" t="s">
        <v>204</v>
      </c>
      <c r="F1548" s="46" t="s">
        <v>238</v>
      </c>
      <c r="G1548" s="46">
        <v>-78.27</v>
      </c>
      <c r="H1548" s="46">
        <f t="shared" si="51"/>
        <v>201603</v>
      </c>
      <c r="I1548" s="46">
        <f>MATCH(D1548,$O:$O,0)</f>
        <v>9</v>
      </c>
      <c r="J1548" s="46" t="s">
        <v>39</v>
      </c>
      <c r="K1548" s="46" t="s">
        <v>649</v>
      </c>
      <c r="L1548" s="46" t="s">
        <v>965</v>
      </c>
    </row>
    <row r="1549" spans="1:12" x14ac:dyDescent="0.25">
      <c r="A1549" s="46" t="s">
        <v>236</v>
      </c>
      <c r="B1549" s="47">
        <v>42448</v>
      </c>
      <c r="C1549" s="46" t="s">
        <v>585</v>
      </c>
      <c r="D1549" s="46" t="str">
        <f t="shared" si="50"/>
        <v>Parking</v>
      </c>
      <c r="E1549" s="46" t="s">
        <v>170</v>
      </c>
      <c r="F1549" s="46" t="s">
        <v>238</v>
      </c>
      <c r="G1549" s="46">
        <v>-2.5</v>
      </c>
      <c r="H1549" s="46">
        <f t="shared" si="51"/>
        <v>201603</v>
      </c>
      <c r="I1549" s="46">
        <f>MATCH(D1549,$O:$O,0)</f>
        <v>32</v>
      </c>
      <c r="J1549" s="46" t="s">
        <v>39</v>
      </c>
      <c r="K1549" s="46" t="s">
        <v>619</v>
      </c>
      <c r="L1549" s="46" t="s">
        <v>334</v>
      </c>
    </row>
    <row r="1550" spans="1:12" x14ac:dyDescent="0.25">
      <c r="A1550" s="46" t="s">
        <v>236</v>
      </c>
      <c r="B1550" s="47">
        <v>42450</v>
      </c>
      <c r="C1550" s="46" t="s">
        <v>1109</v>
      </c>
      <c r="D1550" s="46" t="str">
        <f t="shared" si="50"/>
        <v>D-Travel</v>
      </c>
      <c r="E1550" s="46" t="s">
        <v>161</v>
      </c>
      <c r="F1550" s="46" t="s">
        <v>238</v>
      </c>
      <c r="G1550" s="46">
        <v>-13.43</v>
      </c>
      <c r="H1550" s="46">
        <f t="shared" si="51"/>
        <v>201603</v>
      </c>
      <c r="I1550" s="46">
        <f>MATCH(D1550,$O:$O,0)</f>
        <v>10</v>
      </c>
      <c r="J1550" s="46" t="s">
        <v>39</v>
      </c>
      <c r="K1550" s="46" t="s">
        <v>630</v>
      </c>
      <c r="L1550" s="46"/>
    </row>
    <row r="1551" spans="1:12" x14ac:dyDescent="0.25">
      <c r="A1551" s="46" t="s">
        <v>236</v>
      </c>
      <c r="B1551" s="47">
        <v>42450</v>
      </c>
      <c r="C1551" s="46" t="s">
        <v>1110</v>
      </c>
      <c r="D1551" s="46" t="str">
        <f t="shared" si="50"/>
        <v>D-Restaurant</v>
      </c>
      <c r="E1551" s="46" t="s">
        <v>204</v>
      </c>
      <c r="F1551" s="46" t="s">
        <v>238</v>
      </c>
      <c r="G1551" s="46">
        <v>-5.23</v>
      </c>
      <c r="H1551" s="46">
        <f t="shared" si="51"/>
        <v>201603</v>
      </c>
      <c r="I1551" s="46">
        <f>MATCH(D1551,$O:$O,0)</f>
        <v>9</v>
      </c>
      <c r="J1551" s="46" t="s">
        <v>39</v>
      </c>
      <c r="K1551" s="46" t="s">
        <v>632</v>
      </c>
      <c r="L1551" s="46"/>
    </row>
    <row r="1552" spans="1:12" x14ac:dyDescent="0.25">
      <c r="A1552" s="46" t="s">
        <v>236</v>
      </c>
      <c r="B1552" s="47">
        <v>42450</v>
      </c>
      <c r="C1552" s="46" t="s">
        <v>1112</v>
      </c>
      <c r="D1552" s="46" t="str">
        <f t="shared" si="50"/>
        <v>D-Travel</v>
      </c>
      <c r="E1552" s="46" t="s">
        <v>161</v>
      </c>
      <c r="F1552" s="46" t="s">
        <v>238</v>
      </c>
      <c r="G1552" s="46">
        <v>-33.479999999999997</v>
      </c>
      <c r="H1552" s="46">
        <f t="shared" si="51"/>
        <v>201603</v>
      </c>
      <c r="I1552" s="46">
        <f>MATCH(D1552,$O:$O,0)</f>
        <v>10</v>
      </c>
      <c r="J1552" s="46" t="s">
        <v>39</v>
      </c>
      <c r="K1552" s="46" t="s">
        <v>675</v>
      </c>
      <c r="L1552" s="46" t="s">
        <v>939</v>
      </c>
    </row>
    <row r="1553" spans="1:12" x14ac:dyDescent="0.25">
      <c r="A1553" s="46" t="s">
        <v>236</v>
      </c>
      <c r="B1553" s="47">
        <v>42450</v>
      </c>
      <c r="C1553" s="46" t="s">
        <v>1113</v>
      </c>
      <c r="D1553" s="46" t="str">
        <f t="shared" si="50"/>
        <v>Gifts</v>
      </c>
      <c r="E1553" s="46" t="s">
        <v>40</v>
      </c>
      <c r="F1553" s="46" t="s">
        <v>238</v>
      </c>
      <c r="G1553" s="46">
        <v>-24.75</v>
      </c>
      <c r="H1553" s="46">
        <f t="shared" si="51"/>
        <v>201603</v>
      </c>
      <c r="I1553" s="46">
        <f>MATCH(D1553,$O:$O,0)</f>
        <v>11</v>
      </c>
      <c r="J1553" s="46" t="s">
        <v>39</v>
      </c>
      <c r="K1553" s="46" t="s">
        <v>803</v>
      </c>
      <c r="L1553" s="46"/>
    </row>
    <row r="1554" spans="1:12" x14ac:dyDescent="0.25">
      <c r="A1554" s="46" t="s">
        <v>236</v>
      </c>
      <c r="B1554" s="47">
        <v>42450</v>
      </c>
      <c r="C1554" s="46" t="s">
        <v>1114</v>
      </c>
      <c r="D1554" s="46" t="str">
        <f t="shared" si="50"/>
        <v>D-Restaurant</v>
      </c>
      <c r="E1554" s="46" t="s">
        <v>204</v>
      </c>
      <c r="F1554" s="46" t="s">
        <v>238</v>
      </c>
      <c r="G1554" s="46">
        <v>-8.4600000000000009</v>
      </c>
      <c r="H1554" s="46">
        <f t="shared" si="51"/>
        <v>201603</v>
      </c>
      <c r="I1554" s="46">
        <f>MATCH(D1554,$O:$O,0)</f>
        <v>9</v>
      </c>
      <c r="J1554" s="46" t="s">
        <v>39</v>
      </c>
      <c r="K1554" s="46" t="s">
        <v>619</v>
      </c>
      <c r="L1554" s="46"/>
    </row>
    <row r="1555" spans="1:12" x14ac:dyDescent="0.25">
      <c r="A1555" s="46" t="s">
        <v>236</v>
      </c>
      <c r="B1555" s="47">
        <v>42450</v>
      </c>
      <c r="C1555" s="46" t="s">
        <v>1115</v>
      </c>
      <c r="D1555" s="46" t="str">
        <f t="shared" si="50"/>
        <v>D-Restaurant</v>
      </c>
      <c r="E1555" s="46" t="s">
        <v>204</v>
      </c>
      <c r="F1555" s="46" t="s">
        <v>238</v>
      </c>
      <c r="G1555" s="46">
        <v>-8.25</v>
      </c>
      <c r="H1555" s="46">
        <f t="shared" si="51"/>
        <v>201603</v>
      </c>
      <c r="I1555" s="46">
        <f>MATCH(D1555,$O:$O,0)</f>
        <v>9</v>
      </c>
      <c r="J1555" s="46" t="s">
        <v>39</v>
      </c>
      <c r="K1555" s="46" t="s">
        <v>630</v>
      </c>
      <c r="L1555" s="46"/>
    </row>
    <row r="1556" spans="1:12" x14ac:dyDescent="0.25">
      <c r="A1556" s="46" t="s">
        <v>236</v>
      </c>
      <c r="B1556" s="47">
        <v>42450</v>
      </c>
      <c r="C1556" s="46" t="s">
        <v>1115</v>
      </c>
      <c r="D1556" s="46" t="str">
        <f t="shared" si="50"/>
        <v>D-Restaurant</v>
      </c>
      <c r="E1556" s="46" t="s">
        <v>204</v>
      </c>
      <c r="F1556" s="46" t="s">
        <v>238</v>
      </c>
      <c r="G1556" s="46">
        <v>-8.25</v>
      </c>
      <c r="H1556" s="46">
        <f t="shared" si="51"/>
        <v>201603</v>
      </c>
      <c r="I1556" s="46">
        <f>MATCH(D1556,$O:$O,0)</f>
        <v>9</v>
      </c>
      <c r="J1556" s="46" t="s">
        <v>39</v>
      </c>
      <c r="K1556" s="46" t="s">
        <v>649</v>
      </c>
      <c r="L1556" s="46"/>
    </row>
    <row r="1557" spans="1:12" x14ac:dyDescent="0.25">
      <c r="A1557" s="46" t="s">
        <v>236</v>
      </c>
      <c r="B1557" s="47">
        <v>42450</v>
      </c>
      <c r="C1557" s="46" t="s">
        <v>1115</v>
      </c>
      <c r="D1557" s="46" t="str">
        <f t="shared" si="50"/>
        <v>D-Restaurant</v>
      </c>
      <c r="E1557" s="46" t="s">
        <v>204</v>
      </c>
      <c r="F1557" s="46" t="s">
        <v>238</v>
      </c>
      <c r="G1557" s="46">
        <v>8.25</v>
      </c>
      <c r="H1557" s="46">
        <f t="shared" si="51"/>
        <v>201603</v>
      </c>
      <c r="I1557" s="46">
        <f>MATCH(D1557,$O:$O,0)</f>
        <v>9</v>
      </c>
      <c r="J1557" s="46" t="s">
        <v>39</v>
      </c>
      <c r="K1557" s="46" t="s">
        <v>619</v>
      </c>
      <c r="L1557" s="46"/>
    </row>
    <row r="1558" spans="1:12" x14ac:dyDescent="0.25">
      <c r="A1558" s="46" t="s">
        <v>236</v>
      </c>
      <c r="B1558" s="47">
        <v>42450</v>
      </c>
      <c r="C1558" s="46" t="s">
        <v>1116</v>
      </c>
      <c r="D1558" s="46" t="str">
        <f t="shared" si="50"/>
        <v>Finance Charges</v>
      </c>
      <c r="E1558" s="46" t="s">
        <v>220</v>
      </c>
      <c r="F1558" s="46" t="s">
        <v>238</v>
      </c>
      <c r="G1558" s="46">
        <v>-0.4</v>
      </c>
      <c r="H1558" s="46">
        <f t="shared" si="51"/>
        <v>201603</v>
      </c>
      <c r="I1558" s="46">
        <f>MATCH(D1558,$O:$O,0)</f>
        <v>35</v>
      </c>
      <c r="J1558" s="46" t="s">
        <v>39</v>
      </c>
      <c r="K1558" s="46" t="s">
        <v>630</v>
      </c>
      <c r="L1558" s="46"/>
    </row>
    <row r="1559" spans="1:12" x14ac:dyDescent="0.25">
      <c r="A1559" s="46" t="s">
        <v>236</v>
      </c>
      <c r="B1559" s="47">
        <v>42450</v>
      </c>
      <c r="C1559" s="46" t="s">
        <v>1117</v>
      </c>
      <c r="D1559" s="46" t="str">
        <f t="shared" si="50"/>
        <v>D-Restaurant</v>
      </c>
      <c r="E1559" s="46" t="s">
        <v>204</v>
      </c>
      <c r="F1559" s="46" t="s">
        <v>238</v>
      </c>
      <c r="G1559" s="46">
        <v>-13.45</v>
      </c>
      <c r="H1559" s="46">
        <f t="shared" si="51"/>
        <v>201603</v>
      </c>
      <c r="I1559" s="46">
        <f>MATCH(D1559,$O:$O,0)</f>
        <v>9</v>
      </c>
      <c r="J1559" s="46" t="s">
        <v>39</v>
      </c>
      <c r="K1559" s="46" t="s">
        <v>630</v>
      </c>
      <c r="L1559" s="46"/>
    </row>
    <row r="1560" spans="1:12" x14ac:dyDescent="0.25">
      <c r="A1560" s="46" t="s">
        <v>236</v>
      </c>
      <c r="B1560" s="47">
        <v>42451</v>
      </c>
      <c r="C1560" s="46" t="s">
        <v>1104</v>
      </c>
      <c r="D1560" s="46" t="str">
        <f t="shared" si="50"/>
        <v>D-Restaurant</v>
      </c>
      <c r="E1560" s="46" t="s">
        <v>204</v>
      </c>
      <c r="F1560" s="46" t="s">
        <v>238</v>
      </c>
      <c r="G1560" s="46">
        <v>-3.05</v>
      </c>
      <c r="H1560" s="46">
        <f t="shared" si="51"/>
        <v>201603</v>
      </c>
      <c r="I1560" s="46">
        <f>MATCH(D1560,$O:$O,0)</f>
        <v>9</v>
      </c>
      <c r="J1560" s="46" t="s">
        <v>39</v>
      </c>
      <c r="K1560" s="46" t="s">
        <v>630</v>
      </c>
      <c r="L1560" s="46" t="s">
        <v>193</v>
      </c>
    </row>
    <row r="1561" spans="1:12" x14ac:dyDescent="0.25">
      <c r="A1561" s="46" t="s">
        <v>236</v>
      </c>
      <c r="B1561" s="47">
        <v>42451</v>
      </c>
      <c r="C1561" s="46" t="s">
        <v>1105</v>
      </c>
      <c r="D1561" s="46" t="str">
        <f t="shared" si="50"/>
        <v>Grocery</v>
      </c>
      <c r="E1561" s="46" t="s">
        <v>192</v>
      </c>
      <c r="F1561" s="46" t="s">
        <v>238</v>
      </c>
      <c r="G1561" s="46">
        <v>-41.67</v>
      </c>
      <c r="H1561" s="46">
        <f t="shared" si="51"/>
        <v>201603</v>
      </c>
      <c r="I1561" s="46">
        <f>MATCH(D1561,$O:$O,0)</f>
        <v>12</v>
      </c>
      <c r="J1561" s="46" t="s">
        <v>39</v>
      </c>
      <c r="K1561" s="46" t="s">
        <v>630</v>
      </c>
      <c r="L1561" s="46" t="s">
        <v>713</v>
      </c>
    </row>
    <row r="1562" spans="1:12" x14ac:dyDescent="0.25">
      <c r="A1562" s="46" t="s">
        <v>236</v>
      </c>
      <c r="B1562" s="47">
        <v>42451</v>
      </c>
      <c r="C1562" s="46" t="s">
        <v>1106</v>
      </c>
      <c r="D1562" s="46" t="str">
        <f t="shared" si="50"/>
        <v>Parent support</v>
      </c>
      <c r="E1562" s="46" t="s">
        <v>1002</v>
      </c>
      <c r="F1562" s="46" t="s">
        <v>238</v>
      </c>
      <c r="G1562" s="46">
        <v>-122.64</v>
      </c>
      <c r="H1562" s="46">
        <f t="shared" si="51"/>
        <v>201603</v>
      </c>
      <c r="I1562" s="46">
        <f>MATCH(D1562,$O:$O,0)</f>
        <v>24</v>
      </c>
      <c r="J1562" s="46" t="s">
        <v>39</v>
      </c>
      <c r="K1562" s="46" t="s">
        <v>803</v>
      </c>
      <c r="L1562" s="46" t="s">
        <v>713</v>
      </c>
    </row>
    <row r="1563" spans="1:12" x14ac:dyDescent="0.25">
      <c r="A1563" s="46" t="s">
        <v>236</v>
      </c>
      <c r="B1563" s="47">
        <v>42451</v>
      </c>
      <c r="C1563" s="46" t="s">
        <v>1107</v>
      </c>
      <c r="D1563" s="46" t="str">
        <f t="shared" si="50"/>
        <v>D-Travel</v>
      </c>
      <c r="E1563" s="46" t="s">
        <v>161</v>
      </c>
      <c r="F1563" s="46" t="s">
        <v>238</v>
      </c>
      <c r="G1563" s="46">
        <v>-45.79</v>
      </c>
      <c r="H1563" s="46">
        <f t="shared" si="51"/>
        <v>201603</v>
      </c>
      <c r="I1563" s="46">
        <f>MATCH(D1563,$O:$O,0)</f>
        <v>10</v>
      </c>
      <c r="J1563" s="46" t="s">
        <v>39</v>
      </c>
      <c r="K1563" s="46" t="s">
        <v>803</v>
      </c>
      <c r="L1563" s="46" t="s">
        <v>722</v>
      </c>
    </row>
    <row r="1564" spans="1:12" x14ac:dyDescent="0.25">
      <c r="A1564" s="46" t="s">
        <v>236</v>
      </c>
      <c r="B1564" s="47">
        <v>42451</v>
      </c>
      <c r="C1564" s="46" t="s">
        <v>1108</v>
      </c>
      <c r="D1564" s="46" t="str">
        <f t="shared" si="50"/>
        <v>D-Travel</v>
      </c>
      <c r="E1564" s="46" t="s">
        <v>161</v>
      </c>
      <c r="F1564" s="46" t="s">
        <v>238</v>
      </c>
      <c r="G1564" s="46">
        <v>-16.27</v>
      </c>
      <c r="H1564" s="46">
        <f t="shared" si="51"/>
        <v>201603</v>
      </c>
      <c r="I1564" s="46">
        <f>MATCH(D1564,$O:$O,0)</f>
        <v>10</v>
      </c>
      <c r="J1564" s="46" t="s">
        <v>39</v>
      </c>
      <c r="K1564" s="46" t="s">
        <v>619</v>
      </c>
      <c r="L1564" s="46" t="s">
        <v>1183</v>
      </c>
    </row>
    <row r="1565" spans="1:12" x14ac:dyDescent="0.25">
      <c r="A1565" s="46" t="s">
        <v>236</v>
      </c>
      <c r="B1565" s="47">
        <v>42451</v>
      </c>
      <c r="C1565" s="46" t="s">
        <v>1108</v>
      </c>
      <c r="D1565" s="46" t="str">
        <f t="shared" si="50"/>
        <v>D-Travel</v>
      </c>
      <c r="E1565" s="46" t="s">
        <v>161</v>
      </c>
      <c r="F1565" s="46" t="s">
        <v>238</v>
      </c>
      <c r="G1565" s="46">
        <v>-16.649999999999999</v>
      </c>
      <c r="H1565" s="46">
        <f t="shared" si="51"/>
        <v>201603</v>
      </c>
      <c r="I1565" s="46">
        <f>MATCH(D1565,$O:$O,0)</f>
        <v>10</v>
      </c>
      <c r="J1565" s="46" t="s">
        <v>39</v>
      </c>
      <c r="K1565" s="46" t="s">
        <v>619</v>
      </c>
      <c r="L1565" s="46" t="s">
        <v>229</v>
      </c>
    </row>
    <row r="1566" spans="1:12" x14ac:dyDescent="0.25">
      <c r="A1566" s="46" t="s">
        <v>236</v>
      </c>
      <c r="B1566" s="47">
        <v>42452</v>
      </c>
      <c r="C1566" s="46" t="s">
        <v>1099</v>
      </c>
      <c r="D1566" s="46" t="str">
        <f t="shared" si="50"/>
        <v>D-Travel</v>
      </c>
      <c r="E1566" s="46" t="s">
        <v>161</v>
      </c>
      <c r="F1566" s="46" t="s">
        <v>238</v>
      </c>
      <c r="G1566" s="46">
        <v>-1.91</v>
      </c>
      <c r="H1566" s="46">
        <f t="shared" si="51"/>
        <v>201603</v>
      </c>
      <c r="I1566" s="46">
        <f>MATCH(D1566,$O:$O,0)</f>
        <v>10</v>
      </c>
      <c r="J1566" s="46" t="s">
        <v>39</v>
      </c>
      <c r="K1566" s="46" t="s">
        <v>630</v>
      </c>
      <c r="L1566" s="46" t="s">
        <v>339</v>
      </c>
    </row>
    <row r="1567" spans="1:12" x14ac:dyDescent="0.25">
      <c r="A1567" s="46" t="s">
        <v>236</v>
      </c>
      <c r="B1567" s="47">
        <v>42452</v>
      </c>
      <c r="C1567" s="46" t="s">
        <v>1100</v>
      </c>
      <c r="D1567" s="46" t="str">
        <f t="shared" si="50"/>
        <v>D-Restaurant</v>
      </c>
      <c r="E1567" s="46" t="s">
        <v>204</v>
      </c>
      <c r="F1567" s="46" t="s">
        <v>238</v>
      </c>
      <c r="G1567" s="46">
        <v>-55.82</v>
      </c>
      <c r="H1567" s="46">
        <f t="shared" si="51"/>
        <v>201603</v>
      </c>
      <c r="I1567" s="46">
        <f>MATCH(D1567,$O:$O,0)</f>
        <v>9</v>
      </c>
      <c r="J1567" s="46" t="s">
        <v>39</v>
      </c>
      <c r="K1567" s="46" t="s">
        <v>630</v>
      </c>
      <c r="L1567" s="46" t="s">
        <v>939</v>
      </c>
    </row>
    <row r="1568" spans="1:12" x14ac:dyDescent="0.25">
      <c r="A1568" s="46" t="s">
        <v>236</v>
      </c>
      <c r="B1568" s="47">
        <v>42452</v>
      </c>
      <c r="C1568" s="46" t="s">
        <v>1099</v>
      </c>
      <c r="D1568" s="46" t="str">
        <f t="shared" si="50"/>
        <v>D-Travel</v>
      </c>
      <c r="E1568" s="46" t="s">
        <v>161</v>
      </c>
      <c r="F1568" s="46" t="s">
        <v>238</v>
      </c>
      <c r="G1568" s="46">
        <v>-3.29</v>
      </c>
      <c r="H1568" s="46">
        <f t="shared" si="51"/>
        <v>201603</v>
      </c>
      <c r="I1568" s="46">
        <f>MATCH(D1568,$O:$O,0)</f>
        <v>10</v>
      </c>
      <c r="J1568" s="46" t="s">
        <v>39</v>
      </c>
      <c r="K1568" s="46" t="s">
        <v>630</v>
      </c>
      <c r="L1568" s="46" t="s">
        <v>939</v>
      </c>
    </row>
    <row r="1569" spans="1:12" x14ac:dyDescent="0.25">
      <c r="A1569" s="46" t="s">
        <v>236</v>
      </c>
      <c r="B1569" s="47">
        <v>42452</v>
      </c>
      <c r="C1569" s="46" t="s">
        <v>1101</v>
      </c>
      <c r="D1569" s="46" t="str">
        <f t="shared" si="50"/>
        <v>D-Restaurant</v>
      </c>
      <c r="E1569" s="46" t="s">
        <v>204</v>
      </c>
      <c r="F1569" s="46" t="s">
        <v>238</v>
      </c>
      <c r="G1569" s="46">
        <v>-49.7</v>
      </c>
      <c r="H1569" s="46">
        <f t="shared" si="51"/>
        <v>201603</v>
      </c>
      <c r="I1569" s="46">
        <f>MATCH(D1569,$O:$O,0)</f>
        <v>9</v>
      </c>
      <c r="J1569" s="46" t="s">
        <v>39</v>
      </c>
      <c r="K1569" s="46" t="s">
        <v>803</v>
      </c>
      <c r="L1569" s="46"/>
    </row>
    <row r="1570" spans="1:12" x14ac:dyDescent="0.25">
      <c r="A1570" s="46" t="s">
        <v>236</v>
      </c>
      <c r="B1570" s="47">
        <v>42452</v>
      </c>
      <c r="C1570" s="46" t="s">
        <v>1102</v>
      </c>
      <c r="D1570" s="46" t="str">
        <f t="shared" si="50"/>
        <v>Grocery</v>
      </c>
      <c r="E1570" s="46" t="s">
        <v>192</v>
      </c>
      <c r="F1570" s="46" t="s">
        <v>238</v>
      </c>
      <c r="G1570" s="46">
        <v>-7.25</v>
      </c>
      <c r="H1570" s="46">
        <f t="shared" si="51"/>
        <v>201603</v>
      </c>
      <c r="I1570" s="46">
        <f>MATCH(D1570,$O:$O,0)</f>
        <v>12</v>
      </c>
      <c r="J1570" s="46" t="s">
        <v>39</v>
      </c>
      <c r="K1570" s="46" t="s">
        <v>628</v>
      </c>
      <c r="L1570" s="46"/>
    </row>
    <row r="1571" spans="1:12" x14ac:dyDescent="0.25">
      <c r="A1571" s="46" t="s">
        <v>236</v>
      </c>
      <c r="B1571" s="47">
        <v>42452</v>
      </c>
      <c r="C1571" s="46" t="s">
        <v>565</v>
      </c>
      <c r="D1571" s="46" t="str">
        <f t="shared" si="50"/>
        <v>Grocery</v>
      </c>
      <c r="E1571" s="46" t="s">
        <v>192</v>
      </c>
      <c r="F1571" s="46" t="s">
        <v>238</v>
      </c>
      <c r="G1571" s="46">
        <v>-6</v>
      </c>
      <c r="H1571" s="46">
        <f t="shared" si="51"/>
        <v>201603</v>
      </c>
      <c r="I1571" s="46">
        <f>MATCH(D1571,$O:$O,0)</f>
        <v>12</v>
      </c>
      <c r="J1571" s="46" t="s">
        <v>39</v>
      </c>
      <c r="K1571" s="46" t="s">
        <v>676</v>
      </c>
      <c r="L1571" s="46" t="s">
        <v>677</v>
      </c>
    </row>
    <row r="1572" spans="1:12" x14ac:dyDescent="0.25">
      <c r="A1572" s="46" t="s">
        <v>236</v>
      </c>
      <c r="B1572" s="47">
        <v>42452</v>
      </c>
      <c r="C1572" s="46" t="s">
        <v>775</v>
      </c>
      <c r="D1572" s="46" t="str">
        <f t="shared" ref="D1572:D1635" si="52">IF(ISNA(VLOOKUP(E1572,$L$2:$M$26,2,FALSE)),E1572,VLOOKUP(E1572,$L$2:$M$26,2,FALSE))</f>
        <v>Grocery</v>
      </c>
      <c r="E1572" s="46" t="s">
        <v>192</v>
      </c>
      <c r="F1572" s="46" t="s">
        <v>238</v>
      </c>
      <c r="G1572" s="46">
        <v>-21.13</v>
      </c>
      <c r="H1572" s="46">
        <f t="shared" si="51"/>
        <v>201603</v>
      </c>
      <c r="I1572" s="46">
        <f>MATCH(D1572,$O:$O,0)</f>
        <v>12</v>
      </c>
      <c r="J1572" s="46" t="s">
        <v>39</v>
      </c>
      <c r="K1572" s="46" t="s">
        <v>675</v>
      </c>
      <c r="L1572" s="46" t="s">
        <v>200</v>
      </c>
    </row>
    <row r="1573" spans="1:12" x14ac:dyDescent="0.25">
      <c r="A1573" s="46" t="s">
        <v>236</v>
      </c>
      <c r="B1573" s="47">
        <v>42452</v>
      </c>
      <c r="C1573" s="46" t="s">
        <v>905</v>
      </c>
      <c r="D1573" s="46" t="str">
        <f t="shared" si="52"/>
        <v>Grocery</v>
      </c>
      <c r="E1573" s="46" t="s">
        <v>192</v>
      </c>
      <c r="F1573" s="46" t="s">
        <v>238</v>
      </c>
      <c r="G1573" s="46">
        <v>-2.75</v>
      </c>
      <c r="H1573" s="46">
        <f t="shared" si="51"/>
        <v>201603</v>
      </c>
      <c r="I1573" s="46">
        <f>MATCH(D1573,$O:$O,0)</f>
        <v>12</v>
      </c>
      <c r="J1573" s="46" t="s">
        <v>39</v>
      </c>
      <c r="K1573" s="46" t="s">
        <v>803</v>
      </c>
      <c r="L1573" s="46" t="s">
        <v>200</v>
      </c>
    </row>
    <row r="1574" spans="1:12" x14ac:dyDescent="0.25">
      <c r="A1574" s="46" t="s">
        <v>236</v>
      </c>
      <c r="B1574" s="47">
        <v>42452</v>
      </c>
      <c r="C1574" s="46" t="s">
        <v>1103</v>
      </c>
      <c r="D1574" s="46" t="str">
        <f t="shared" si="52"/>
        <v>Gas</v>
      </c>
      <c r="E1574" s="46" t="s">
        <v>311</v>
      </c>
      <c r="F1574" s="46" t="s">
        <v>238</v>
      </c>
      <c r="G1574" s="46">
        <v>-16.989999999999998</v>
      </c>
      <c r="H1574" s="46">
        <f t="shared" si="51"/>
        <v>201603</v>
      </c>
      <c r="I1574" s="46">
        <f>MATCH(D1574,$O:$O,0)</f>
        <v>30</v>
      </c>
      <c r="J1574" s="46" t="s">
        <v>39</v>
      </c>
      <c r="K1574" s="46" t="s">
        <v>628</v>
      </c>
      <c r="L1574" s="46" t="s">
        <v>200</v>
      </c>
    </row>
    <row r="1575" spans="1:12" x14ac:dyDescent="0.25">
      <c r="A1575" s="46" t="s">
        <v>236</v>
      </c>
      <c r="B1575" s="47">
        <v>42452</v>
      </c>
      <c r="C1575" s="46" t="s">
        <v>775</v>
      </c>
      <c r="D1575" s="46" t="str">
        <f t="shared" si="52"/>
        <v>Grocery</v>
      </c>
      <c r="E1575" s="46" t="s">
        <v>192</v>
      </c>
      <c r="F1575" s="46" t="s">
        <v>238</v>
      </c>
      <c r="G1575" s="46">
        <v>-13.75</v>
      </c>
      <c r="H1575" s="46">
        <f t="shared" si="51"/>
        <v>201603</v>
      </c>
      <c r="I1575" s="46">
        <f>MATCH(D1575,$O:$O,0)</f>
        <v>12</v>
      </c>
      <c r="J1575" s="46" t="s">
        <v>39</v>
      </c>
      <c r="K1575" s="46" t="s">
        <v>619</v>
      </c>
      <c r="L1575" s="46" t="s">
        <v>200</v>
      </c>
    </row>
    <row r="1576" spans="1:12" x14ac:dyDescent="0.25">
      <c r="A1576" s="46" t="s">
        <v>236</v>
      </c>
      <c r="B1576" s="47">
        <v>42453</v>
      </c>
      <c r="C1576" s="46" t="s">
        <v>904</v>
      </c>
      <c r="D1576" s="46" t="str">
        <f t="shared" si="52"/>
        <v>Utility</v>
      </c>
      <c r="E1576" s="46" t="s">
        <v>19</v>
      </c>
      <c r="F1576" s="46" t="s">
        <v>238</v>
      </c>
      <c r="G1576" s="46">
        <v>-297.38</v>
      </c>
      <c r="H1576" s="46">
        <f t="shared" si="51"/>
        <v>201603</v>
      </c>
      <c r="I1576" s="46">
        <f>MATCH(D1576,$O:$O,0)</f>
        <v>34</v>
      </c>
      <c r="J1576" s="46" t="s">
        <v>39</v>
      </c>
      <c r="K1576" s="46" t="s">
        <v>630</v>
      </c>
      <c r="L1576" s="46"/>
    </row>
    <row r="1577" spans="1:12" x14ac:dyDescent="0.25">
      <c r="A1577" s="46" t="s">
        <v>236</v>
      </c>
      <c r="B1577" s="47">
        <v>42453</v>
      </c>
      <c r="C1577" s="46" t="s">
        <v>894</v>
      </c>
      <c r="D1577" s="46" t="str">
        <f t="shared" si="52"/>
        <v>Movies/Software/Online Service</v>
      </c>
      <c r="E1577" s="46" t="s">
        <v>167</v>
      </c>
      <c r="F1577" s="46" t="s">
        <v>238</v>
      </c>
      <c r="G1577" s="46">
        <v>-7.99</v>
      </c>
      <c r="H1577" s="46">
        <f t="shared" si="51"/>
        <v>201603</v>
      </c>
      <c r="I1577" s="46">
        <f>MATCH(D1577,$O:$O,0)</f>
        <v>22</v>
      </c>
      <c r="J1577" s="46" t="s">
        <v>39</v>
      </c>
      <c r="K1577" s="46" t="s">
        <v>630</v>
      </c>
      <c r="L1577" s="46"/>
    </row>
    <row r="1578" spans="1:12" x14ac:dyDescent="0.25">
      <c r="A1578" s="46" t="s">
        <v>236</v>
      </c>
      <c r="B1578" s="47">
        <v>42454</v>
      </c>
      <c r="C1578" s="46" t="s">
        <v>1095</v>
      </c>
      <c r="D1578" s="46" t="str">
        <f t="shared" si="52"/>
        <v>Transfers</v>
      </c>
      <c r="E1578" s="46" t="s">
        <v>226</v>
      </c>
      <c r="F1578" s="46" t="s">
        <v>238</v>
      </c>
      <c r="G1578" s="46">
        <v>-0.44</v>
      </c>
      <c r="H1578" s="46">
        <f t="shared" si="51"/>
        <v>201603</v>
      </c>
      <c r="I1578" s="46">
        <f>MATCH(D1578,$O:$O,0)</f>
        <v>37</v>
      </c>
      <c r="J1578" s="46" t="s">
        <v>39</v>
      </c>
      <c r="K1578" s="46" t="s">
        <v>630</v>
      </c>
      <c r="L1578" s="46"/>
    </row>
    <row r="1579" spans="1:12" x14ac:dyDescent="0.25">
      <c r="A1579" s="46" t="s">
        <v>236</v>
      </c>
      <c r="B1579" s="47">
        <v>42454</v>
      </c>
      <c r="C1579" s="46" t="s">
        <v>1096</v>
      </c>
      <c r="D1579" s="46" t="str">
        <f t="shared" si="52"/>
        <v>Grocery</v>
      </c>
      <c r="E1579" s="46" t="s">
        <v>385</v>
      </c>
      <c r="F1579" s="46" t="s">
        <v>238</v>
      </c>
      <c r="G1579" s="46">
        <v>-24.56</v>
      </c>
      <c r="H1579" s="46">
        <f t="shared" si="51"/>
        <v>201603</v>
      </c>
      <c r="I1579" s="46">
        <f>MATCH(D1579,$O:$O,0)</f>
        <v>12</v>
      </c>
      <c r="J1579" s="46" t="s">
        <v>39</v>
      </c>
      <c r="K1579" s="46" t="s">
        <v>803</v>
      </c>
      <c r="L1579" s="46" t="s">
        <v>960</v>
      </c>
    </row>
    <row r="1580" spans="1:12" x14ac:dyDescent="0.25">
      <c r="A1580" s="46" t="s">
        <v>236</v>
      </c>
      <c r="B1580" s="47">
        <v>42454</v>
      </c>
      <c r="C1580" s="46" t="s">
        <v>1097</v>
      </c>
      <c r="D1580" s="46" t="str">
        <f t="shared" si="52"/>
        <v>D-Travel</v>
      </c>
      <c r="E1580" s="46" t="s">
        <v>161</v>
      </c>
      <c r="F1580" s="46" t="s">
        <v>238</v>
      </c>
      <c r="G1580" s="46">
        <v>-54.9</v>
      </c>
      <c r="H1580" s="46">
        <f t="shared" si="51"/>
        <v>201603</v>
      </c>
      <c r="I1580" s="46">
        <f>MATCH(D1580,$O:$O,0)</f>
        <v>10</v>
      </c>
      <c r="J1580" s="46" t="s">
        <v>39</v>
      </c>
      <c r="K1580" s="46" t="s">
        <v>649</v>
      </c>
      <c r="L1580" s="46"/>
    </row>
    <row r="1581" spans="1:12" x14ac:dyDescent="0.25">
      <c r="A1581" s="46" t="s">
        <v>236</v>
      </c>
      <c r="B1581" s="47">
        <v>42454</v>
      </c>
      <c r="C1581" s="46" t="s">
        <v>1098</v>
      </c>
      <c r="D1581" s="46" t="str">
        <f t="shared" si="52"/>
        <v>Gifts</v>
      </c>
      <c r="E1581" s="46" t="s">
        <v>40</v>
      </c>
      <c r="F1581" s="46" t="s">
        <v>238</v>
      </c>
      <c r="G1581" s="46">
        <v>-21.96</v>
      </c>
      <c r="H1581" s="46">
        <f t="shared" si="51"/>
        <v>201603</v>
      </c>
      <c r="I1581" s="46">
        <f>MATCH(D1581,$O:$O,0)</f>
        <v>11</v>
      </c>
      <c r="J1581" s="46" t="s">
        <v>39</v>
      </c>
      <c r="K1581" s="46" t="s">
        <v>649</v>
      </c>
      <c r="L1581" s="46" t="s">
        <v>960</v>
      </c>
    </row>
    <row r="1582" spans="1:12" x14ac:dyDescent="0.25">
      <c r="A1582" s="46" t="s">
        <v>236</v>
      </c>
      <c r="B1582" s="47">
        <v>42454</v>
      </c>
      <c r="C1582" s="46" t="s">
        <v>915</v>
      </c>
      <c r="D1582" s="46" t="str">
        <f t="shared" si="52"/>
        <v>Gifts</v>
      </c>
      <c r="E1582" s="46" t="s">
        <v>40</v>
      </c>
      <c r="F1582" s="46" t="s">
        <v>238</v>
      </c>
      <c r="G1582" s="46">
        <v>-103.64</v>
      </c>
      <c r="H1582" s="46">
        <f t="shared" si="51"/>
        <v>201603</v>
      </c>
      <c r="I1582" s="46">
        <f>MATCH(D1582,$O:$O,0)</f>
        <v>11</v>
      </c>
      <c r="J1582" s="46" t="s">
        <v>39</v>
      </c>
      <c r="K1582" s="46" t="s">
        <v>619</v>
      </c>
      <c r="L1582" s="46" t="s">
        <v>339</v>
      </c>
    </row>
    <row r="1583" spans="1:12" x14ac:dyDescent="0.25">
      <c r="A1583" s="46" t="s">
        <v>236</v>
      </c>
      <c r="B1583" s="47">
        <v>42455</v>
      </c>
      <c r="C1583" s="46" t="s">
        <v>1091</v>
      </c>
      <c r="D1583" s="46" t="str">
        <f t="shared" si="52"/>
        <v>Seattle House</v>
      </c>
      <c r="E1583" s="46" t="s">
        <v>1207</v>
      </c>
      <c r="F1583" s="46" t="s">
        <v>238</v>
      </c>
      <c r="G1583" s="46">
        <v>-550</v>
      </c>
      <c r="H1583" s="46">
        <f t="shared" si="51"/>
        <v>201603</v>
      </c>
      <c r="I1583" s="46">
        <f>MATCH(D1583,$O:$O,0)</f>
        <v>43</v>
      </c>
      <c r="J1583" s="46" t="s">
        <v>39</v>
      </c>
      <c r="K1583" s="46" t="s">
        <v>619</v>
      </c>
      <c r="L1583" s="46" t="s">
        <v>252</v>
      </c>
    </row>
    <row r="1584" spans="1:12" x14ac:dyDescent="0.25">
      <c r="A1584" s="46" t="s">
        <v>236</v>
      </c>
      <c r="B1584" s="47">
        <v>42455</v>
      </c>
      <c r="C1584" s="46" t="s">
        <v>1092</v>
      </c>
      <c r="D1584" s="46" t="str">
        <f t="shared" si="52"/>
        <v>D-Restaurant</v>
      </c>
      <c r="E1584" s="46" t="s">
        <v>204</v>
      </c>
      <c r="F1584" s="46" t="s">
        <v>238</v>
      </c>
      <c r="G1584" s="46">
        <v>-6.92</v>
      </c>
      <c r="H1584" s="46">
        <f t="shared" si="51"/>
        <v>201603</v>
      </c>
      <c r="I1584" s="46">
        <f>MATCH(D1584,$O:$O,0)</f>
        <v>9</v>
      </c>
      <c r="J1584" s="46" t="s">
        <v>39</v>
      </c>
      <c r="K1584" s="46" t="s">
        <v>632</v>
      </c>
      <c r="L1584" s="46" t="s">
        <v>252</v>
      </c>
    </row>
    <row r="1585" spans="1:12" x14ac:dyDescent="0.25">
      <c r="A1585" s="46" t="s">
        <v>236</v>
      </c>
      <c r="B1585" s="47">
        <v>42455</v>
      </c>
      <c r="C1585" s="46" t="s">
        <v>1094</v>
      </c>
      <c r="D1585" s="46" t="str">
        <f t="shared" si="52"/>
        <v>Tax</v>
      </c>
      <c r="E1585" s="46" t="s">
        <v>222</v>
      </c>
      <c r="F1585" s="46" t="s">
        <v>238</v>
      </c>
      <c r="G1585" s="46">
        <v>-59.97</v>
      </c>
      <c r="H1585" s="46">
        <f t="shared" si="51"/>
        <v>201603</v>
      </c>
      <c r="I1585" s="46">
        <f>MATCH(D1585,$O:$O,0)</f>
        <v>29</v>
      </c>
      <c r="J1585" s="46" t="s">
        <v>39</v>
      </c>
      <c r="K1585" s="46" t="s">
        <v>675</v>
      </c>
      <c r="L1585" s="46" t="s">
        <v>252</v>
      </c>
    </row>
    <row r="1586" spans="1:12" x14ac:dyDescent="0.25">
      <c r="A1586" s="46" t="s">
        <v>236</v>
      </c>
      <c r="B1586" s="47">
        <v>42457</v>
      </c>
      <c r="C1586" s="46" t="s">
        <v>1085</v>
      </c>
      <c r="D1586" s="46" t="str">
        <f t="shared" si="52"/>
        <v>Credit Card Payments</v>
      </c>
      <c r="E1586" s="46" t="s">
        <v>242</v>
      </c>
      <c r="F1586" s="46" t="s">
        <v>238</v>
      </c>
      <c r="G1586" s="46">
        <v>-803</v>
      </c>
      <c r="H1586" s="46">
        <f t="shared" si="51"/>
        <v>201603</v>
      </c>
      <c r="I1586" s="46">
        <f>MATCH(D1586,$O:$O,0)</f>
        <v>38</v>
      </c>
      <c r="J1586" s="46" t="s">
        <v>39</v>
      </c>
      <c r="K1586" s="46" t="s">
        <v>630</v>
      </c>
      <c r="L1586" s="46"/>
    </row>
    <row r="1587" spans="1:12" x14ac:dyDescent="0.25">
      <c r="A1587" s="46" t="s">
        <v>236</v>
      </c>
      <c r="B1587" s="47">
        <v>42457</v>
      </c>
      <c r="C1587" s="46" t="s">
        <v>1086</v>
      </c>
      <c r="D1587" s="46" t="str">
        <f t="shared" si="52"/>
        <v>Credit Card Payments</v>
      </c>
      <c r="E1587" s="46" t="s">
        <v>242</v>
      </c>
      <c r="F1587" s="46" t="s">
        <v>238</v>
      </c>
      <c r="G1587" s="46">
        <v>-850</v>
      </c>
      <c r="H1587" s="46">
        <f t="shared" si="51"/>
        <v>201603</v>
      </c>
      <c r="I1587" s="46">
        <f>MATCH(D1587,$O:$O,0)</f>
        <v>38</v>
      </c>
      <c r="J1587" s="46" t="s">
        <v>39</v>
      </c>
      <c r="K1587" s="46" t="s">
        <v>619</v>
      </c>
      <c r="L1587" s="46"/>
    </row>
    <row r="1588" spans="1:12" x14ac:dyDescent="0.25">
      <c r="A1588" s="46" t="s">
        <v>236</v>
      </c>
      <c r="B1588" s="47">
        <v>42457</v>
      </c>
      <c r="C1588" s="46" t="s">
        <v>1087</v>
      </c>
      <c r="D1588" s="46" t="str">
        <f t="shared" si="52"/>
        <v>Deposits</v>
      </c>
      <c r="E1588" s="46" t="s">
        <v>271</v>
      </c>
      <c r="F1588" s="46" t="s">
        <v>238</v>
      </c>
      <c r="G1588" s="46">
        <v>0.44</v>
      </c>
      <c r="H1588" s="46">
        <f t="shared" si="51"/>
        <v>201603</v>
      </c>
      <c r="I1588" s="46" t="e">
        <f>MATCH(D1588,$O:$O,0)</f>
        <v>#N/A</v>
      </c>
      <c r="J1588" s="46" t="s">
        <v>39</v>
      </c>
      <c r="K1588" s="46" t="s">
        <v>803</v>
      </c>
      <c r="L1588" s="46" t="s">
        <v>1156</v>
      </c>
    </row>
    <row r="1589" spans="1:12" x14ac:dyDescent="0.25">
      <c r="A1589" s="46" t="s">
        <v>236</v>
      </c>
      <c r="B1589" s="47">
        <v>42457</v>
      </c>
      <c r="C1589" s="46" t="s">
        <v>557</v>
      </c>
      <c r="D1589" s="46" t="str">
        <f t="shared" si="52"/>
        <v>Credit Card Payments</v>
      </c>
      <c r="E1589" s="46" t="s">
        <v>242</v>
      </c>
      <c r="F1589" s="46" t="s">
        <v>238</v>
      </c>
      <c r="G1589" s="46">
        <v>803</v>
      </c>
      <c r="H1589" s="46">
        <f t="shared" si="51"/>
        <v>201603</v>
      </c>
      <c r="I1589" s="46">
        <f>MATCH(D1589,$O:$O,0)</f>
        <v>38</v>
      </c>
      <c r="J1589" s="46" t="s">
        <v>39</v>
      </c>
      <c r="K1589" s="46" t="s">
        <v>649</v>
      </c>
      <c r="L1589" s="46" t="s">
        <v>1196</v>
      </c>
    </row>
    <row r="1590" spans="1:12" x14ac:dyDescent="0.25">
      <c r="A1590" s="46" t="s">
        <v>236</v>
      </c>
      <c r="B1590" s="47">
        <v>42457</v>
      </c>
      <c r="C1590" s="46" t="s">
        <v>769</v>
      </c>
      <c r="D1590" s="46" t="str">
        <f t="shared" si="52"/>
        <v>D-Travel</v>
      </c>
      <c r="E1590" s="46" t="s">
        <v>161</v>
      </c>
      <c r="F1590" s="46" t="s">
        <v>238</v>
      </c>
      <c r="G1590" s="46">
        <v>-2</v>
      </c>
      <c r="H1590" s="46">
        <f t="shared" si="51"/>
        <v>201603</v>
      </c>
      <c r="I1590" s="46">
        <f>MATCH(D1590,$O:$O,0)</f>
        <v>10</v>
      </c>
      <c r="J1590" s="46" t="s">
        <v>39</v>
      </c>
      <c r="K1590" s="46" t="s">
        <v>649</v>
      </c>
      <c r="L1590" s="46" t="s">
        <v>205</v>
      </c>
    </row>
    <row r="1591" spans="1:12" x14ac:dyDescent="0.25">
      <c r="A1591" s="46" t="s">
        <v>236</v>
      </c>
      <c r="B1591" s="47">
        <v>42457</v>
      </c>
      <c r="C1591" s="46" t="s">
        <v>1088</v>
      </c>
      <c r="D1591" s="46" t="str">
        <f t="shared" si="52"/>
        <v>Health Care</v>
      </c>
      <c r="E1591" s="46" t="s">
        <v>160</v>
      </c>
      <c r="F1591" s="46" t="s">
        <v>238</v>
      </c>
      <c r="G1591" s="46">
        <v>-10</v>
      </c>
      <c r="H1591" s="46">
        <f t="shared" si="51"/>
        <v>201603</v>
      </c>
      <c r="I1591" s="46">
        <f>MATCH(D1591,$O:$O,0)</f>
        <v>14</v>
      </c>
      <c r="J1591" s="46" t="s">
        <v>39</v>
      </c>
      <c r="K1591" s="46" t="s">
        <v>803</v>
      </c>
      <c r="L1591" s="46"/>
    </row>
    <row r="1592" spans="1:12" x14ac:dyDescent="0.25">
      <c r="A1592" s="46" t="s">
        <v>236</v>
      </c>
      <c r="B1592" s="47">
        <v>42457</v>
      </c>
      <c r="C1592" s="46" t="s">
        <v>1089</v>
      </c>
      <c r="D1592" s="46" t="str">
        <f t="shared" si="52"/>
        <v>Tax</v>
      </c>
      <c r="E1592" s="46" t="s">
        <v>222</v>
      </c>
      <c r="F1592" s="46" t="s">
        <v>238</v>
      </c>
      <c r="G1592" s="46">
        <v>-24.99</v>
      </c>
      <c r="H1592" s="46">
        <f t="shared" si="51"/>
        <v>201603</v>
      </c>
      <c r="I1592" s="46">
        <f>MATCH(D1592,$O:$O,0)</f>
        <v>29</v>
      </c>
      <c r="J1592" s="46" t="s">
        <v>39</v>
      </c>
      <c r="K1592" s="46" t="s">
        <v>630</v>
      </c>
      <c r="L1592" s="46" t="s">
        <v>252</v>
      </c>
    </row>
    <row r="1593" spans="1:12" x14ac:dyDescent="0.25">
      <c r="A1593" s="46" t="s">
        <v>236</v>
      </c>
      <c r="B1593" s="47">
        <v>42457</v>
      </c>
      <c r="C1593" s="46" t="s">
        <v>847</v>
      </c>
      <c r="D1593" s="46" t="str">
        <f t="shared" si="52"/>
        <v>Grocery</v>
      </c>
      <c r="E1593" s="46" t="s">
        <v>192</v>
      </c>
      <c r="F1593" s="46" t="s">
        <v>238</v>
      </c>
      <c r="G1593" s="46">
        <v>-10.89</v>
      </c>
      <c r="H1593" s="46">
        <f t="shared" si="51"/>
        <v>201603</v>
      </c>
      <c r="I1593" s="46">
        <f>MATCH(D1593,$O:$O,0)</f>
        <v>12</v>
      </c>
      <c r="J1593" s="46" t="s">
        <v>39</v>
      </c>
      <c r="K1593" s="46" t="s">
        <v>649</v>
      </c>
      <c r="L1593" s="46" t="s">
        <v>326</v>
      </c>
    </row>
    <row r="1594" spans="1:12" x14ac:dyDescent="0.25">
      <c r="A1594" s="46" t="s">
        <v>236</v>
      </c>
      <c r="B1594" s="47">
        <v>42457</v>
      </c>
      <c r="C1594" s="46" t="s">
        <v>557</v>
      </c>
      <c r="D1594" s="46" t="str">
        <f t="shared" si="52"/>
        <v>Credit Card Payments</v>
      </c>
      <c r="E1594" s="46" t="s">
        <v>242</v>
      </c>
      <c r="F1594" s="46" t="s">
        <v>238</v>
      </c>
      <c r="G1594" s="46">
        <v>850</v>
      </c>
      <c r="H1594" s="46">
        <f t="shared" si="51"/>
        <v>201603</v>
      </c>
      <c r="I1594" s="46">
        <f>MATCH(D1594,$O:$O,0)</f>
        <v>38</v>
      </c>
      <c r="J1594" s="46" t="s">
        <v>39</v>
      </c>
      <c r="K1594" s="46" t="s">
        <v>619</v>
      </c>
      <c r="L1594" s="46" t="s">
        <v>241</v>
      </c>
    </row>
    <row r="1595" spans="1:12" x14ac:dyDescent="0.25">
      <c r="A1595" s="46" t="s">
        <v>236</v>
      </c>
      <c r="B1595" s="47">
        <v>42458</v>
      </c>
      <c r="C1595" s="46" t="s">
        <v>1083</v>
      </c>
      <c r="D1595" s="46" t="str">
        <f t="shared" si="52"/>
        <v>D-Restaurant</v>
      </c>
      <c r="E1595" s="46" t="s">
        <v>204</v>
      </c>
      <c r="F1595" s="46" t="s">
        <v>238</v>
      </c>
      <c r="G1595" s="46">
        <v>-3</v>
      </c>
      <c r="H1595" s="46">
        <f t="shared" si="51"/>
        <v>201603</v>
      </c>
      <c r="I1595" s="46">
        <f>MATCH(D1595,$O:$O,0)</f>
        <v>9</v>
      </c>
      <c r="J1595" s="46" t="s">
        <v>39</v>
      </c>
      <c r="K1595" s="46" t="s">
        <v>803</v>
      </c>
      <c r="L1595" s="46" t="s">
        <v>1201</v>
      </c>
    </row>
    <row r="1596" spans="1:12" x14ac:dyDescent="0.25">
      <c r="A1596" s="46" t="s">
        <v>236</v>
      </c>
      <c r="B1596" s="47">
        <v>42459</v>
      </c>
      <c r="C1596" s="46" t="s">
        <v>1081</v>
      </c>
      <c r="D1596" s="46" t="str">
        <f t="shared" si="52"/>
        <v>Parking</v>
      </c>
      <c r="E1596" s="46" t="s">
        <v>170</v>
      </c>
      <c r="F1596" s="46" t="s">
        <v>238</v>
      </c>
      <c r="G1596" s="46">
        <v>-2</v>
      </c>
      <c r="H1596" s="46">
        <f t="shared" si="51"/>
        <v>201603</v>
      </c>
      <c r="I1596" s="46">
        <f>MATCH(D1596,$O:$O,0)</f>
        <v>32</v>
      </c>
      <c r="J1596" s="46" t="s">
        <v>39</v>
      </c>
      <c r="K1596" s="46" t="s">
        <v>630</v>
      </c>
      <c r="L1596" s="46"/>
    </row>
    <row r="1597" spans="1:12" x14ac:dyDescent="0.25">
      <c r="A1597" s="46" t="s">
        <v>236</v>
      </c>
      <c r="B1597" s="47">
        <v>42459</v>
      </c>
      <c r="C1597" s="46" t="s">
        <v>1082</v>
      </c>
      <c r="D1597" s="46" t="str">
        <f t="shared" si="52"/>
        <v>Parking</v>
      </c>
      <c r="E1597" s="46" t="s">
        <v>170</v>
      </c>
      <c r="F1597" s="46" t="s">
        <v>238</v>
      </c>
      <c r="G1597" s="46">
        <v>-3</v>
      </c>
      <c r="H1597" s="46">
        <f t="shared" si="51"/>
        <v>201603</v>
      </c>
      <c r="I1597" s="46">
        <f>MATCH(D1597,$O:$O,0)</f>
        <v>32</v>
      </c>
      <c r="J1597" s="46" t="s">
        <v>39</v>
      </c>
      <c r="K1597" s="46" t="s">
        <v>649</v>
      </c>
      <c r="L1597" s="46" t="s">
        <v>248</v>
      </c>
    </row>
    <row r="1598" spans="1:12" x14ac:dyDescent="0.25">
      <c r="A1598" s="46" t="s">
        <v>236</v>
      </c>
      <c r="B1598" s="47">
        <v>42459</v>
      </c>
      <c r="C1598" s="46" t="s">
        <v>775</v>
      </c>
      <c r="D1598" s="46" t="str">
        <f t="shared" si="52"/>
        <v>Grocery</v>
      </c>
      <c r="E1598" s="46" t="s">
        <v>192</v>
      </c>
      <c r="F1598" s="46" t="s">
        <v>238</v>
      </c>
      <c r="G1598" s="46">
        <v>-24.91</v>
      </c>
      <c r="H1598" s="46">
        <f t="shared" si="51"/>
        <v>201603</v>
      </c>
      <c r="I1598" s="46">
        <f>MATCH(D1598,$O:$O,0)</f>
        <v>12</v>
      </c>
      <c r="J1598" s="46" t="s">
        <v>39</v>
      </c>
      <c r="K1598" s="46" t="s">
        <v>649</v>
      </c>
      <c r="L1598" s="46" t="s">
        <v>723</v>
      </c>
    </row>
    <row r="1599" spans="1:12" x14ac:dyDescent="0.25">
      <c r="A1599" s="46" t="s">
        <v>236</v>
      </c>
      <c r="B1599" s="47">
        <v>42460</v>
      </c>
      <c r="C1599" s="46" t="s">
        <v>1077</v>
      </c>
      <c r="D1599" s="46" t="str">
        <f t="shared" si="52"/>
        <v>Grocery</v>
      </c>
      <c r="E1599" s="46" t="s">
        <v>192</v>
      </c>
      <c r="F1599" s="46" t="s">
        <v>238</v>
      </c>
      <c r="G1599" s="46">
        <v>-13.6</v>
      </c>
      <c r="H1599" s="46">
        <f t="shared" si="51"/>
        <v>201603</v>
      </c>
      <c r="I1599" s="46">
        <f>MATCH(D1599,$O:$O,0)</f>
        <v>12</v>
      </c>
      <c r="J1599" s="46" t="s">
        <v>39</v>
      </c>
      <c r="K1599" s="46" t="s">
        <v>649</v>
      </c>
      <c r="L1599" s="46" t="s">
        <v>363</v>
      </c>
    </row>
    <row r="1600" spans="1:12" x14ac:dyDescent="0.25">
      <c r="A1600" s="46" t="s">
        <v>236</v>
      </c>
      <c r="B1600" s="47">
        <v>42460</v>
      </c>
      <c r="C1600" s="46" t="s">
        <v>1078</v>
      </c>
      <c r="D1600" s="46" t="str">
        <f t="shared" si="52"/>
        <v>Paychecks/Salary</v>
      </c>
      <c r="E1600" s="46" t="s">
        <v>375</v>
      </c>
      <c r="F1600" s="46" t="s">
        <v>238</v>
      </c>
      <c r="G1600" s="46">
        <v>706.94</v>
      </c>
      <c r="H1600" s="46">
        <f t="shared" si="51"/>
        <v>201603</v>
      </c>
      <c r="I1600" s="46">
        <f>MATCH(D1600,$O:$O,0)</f>
        <v>40</v>
      </c>
      <c r="J1600" s="46" t="s">
        <v>39</v>
      </c>
      <c r="K1600" s="46" t="s">
        <v>649</v>
      </c>
      <c r="L1600" s="46" t="s">
        <v>326</v>
      </c>
    </row>
    <row r="1601" spans="1:12" x14ac:dyDescent="0.25">
      <c r="A1601" s="46" t="s">
        <v>236</v>
      </c>
      <c r="B1601" s="47">
        <v>42460</v>
      </c>
      <c r="C1601" s="46" t="s">
        <v>482</v>
      </c>
      <c r="D1601" s="46" t="str">
        <f t="shared" si="52"/>
        <v>Paychecks/Salary</v>
      </c>
      <c r="E1601" s="46" t="s">
        <v>375</v>
      </c>
      <c r="F1601" s="46" t="s">
        <v>238</v>
      </c>
      <c r="G1601" s="48">
        <v>3429.72</v>
      </c>
      <c r="H1601" s="46">
        <f t="shared" si="51"/>
        <v>201603</v>
      </c>
      <c r="I1601" s="46">
        <f>MATCH(D1601,$O:$O,0)</f>
        <v>40</v>
      </c>
      <c r="J1601" s="46" t="s">
        <v>39</v>
      </c>
      <c r="K1601" s="46" t="s">
        <v>649</v>
      </c>
      <c r="L1601" s="46" t="s">
        <v>252</v>
      </c>
    </row>
    <row r="1602" spans="1:12" x14ac:dyDescent="0.25">
      <c r="A1602" s="46" t="s">
        <v>236</v>
      </c>
      <c r="B1602" s="47">
        <v>42460</v>
      </c>
      <c r="C1602" s="46" t="s">
        <v>646</v>
      </c>
      <c r="D1602" s="46" t="str">
        <f t="shared" si="52"/>
        <v>Cell Phone</v>
      </c>
      <c r="E1602" s="46" t="s">
        <v>224</v>
      </c>
      <c r="F1602" s="46" t="s">
        <v>238</v>
      </c>
      <c r="G1602" s="46">
        <v>-177.25</v>
      </c>
      <c r="H1602" s="46">
        <f t="shared" ref="H1602:H1665" si="53">YEAR(B1602)*100+MONTH(B1602)</f>
        <v>201603</v>
      </c>
      <c r="I1602" s="46">
        <f>MATCH(D1602,$O:$O,0)</f>
        <v>4</v>
      </c>
      <c r="J1602" s="46" t="s">
        <v>39</v>
      </c>
      <c r="K1602" s="46" t="s">
        <v>649</v>
      </c>
      <c r="L1602" s="46" t="s">
        <v>351</v>
      </c>
    </row>
    <row r="1603" spans="1:12" x14ac:dyDescent="0.25">
      <c r="A1603" s="46" t="s">
        <v>236</v>
      </c>
      <c r="B1603" s="47">
        <v>42460</v>
      </c>
      <c r="C1603" s="46" t="s">
        <v>1079</v>
      </c>
      <c r="D1603" s="46" t="str">
        <f t="shared" si="52"/>
        <v>D-Restaurant</v>
      </c>
      <c r="E1603" s="46" t="s">
        <v>204</v>
      </c>
      <c r="F1603" s="46" t="s">
        <v>238</v>
      </c>
      <c r="G1603" s="46">
        <v>-24.87</v>
      </c>
      <c r="H1603" s="46">
        <f t="shared" si="53"/>
        <v>201603</v>
      </c>
      <c r="I1603" s="46">
        <f>MATCH(D1603,$O:$O,0)</f>
        <v>9</v>
      </c>
      <c r="J1603" s="46" t="s">
        <v>39</v>
      </c>
      <c r="K1603" s="46" t="s">
        <v>619</v>
      </c>
      <c r="L1603" s="46" t="s">
        <v>1203</v>
      </c>
    </row>
    <row r="1604" spans="1:12" x14ac:dyDescent="0.25">
      <c r="A1604" s="46" t="s">
        <v>236</v>
      </c>
      <c r="B1604" s="47">
        <v>42460</v>
      </c>
      <c r="C1604" s="46" t="s">
        <v>575</v>
      </c>
      <c r="D1604" s="46" t="str">
        <f t="shared" si="52"/>
        <v>D-Restaurant</v>
      </c>
      <c r="E1604" s="46" t="s">
        <v>204</v>
      </c>
      <c r="F1604" s="46" t="s">
        <v>238</v>
      </c>
      <c r="G1604" s="46">
        <v>-7.75</v>
      </c>
      <c r="H1604" s="46">
        <f t="shared" si="53"/>
        <v>201603</v>
      </c>
      <c r="I1604" s="46">
        <f>MATCH(D1604,$O:$O,0)</f>
        <v>9</v>
      </c>
      <c r="J1604" s="46" t="s">
        <v>39</v>
      </c>
      <c r="K1604" s="46" t="s">
        <v>619</v>
      </c>
      <c r="L1604" s="46" t="s">
        <v>1183</v>
      </c>
    </row>
    <row r="1605" spans="1:12" x14ac:dyDescent="0.25">
      <c r="A1605" s="46" t="s">
        <v>236</v>
      </c>
      <c r="B1605" s="47">
        <v>42460</v>
      </c>
      <c r="C1605" s="46" t="s">
        <v>411</v>
      </c>
      <c r="D1605" s="46" t="str">
        <f t="shared" si="52"/>
        <v>Retirement Contributions</v>
      </c>
      <c r="E1605" s="46" t="s">
        <v>263</v>
      </c>
      <c r="F1605" s="46" t="s">
        <v>238</v>
      </c>
      <c r="G1605" s="46">
        <v>10.25</v>
      </c>
      <c r="H1605" s="46">
        <f t="shared" si="53"/>
        <v>201603</v>
      </c>
      <c r="I1605" s="46">
        <f>MATCH(D1605,$O:$O,0)</f>
        <v>39</v>
      </c>
      <c r="J1605" s="46" t="s">
        <v>39</v>
      </c>
      <c r="K1605" s="46" t="s">
        <v>619</v>
      </c>
      <c r="L1605" s="46" t="s">
        <v>816</v>
      </c>
    </row>
    <row r="1606" spans="1:12" s="46" customFormat="1" x14ac:dyDescent="0.25">
      <c r="A1606" s="46" t="s">
        <v>236</v>
      </c>
      <c r="B1606" s="47">
        <v>42461</v>
      </c>
      <c r="C1606" s="46" t="s">
        <v>591</v>
      </c>
      <c r="D1606" s="46" t="str">
        <f t="shared" si="52"/>
        <v>Mortgage/Rent</v>
      </c>
      <c r="E1606" s="46" t="s">
        <v>202</v>
      </c>
      <c r="F1606" s="46" t="s">
        <v>238</v>
      </c>
      <c r="G1606" s="48">
        <v>-3116.77</v>
      </c>
      <c r="H1606" s="46">
        <f t="shared" si="53"/>
        <v>201604</v>
      </c>
      <c r="I1606" s="46">
        <f>MATCH(D1606,$O:$O,0)</f>
        <v>21</v>
      </c>
      <c r="J1606" s="46" t="s">
        <v>39</v>
      </c>
      <c r="K1606" s="46" t="s">
        <v>630</v>
      </c>
      <c r="L1606" s="46" t="s">
        <v>363</v>
      </c>
    </row>
    <row r="1607" spans="1:12" s="46" customFormat="1" x14ac:dyDescent="0.25">
      <c r="A1607" s="46" t="s">
        <v>236</v>
      </c>
      <c r="B1607" s="47">
        <v>42461</v>
      </c>
      <c r="C1607" s="46" t="s">
        <v>893</v>
      </c>
      <c r="D1607" s="46" t="str">
        <f t="shared" si="52"/>
        <v>D-Coffee</v>
      </c>
      <c r="E1607" s="46" t="s">
        <v>215</v>
      </c>
      <c r="F1607" s="46" t="s">
        <v>238</v>
      </c>
      <c r="G1607" s="46">
        <v>-28.25</v>
      </c>
      <c r="H1607" s="46">
        <f t="shared" si="53"/>
        <v>201604</v>
      </c>
      <c r="I1607" s="46">
        <f>MATCH(D1607,$O:$O,0)</f>
        <v>7</v>
      </c>
      <c r="J1607" s="46" t="s">
        <v>39</v>
      </c>
      <c r="K1607" s="46" t="s">
        <v>649</v>
      </c>
    </row>
    <row r="1608" spans="1:12" s="46" customFormat="1" x14ac:dyDescent="0.25">
      <c r="A1608" s="46" t="s">
        <v>236</v>
      </c>
      <c r="B1608" s="47">
        <v>42462</v>
      </c>
      <c r="C1608" s="46" t="s">
        <v>887</v>
      </c>
      <c r="D1608" s="46" t="str">
        <f t="shared" si="52"/>
        <v>D-Restaurant</v>
      </c>
      <c r="E1608" s="46" t="s">
        <v>204</v>
      </c>
      <c r="F1608" s="46" t="s">
        <v>238</v>
      </c>
      <c r="G1608" s="46">
        <v>-8.27</v>
      </c>
      <c r="H1608" s="46">
        <f t="shared" si="53"/>
        <v>201604</v>
      </c>
      <c r="I1608" s="46">
        <f>MATCH(D1608,$O:$O,0)</f>
        <v>9</v>
      </c>
      <c r="J1608" s="46" t="s">
        <v>39</v>
      </c>
      <c r="K1608" s="46" t="s">
        <v>675</v>
      </c>
    </row>
    <row r="1609" spans="1:12" s="46" customFormat="1" x14ac:dyDescent="0.25">
      <c r="A1609" s="46" t="s">
        <v>236</v>
      </c>
      <c r="B1609" s="47">
        <v>42462</v>
      </c>
      <c r="C1609" s="46" t="s">
        <v>1063</v>
      </c>
      <c r="D1609" s="46" t="str">
        <f t="shared" si="52"/>
        <v>D-Restaurant</v>
      </c>
      <c r="E1609" s="46" t="s">
        <v>204</v>
      </c>
      <c r="F1609" s="46" t="s">
        <v>238</v>
      </c>
      <c r="G1609" s="46">
        <v>-7.3</v>
      </c>
      <c r="H1609" s="46">
        <f t="shared" si="53"/>
        <v>201604</v>
      </c>
      <c r="I1609" s="46">
        <f>MATCH(D1609,$O:$O,0)</f>
        <v>9</v>
      </c>
      <c r="J1609" s="46" t="s">
        <v>39</v>
      </c>
      <c r="K1609" s="46" t="s">
        <v>803</v>
      </c>
      <c r="L1609" s="46" t="s">
        <v>339</v>
      </c>
    </row>
    <row r="1610" spans="1:12" s="46" customFormat="1" x14ac:dyDescent="0.25">
      <c r="A1610" s="46" t="s">
        <v>236</v>
      </c>
      <c r="B1610" s="47">
        <v>42462</v>
      </c>
      <c r="C1610" s="46" t="s">
        <v>747</v>
      </c>
      <c r="D1610" s="46" t="str">
        <f t="shared" si="52"/>
        <v>Cell Phone</v>
      </c>
      <c r="E1610" s="46" t="s">
        <v>224</v>
      </c>
      <c r="F1610" s="46" t="s">
        <v>238</v>
      </c>
      <c r="G1610" s="46">
        <v>-77.489999999999995</v>
      </c>
      <c r="H1610" s="46">
        <f t="shared" si="53"/>
        <v>201604</v>
      </c>
      <c r="I1610" s="46">
        <f>MATCH(D1610,$O:$O,0)</f>
        <v>4</v>
      </c>
      <c r="J1610" s="46" t="s">
        <v>39</v>
      </c>
      <c r="K1610" s="46" t="s">
        <v>649</v>
      </c>
    </row>
    <row r="1611" spans="1:12" s="46" customFormat="1" x14ac:dyDescent="0.25">
      <c r="A1611" s="46" t="s">
        <v>236</v>
      </c>
      <c r="B1611" s="47">
        <v>42462</v>
      </c>
      <c r="C1611" s="46" t="s">
        <v>435</v>
      </c>
      <c r="D1611" s="46" t="str">
        <f t="shared" si="52"/>
        <v>Credit Card Payments</v>
      </c>
      <c r="E1611" s="46" t="s">
        <v>242</v>
      </c>
      <c r="F1611" s="46" t="s">
        <v>238</v>
      </c>
      <c r="G1611" s="46">
        <v>354.33</v>
      </c>
      <c r="H1611" s="46">
        <f t="shared" si="53"/>
        <v>201604</v>
      </c>
      <c r="I1611" s="46">
        <f>MATCH(D1611,$O:$O,0)</f>
        <v>38</v>
      </c>
      <c r="J1611" s="46" t="s">
        <v>39</v>
      </c>
      <c r="K1611" s="46" t="s">
        <v>649</v>
      </c>
    </row>
    <row r="1612" spans="1:12" s="52" customFormat="1" x14ac:dyDescent="0.25">
      <c r="A1612" s="46" t="s">
        <v>236</v>
      </c>
      <c r="B1612" s="47">
        <v>42464</v>
      </c>
      <c r="C1612" s="46" t="s">
        <v>1155</v>
      </c>
      <c r="D1612" s="46" t="str">
        <f t="shared" si="52"/>
        <v>Car Related</v>
      </c>
      <c r="E1612" s="46" t="s">
        <v>1339</v>
      </c>
      <c r="F1612" s="46" t="s">
        <v>238</v>
      </c>
      <c r="G1612" s="46">
        <v>-321.52</v>
      </c>
      <c r="H1612" s="46">
        <f t="shared" si="53"/>
        <v>201604</v>
      </c>
      <c r="I1612" s="46">
        <f>MATCH(D1612,$O:$O,0)</f>
        <v>31</v>
      </c>
      <c r="J1612" s="52" t="s">
        <v>39</v>
      </c>
      <c r="K1612" s="52" t="s">
        <v>649</v>
      </c>
    </row>
    <row r="1613" spans="1:12" s="52" customFormat="1" x14ac:dyDescent="0.25">
      <c r="A1613" s="46" t="s">
        <v>236</v>
      </c>
      <c r="B1613" s="47">
        <v>42464</v>
      </c>
      <c r="C1613" s="46" t="s">
        <v>1273</v>
      </c>
      <c r="D1613" s="46" t="str">
        <f t="shared" si="52"/>
        <v>Credit Card Payments</v>
      </c>
      <c r="E1613" s="46" t="s">
        <v>242</v>
      </c>
      <c r="F1613" s="46" t="s">
        <v>238</v>
      </c>
      <c r="G1613" s="46">
        <v>-354.33</v>
      </c>
      <c r="H1613" s="46">
        <f t="shared" si="53"/>
        <v>201604</v>
      </c>
      <c r="I1613" s="46">
        <f>MATCH(D1613,$O:$O,0)</f>
        <v>38</v>
      </c>
      <c r="J1613" s="52" t="s">
        <v>39</v>
      </c>
      <c r="K1613" s="52" t="s">
        <v>649</v>
      </c>
    </row>
    <row r="1614" spans="1:12" s="17" customFormat="1" x14ac:dyDescent="0.25">
      <c r="A1614" s="46" t="s">
        <v>236</v>
      </c>
      <c r="B1614" s="47">
        <v>42464</v>
      </c>
      <c r="C1614" s="46" t="s">
        <v>1274</v>
      </c>
      <c r="D1614" s="46" t="str">
        <f t="shared" si="52"/>
        <v>D-Travel</v>
      </c>
      <c r="E1614" s="46" t="s">
        <v>161</v>
      </c>
      <c r="F1614" s="46" t="s">
        <v>238</v>
      </c>
      <c r="G1614" s="46">
        <v>-6</v>
      </c>
      <c r="H1614" s="46">
        <f t="shared" si="53"/>
        <v>201604</v>
      </c>
      <c r="I1614" s="46">
        <f>MATCH(D1614,$O:$O,0)</f>
        <v>10</v>
      </c>
      <c r="J1614" s="52" t="s">
        <v>39</v>
      </c>
      <c r="K1614" s="52" t="s">
        <v>632</v>
      </c>
    </row>
    <row r="1615" spans="1:12" s="46" customFormat="1" x14ac:dyDescent="0.25">
      <c r="A1615" s="46" t="s">
        <v>236</v>
      </c>
      <c r="B1615" s="47">
        <v>42464</v>
      </c>
      <c r="C1615" s="46" t="s">
        <v>1275</v>
      </c>
      <c r="D1615" s="46" t="str">
        <f t="shared" si="52"/>
        <v>D-Restaurant</v>
      </c>
      <c r="E1615" s="46" t="s">
        <v>204</v>
      </c>
      <c r="F1615" s="46" t="s">
        <v>238</v>
      </c>
      <c r="G1615" s="46">
        <v>-11.45</v>
      </c>
      <c r="H1615" s="46">
        <f t="shared" si="53"/>
        <v>201604</v>
      </c>
      <c r="I1615" s="46">
        <f>MATCH(D1615,$O:$O,0)</f>
        <v>9</v>
      </c>
      <c r="J1615" s="46" t="s">
        <v>39</v>
      </c>
      <c r="K1615" s="46" t="s">
        <v>675</v>
      </c>
      <c r="L1615" s="46" t="s">
        <v>193</v>
      </c>
    </row>
    <row r="1616" spans="1:12" s="46" customFormat="1" x14ac:dyDescent="0.25">
      <c r="A1616" s="46" t="s">
        <v>236</v>
      </c>
      <c r="B1616" s="47">
        <v>42464</v>
      </c>
      <c r="C1616" s="46" t="s">
        <v>565</v>
      </c>
      <c r="D1616" s="46" t="str">
        <f t="shared" si="52"/>
        <v>Grocery</v>
      </c>
      <c r="E1616" s="46" t="s">
        <v>192</v>
      </c>
      <c r="F1616" s="46" t="s">
        <v>238</v>
      </c>
      <c r="G1616" s="46">
        <v>-32.72</v>
      </c>
      <c r="H1616" s="46">
        <f t="shared" si="53"/>
        <v>201604</v>
      </c>
      <c r="I1616" s="46">
        <f>MATCH(D1616,$O:$O,0)</f>
        <v>12</v>
      </c>
      <c r="J1616" s="46" t="s">
        <v>39</v>
      </c>
      <c r="K1616" s="46" t="s">
        <v>675</v>
      </c>
      <c r="L1616" s="46" t="s">
        <v>193</v>
      </c>
    </row>
    <row r="1617" spans="1:12" s="46" customFormat="1" x14ac:dyDescent="0.25">
      <c r="A1617" s="46" t="s">
        <v>236</v>
      </c>
      <c r="B1617" s="47">
        <v>42464</v>
      </c>
      <c r="C1617" s="46" t="s">
        <v>849</v>
      </c>
      <c r="D1617" s="46" t="str">
        <f t="shared" si="52"/>
        <v>Home Maintainence/Improvement</v>
      </c>
      <c r="E1617" s="46" t="s">
        <v>342</v>
      </c>
      <c r="F1617" s="46" t="s">
        <v>238</v>
      </c>
      <c r="G1617" s="46">
        <v>-11.07</v>
      </c>
      <c r="H1617" s="46">
        <f t="shared" si="53"/>
        <v>201604</v>
      </c>
      <c r="I1617" s="46">
        <f>MATCH(D1617,$O:$O,0)</f>
        <v>16</v>
      </c>
      <c r="J1617" s="46" t="s">
        <v>39</v>
      </c>
      <c r="K1617" s="46" t="s">
        <v>649</v>
      </c>
    </row>
    <row r="1618" spans="1:12" s="46" customFormat="1" x14ac:dyDescent="0.25">
      <c r="A1618" s="46" t="s">
        <v>236</v>
      </c>
      <c r="B1618" s="47">
        <v>42464</v>
      </c>
      <c r="C1618" s="46" t="s">
        <v>1276</v>
      </c>
      <c r="D1618" s="46" t="str">
        <f t="shared" si="52"/>
        <v>D-Restaurant</v>
      </c>
      <c r="E1618" s="46" t="s">
        <v>204</v>
      </c>
      <c r="F1618" s="46" t="s">
        <v>238</v>
      </c>
      <c r="G1618" s="46">
        <v>-55.75</v>
      </c>
      <c r="H1618" s="46">
        <f t="shared" si="53"/>
        <v>201604</v>
      </c>
      <c r="I1618" s="46">
        <f>MATCH(D1618,$O:$O,0)</f>
        <v>9</v>
      </c>
      <c r="J1618" s="46" t="s">
        <v>39</v>
      </c>
      <c r="K1618" s="46" t="s">
        <v>675</v>
      </c>
      <c r="L1618" s="46" t="s">
        <v>310</v>
      </c>
    </row>
    <row r="1619" spans="1:12" s="46" customFormat="1" x14ac:dyDescent="0.25">
      <c r="A1619" s="46" t="s">
        <v>236</v>
      </c>
      <c r="B1619" s="47">
        <v>42464</v>
      </c>
      <c r="C1619" s="46" t="s">
        <v>899</v>
      </c>
      <c r="D1619" s="46" t="str">
        <f t="shared" si="52"/>
        <v>Grocery</v>
      </c>
      <c r="E1619" s="46" t="s">
        <v>192</v>
      </c>
      <c r="F1619" s="46" t="s">
        <v>238</v>
      </c>
      <c r="G1619" s="46">
        <v>-13.81</v>
      </c>
      <c r="H1619" s="46">
        <f t="shared" si="53"/>
        <v>201604</v>
      </c>
      <c r="I1619" s="46">
        <f>MATCH(D1619,$O:$O,0)</f>
        <v>12</v>
      </c>
      <c r="J1619" s="46" t="s">
        <v>39</v>
      </c>
      <c r="K1619" s="46" t="s">
        <v>649</v>
      </c>
      <c r="L1619" s="46" t="s">
        <v>252</v>
      </c>
    </row>
    <row r="1620" spans="1:12" s="46" customFormat="1" x14ac:dyDescent="0.25">
      <c r="A1620" s="46" t="s">
        <v>236</v>
      </c>
      <c r="B1620" s="47">
        <v>42464</v>
      </c>
      <c r="C1620" s="46" t="s">
        <v>961</v>
      </c>
      <c r="D1620" s="46" t="str">
        <f t="shared" si="52"/>
        <v>Home Insurance</v>
      </c>
      <c r="E1620" s="46" t="s">
        <v>199</v>
      </c>
      <c r="F1620" s="46" t="s">
        <v>238</v>
      </c>
      <c r="G1620" s="46">
        <v>-550.76</v>
      </c>
      <c r="H1620" s="46">
        <f t="shared" si="53"/>
        <v>201604</v>
      </c>
      <c r="I1620" s="46">
        <f>MATCH(D1620,$O:$O,0)</f>
        <v>17</v>
      </c>
      <c r="J1620" s="46" t="s">
        <v>39</v>
      </c>
      <c r="K1620" s="46" t="s">
        <v>649</v>
      </c>
      <c r="L1620" s="46" t="s">
        <v>252</v>
      </c>
    </row>
    <row r="1621" spans="1:12" s="17" customFormat="1" x14ac:dyDescent="0.25">
      <c r="A1621" s="46" t="s">
        <v>236</v>
      </c>
      <c r="B1621" s="47">
        <v>42464</v>
      </c>
      <c r="C1621" s="46" t="s">
        <v>917</v>
      </c>
      <c r="D1621" s="46" t="str">
        <f t="shared" si="52"/>
        <v>Grocery</v>
      </c>
      <c r="E1621" s="46" t="s">
        <v>385</v>
      </c>
      <c r="F1621" s="46" t="s">
        <v>238</v>
      </c>
      <c r="G1621" s="46">
        <v>-1.64</v>
      </c>
      <c r="H1621" s="46">
        <f t="shared" si="53"/>
        <v>201604</v>
      </c>
      <c r="I1621" s="46">
        <f>MATCH(D1621,$O:$O,0)</f>
        <v>12</v>
      </c>
      <c r="J1621" s="17" t="s">
        <v>39</v>
      </c>
      <c r="K1621" s="17" t="s">
        <v>649</v>
      </c>
      <c r="L1621" s="17" t="s">
        <v>1221</v>
      </c>
    </row>
    <row r="1622" spans="1:12" s="46" customFormat="1" x14ac:dyDescent="0.25">
      <c r="A1622" s="46" t="s">
        <v>236</v>
      </c>
      <c r="B1622" s="47">
        <v>42464</v>
      </c>
      <c r="C1622" s="46" t="s">
        <v>917</v>
      </c>
      <c r="D1622" s="46" t="str">
        <f t="shared" si="52"/>
        <v>Grocery</v>
      </c>
      <c r="E1622" s="46" t="s">
        <v>385</v>
      </c>
      <c r="F1622" s="46" t="s">
        <v>238</v>
      </c>
      <c r="G1622" s="46">
        <v>-36.49</v>
      </c>
      <c r="H1622" s="46">
        <f t="shared" si="53"/>
        <v>201604</v>
      </c>
      <c r="I1622" s="46">
        <f>MATCH(D1622,$O:$O,0)</f>
        <v>12</v>
      </c>
      <c r="J1622" s="46" t="s">
        <v>39</v>
      </c>
      <c r="K1622" s="46" t="s">
        <v>649</v>
      </c>
      <c r="L1622" s="46" t="s">
        <v>886</v>
      </c>
    </row>
    <row r="1623" spans="1:12" s="46" customFormat="1" x14ac:dyDescent="0.25">
      <c r="A1623" s="46" t="s">
        <v>236</v>
      </c>
      <c r="B1623" s="47">
        <v>42464</v>
      </c>
      <c r="C1623" s="46" t="s">
        <v>917</v>
      </c>
      <c r="D1623" s="46" t="str">
        <f t="shared" si="52"/>
        <v>Grocery</v>
      </c>
      <c r="E1623" s="46" t="s">
        <v>385</v>
      </c>
      <c r="F1623" s="46" t="s">
        <v>238</v>
      </c>
      <c r="G1623" s="46">
        <v>17.510000000000002</v>
      </c>
      <c r="H1623" s="46">
        <f t="shared" si="53"/>
        <v>201604</v>
      </c>
      <c r="I1623" s="46">
        <f>MATCH(D1623,$O:$O,0)</f>
        <v>12</v>
      </c>
      <c r="J1623" s="46" t="s">
        <v>39</v>
      </c>
      <c r="K1623" s="46" t="s">
        <v>649</v>
      </c>
      <c r="L1623" s="46" t="s">
        <v>223</v>
      </c>
    </row>
    <row r="1624" spans="1:12" s="46" customFormat="1" x14ac:dyDescent="0.25">
      <c r="A1624" s="46" t="s">
        <v>236</v>
      </c>
      <c r="B1624" s="47">
        <v>42465</v>
      </c>
      <c r="C1624" s="46" t="s">
        <v>1270</v>
      </c>
      <c r="D1624" s="46" t="str">
        <f t="shared" si="52"/>
        <v>Tax</v>
      </c>
      <c r="E1624" s="46" t="s">
        <v>222</v>
      </c>
      <c r="F1624" s="46" t="s">
        <v>238</v>
      </c>
      <c r="G1624" s="48">
        <v>4492</v>
      </c>
      <c r="H1624" s="46">
        <f t="shared" si="53"/>
        <v>201604</v>
      </c>
      <c r="I1624" s="46">
        <f>MATCH(D1624,$O:$O,0)</f>
        <v>29</v>
      </c>
      <c r="J1624" s="46" t="s">
        <v>39</v>
      </c>
      <c r="K1624" s="46" t="s">
        <v>649</v>
      </c>
      <c r="L1624" s="46" t="s">
        <v>252</v>
      </c>
    </row>
    <row r="1625" spans="1:12" s="46" customFormat="1" x14ac:dyDescent="0.25">
      <c r="A1625" s="46" t="s">
        <v>236</v>
      </c>
      <c r="B1625" s="47">
        <v>42465</v>
      </c>
      <c r="C1625" s="46" t="s">
        <v>1061</v>
      </c>
      <c r="D1625" s="46" t="str">
        <f t="shared" si="52"/>
        <v>D-Travel</v>
      </c>
      <c r="E1625" s="46" t="s">
        <v>1340</v>
      </c>
      <c r="F1625" s="46" t="s">
        <v>238</v>
      </c>
      <c r="G1625" s="46">
        <v>-89.1</v>
      </c>
      <c r="H1625" s="46">
        <f t="shared" si="53"/>
        <v>201604</v>
      </c>
      <c r="I1625" s="46">
        <f>MATCH(D1625,$O:$O,0)</f>
        <v>10</v>
      </c>
      <c r="J1625" s="46" t="s">
        <v>39</v>
      </c>
      <c r="K1625" s="46" t="s">
        <v>649</v>
      </c>
    </row>
    <row r="1626" spans="1:12" s="46" customFormat="1" x14ac:dyDescent="0.25">
      <c r="A1626" s="46" t="s">
        <v>236</v>
      </c>
      <c r="B1626" s="47">
        <v>42465</v>
      </c>
      <c r="C1626" s="46" t="s">
        <v>565</v>
      </c>
      <c r="D1626" s="46" t="str">
        <f t="shared" si="52"/>
        <v>Grocery</v>
      </c>
      <c r="E1626" s="46" t="s">
        <v>192</v>
      </c>
      <c r="F1626" s="46" t="s">
        <v>238</v>
      </c>
      <c r="G1626" s="46">
        <v>-4.99</v>
      </c>
      <c r="H1626" s="46">
        <f t="shared" si="53"/>
        <v>201604</v>
      </c>
      <c r="I1626" s="46">
        <f>MATCH(D1626,$O:$O,0)</f>
        <v>12</v>
      </c>
      <c r="J1626" s="46" t="s">
        <v>39</v>
      </c>
      <c r="K1626" s="46" t="s">
        <v>649</v>
      </c>
    </row>
    <row r="1627" spans="1:12" s="46" customFormat="1" x14ac:dyDescent="0.25">
      <c r="A1627" s="46" t="s">
        <v>236</v>
      </c>
      <c r="B1627" s="47">
        <v>42465</v>
      </c>
      <c r="C1627" s="46" t="s">
        <v>565</v>
      </c>
      <c r="D1627" s="46" t="str">
        <f t="shared" si="52"/>
        <v>Grocery</v>
      </c>
      <c r="E1627" s="46" t="s">
        <v>192</v>
      </c>
      <c r="F1627" s="46" t="s">
        <v>238</v>
      </c>
      <c r="G1627" s="46">
        <v>-10.37</v>
      </c>
      <c r="H1627" s="46">
        <f t="shared" si="53"/>
        <v>201604</v>
      </c>
      <c r="I1627" s="46">
        <f>MATCH(D1627,$O:$O,0)</f>
        <v>12</v>
      </c>
      <c r="J1627" s="46" t="s">
        <v>39</v>
      </c>
      <c r="K1627" s="46" t="s">
        <v>649</v>
      </c>
      <c r="L1627" s="46" t="s">
        <v>816</v>
      </c>
    </row>
    <row r="1628" spans="1:12" s="46" customFormat="1" x14ac:dyDescent="0.25">
      <c r="A1628" s="46" t="s">
        <v>236</v>
      </c>
      <c r="B1628" s="47">
        <v>42465</v>
      </c>
      <c r="C1628" s="46" t="s">
        <v>1272</v>
      </c>
      <c r="D1628" s="46" t="str">
        <f t="shared" si="52"/>
        <v>Public Transit</v>
      </c>
      <c r="E1628" s="46" t="s">
        <v>1169</v>
      </c>
      <c r="F1628" s="46" t="s">
        <v>238</v>
      </c>
      <c r="G1628" s="46">
        <v>-20</v>
      </c>
      <c r="H1628" s="46">
        <f t="shared" si="53"/>
        <v>201604</v>
      </c>
      <c r="I1628" s="46">
        <f>MATCH(D1628,$O:$O,0)</f>
        <v>25</v>
      </c>
      <c r="J1628" s="46" t="s">
        <v>39</v>
      </c>
      <c r="K1628" s="46" t="s">
        <v>649</v>
      </c>
      <c r="L1628" s="46" t="s">
        <v>1225</v>
      </c>
    </row>
    <row r="1629" spans="1:12" s="46" customFormat="1" x14ac:dyDescent="0.25">
      <c r="A1629" s="46" t="s">
        <v>236</v>
      </c>
      <c r="B1629" s="47">
        <v>42465</v>
      </c>
      <c r="C1629" s="46" t="s">
        <v>1063</v>
      </c>
      <c r="D1629" s="46" t="str">
        <f t="shared" si="52"/>
        <v>D-Restaurant</v>
      </c>
      <c r="E1629" s="46" t="s">
        <v>204</v>
      </c>
      <c r="F1629" s="46" t="s">
        <v>238</v>
      </c>
      <c r="G1629" s="46">
        <v>-7.75</v>
      </c>
      <c r="H1629" s="46">
        <f t="shared" si="53"/>
        <v>201604</v>
      </c>
      <c r="I1629" s="46">
        <f>MATCH(D1629,$O:$O,0)</f>
        <v>9</v>
      </c>
      <c r="J1629" s="46" t="s">
        <v>39</v>
      </c>
      <c r="K1629" s="46" t="s">
        <v>649</v>
      </c>
    </row>
    <row r="1630" spans="1:12" s="46" customFormat="1" x14ac:dyDescent="0.25">
      <c r="A1630" s="46" t="s">
        <v>236</v>
      </c>
      <c r="B1630" s="47">
        <v>42465</v>
      </c>
      <c r="C1630" s="46" t="s">
        <v>249</v>
      </c>
      <c r="D1630" s="46" t="str">
        <f t="shared" si="52"/>
        <v>Retirement Contributions</v>
      </c>
      <c r="E1630" s="46" t="s">
        <v>263</v>
      </c>
      <c r="F1630" s="46" t="s">
        <v>238</v>
      </c>
      <c r="G1630" s="46">
        <v>843.75</v>
      </c>
      <c r="H1630" s="46">
        <f t="shared" si="53"/>
        <v>201604</v>
      </c>
      <c r="I1630" s="46">
        <f>MATCH(D1630,$O:$O,0)</f>
        <v>39</v>
      </c>
      <c r="J1630" s="46" t="s">
        <v>39</v>
      </c>
      <c r="K1630" s="46" t="s">
        <v>649</v>
      </c>
    </row>
    <row r="1631" spans="1:12" s="46" customFormat="1" x14ac:dyDescent="0.25">
      <c r="A1631" s="46" t="s">
        <v>236</v>
      </c>
      <c r="B1631" s="47">
        <v>42466</v>
      </c>
      <c r="C1631" s="46" t="s">
        <v>1268</v>
      </c>
      <c r="D1631" s="46" t="str">
        <f t="shared" si="52"/>
        <v>D-Travel</v>
      </c>
      <c r="E1631" s="46" t="s">
        <v>161</v>
      </c>
      <c r="F1631" s="46" t="s">
        <v>238</v>
      </c>
      <c r="G1631" s="46">
        <v>-104.1</v>
      </c>
      <c r="H1631" s="46">
        <f t="shared" si="53"/>
        <v>201604</v>
      </c>
      <c r="I1631" s="46">
        <f>MATCH(D1631,$O:$O,0)</f>
        <v>10</v>
      </c>
      <c r="J1631" s="46" t="s">
        <v>39</v>
      </c>
      <c r="K1631" s="46" t="s">
        <v>649</v>
      </c>
      <c r="L1631" s="46" t="s">
        <v>1229</v>
      </c>
    </row>
    <row r="1632" spans="1:12" s="46" customFormat="1" x14ac:dyDescent="0.25">
      <c r="A1632" s="46" t="s">
        <v>236</v>
      </c>
      <c r="B1632" s="47">
        <v>42466</v>
      </c>
      <c r="C1632" s="46" t="s">
        <v>775</v>
      </c>
      <c r="D1632" s="46" t="str">
        <f t="shared" si="52"/>
        <v>Grocery</v>
      </c>
      <c r="E1632" s="46" t="s">
        <v>192</v>
      </c>
      <c r="F1632" s="46" t="s">
        <v>238</v>
      </c>
      <c r="G1632" s="46">
        <v>-21.43</v>
      </c>
      <c r="H1632" s="46">
        <f t="shared" si="53"/>
        <v>201604</v>
      </c>
      <c r="I1632" s="46">
        <f>MATCH(D1632,$O:$O,0)</f>
        <v>12</v>
      </c>
      <c r="J1632" s="46" t="s">
        <v>39</v>
      </c>
      <c r="K1632" s="46" t="s">
        <v>649</v>
      </c>
    </row>
    <row r="1633" spans="1:12" s="46" customFormat="1" x14ac:dyDescent="0.25">
      <c r="A1633" s="46" t="s">
        <v>236</v>
      </c>
      <c r="B1633" s="47">
        <v>42466</v>
      </c>
      <c r="C1633" s="46" t="s">
        <v>1269</v>
      </c>
      <c r="D1633" s="46" t="str">
        <f t="shared" si="52"/>
        <v>Charitable Giving</v>
      </c>
      <c r="E1633" s="46" t="s">
        <v>1232</v>
      </c>
      <c r="F1633" s="46" t="s">
        <v>238</v>
      </c>
      <c r="G1633" s="46">
        <v>-500</v>
      </c>
      <c r="H1633" s="46">
        <f t="shared" si="53"/>
        <v>201604</v>
      </c>
      <c r="I1633" s="46" t="e">
        <f>MATCH(D1633,$O:$O,0)</f>
        <v>#N/A</v>
      </c>
      <c r="J1633" s="46" t="s">
        <v>39</v>
      </c>
      <c r="K1633" s="46" t="s">
        <v>619</v>
      </c>
      <c r="L1633" s="46" t="s">
        <v>1225</v>
      </c>
    </row>
    <row r="1634" spans="1:12" s="52" customFormat="1" x14ac:dyDescent="0.25">
      <c r="A1634" s="46" t="s">
        <v>236</v>
      </c>
      <c r="B1634" s="47">
        <v>42466</v>
      </c>
      <c r="C1634" s="46" t="s">
        <v>775</v>
      </c>
      <c r="D1634" s="46" t="str">
        <f t="shared" si="52"/>
        <v>Grocery</v>
      </c>
      <c r="E1634" s="46" t="s">
        <v>192</v>
      </c>
      <c r="F1634" s="46" t="s">
        <v>238</v>
      </c>
      <c r="G1634" s="46">
        <v>1.99</v>
      </c>
      <c r="H1634" s="46">
        <f t="shared" si="53"/>
        <v>201604</v>
      </c>
      <c r="I1634" s="46">
        <f>MATCH(D1634,$O:$O,0)</f>
        <v>12</v>
      </c>
      <c r="J1634" s="52" t="s">
        <v>39</v>
      </c>
      <c r="K1634" s="52" t="s">
        <v>649</v>
      </c>
    </row>
    <row r="1635" spans="1:12" s="46" customFormat="1" x14ac:dyDescent="0.25">
      <c r="A1635" s="46" t="s">
        <v>236</v>
      </c>
      <c r="B1635" s="47">
        <v>42467</v>
      </c>
      <c r="C1635" s="46" t="s">
        <v>1265</v>
      </c>
      <c r="D1635" s="46" t="str">
        <f t="shared" si="52"/>
        <v>Automotive Expenses</v>
      </c>
      <c r="E1635" s="46" t="s">
        <v>1266</v>
      </c>
      <c r="F1635" s="46" t="s">
        <v>238</v>
      </c>
      <c r="G1635" s="46">
        <v>-600</v>
      </c>
      <c r="H1635" s="46">
        <f t="shared" si="53"/>
        <v>201604</v>
      </c>
      <c r="I1635" s="46" t="e">
        <f>MATCH(D1635,$O:$O,0)</f>
        <v>#N/A</v>
      </c>
      <c r="J1635" s="46" t="s">
        <v>39</v>
      </c>
      <c r="K1635" s="46" t="s">
        <v>649</v>
      </c>
    </row>
    <row r="1636" spans="1:12" s="46" customFormat="1" x14ac:dyDescent="0.25">
      <c r="A1636" s="46" t="s">
        <v>236</v>
      </c>
      <c r="B1636" s="47">
        <v>42467</v>
      </c>
      <c r="C1636" s="46" t="s">
        <v>1267</v>
      </c>
      <c r="D1636" s="46" t="str">
        <f t="shared" ref="D1636:D1648" si="54">IF(ISNA(VLOOKUP(E1636,$L$2:$M$26,2,FALSE)),E1636,VLOOKUP(E1636,$L$2:$M$26,2,FALSE))</f>
        <v>Healthcare/Medical</v>
      </c>
      <c r="E1636" s="46" t="s">
        <v>265</v>
      </c>
      <c r="F1636" s="46" t="s">
        <v>238</v>
      </c>
      <c r="G1636" s="46">
        <v>-5</v>
      </c>
      <c r="H1636" s="46">
        <f t="shared" si="53"/>
        <v>201604</v>
      </c>
      <c r="I1636" s="46" t="e">
        <f>MATCH(D1636,$O:$O,0)</f>
        <v>#N/A</v>
      </c>
      <c r="J1636" s="46" t="s">
        <v>39</v>
      </c>
      <c r="K1636" s="46" t="s">
        <v>675</v>
      </c>
      <c r="L1636" s="46" t="s">
        <v>193</v>
      </c>
    </row>
    <row r="1637" spans="1:12" s="46" customFormat="1" x14ac:dyDescent="0.25">
      <c r="A1637" s="46" t="s">
        <v>236</v>
      </c>
      <c r="B1637" s="47">
        <v>42468</v>
      </c>
      <c r="C1637" s="46" t="s">
        <v>1259</v>
      </c>
      <c r="D1637" s="46" t="str">
        <f t="shared" si="54"/>
        <v>Uncategorized</v>
      </c>
      <c r="E1637" s="46" t="s">
        <v>102</v>
      </c>
      <c r="F1637" s="46" t="s">
        <v>238</v>
      </c>
      <c r="G1637" s="46">
        <v>370.68</v>
      </c>
      <c r="H1637" s="46">
        <f t="shared" si="53"/>
        <v>201604</v>
      </c>
      <c r="I1637" s="46">
        <f>MATCH(D1637,$O:$O,0)</f>
        <v>33</v>
      </c>
      <c r="J1637" s="46" t="s">
        <v>39</v>
      </c>
      <c r="K1637" s="46" t="s">
        <v>675</v>
      </c>
      <c r="L1637" s="46" t="s">
        <v>310</v>
      </c>
    </row>
    <row r="1638" spans="1:12" s="17" customFormat="1" x14ac:dyDescent="0.25">
      <c r="A1638" s="46" t="s">
        <v>236</v>
      </c>
      <c r="B1638" s="47">
        <v>42468</v>
      </c>
      <c r="C1638" s="46" t="s">
        <v>1260</v>
      </c>
      <c r="D1638" s="46" t="str">
        <f t="shared" si="54"/>
        <v>Uncategorized</v>
      </c>
      <c r="E1638" s="46" t="s">
        <v>102</v>
      </c>
      <c r="F1638" s="46" t="s">
        <v>238</v>
      </c>
      <c r="G1638" s="46">
        <v>-370.68</v>
      </c>
      <c r="H1638" s="46">
        <f t="shared" si="53"/>
        <v>201604</v>
      </c>
      <c r="I1638" s="46">
        <f>MATCH(D1638,$O:$O,0)</f>
        <v>33</v>
      </c>
      <c r="J1638" s="17" t="s">
        <v>39</v>
      </c>
      <c r="K1638" s="17" t="s">
        <v>649</v>
      </c>
    </row>
    <row r="1639" spans="1:12" s="46" customFormat="1" x14ac:dyDescent="0.25">
      <c r="A1639" s="46" t="s">
        <v>236</v>
      </c>
      <c r="B1639" s="47">
        <v>42468</v>
      </c>
      <c r="C1639" s="46" t="s">
        <v>792</v>
      </c>
      <c r="D1639" s="46" t="str">
        <f t="shared" si="54"/>
        <v>Gas</v>
      </c>
      <c r="E1639" s="46" t="s">
        <v>311</v>
      </c>
      <c r="F1639" s="46" t="s">
        <v>238</v>
      </c>
      <c r="G1639" s="46">
        <v>-8</v>
      </c>
      <c r="H1639" s="46">
        <f t="shared" si="53"/>
        <v>201604</v>
      </c>
      <c r="I1639" s="46">
        <f>MATCH(D1639,$O:$O,0)</f>
        <v>30</v>
      </c>
      <c r="J1639" s="46" t="s">
        <v>39</v>
      </c>
      <c r="K1639" s="46" t="s">
        <v>649</v>
      </c>
      <c r="L1639" s="46" t="s">
        <v>824</v>
      </c>
    </row>
    <row r="1640" spans="1:12" s="46" customFormat="1" x14ac:dyDescent="0.25">
      <c r="A1640" s="46" t="s">
        <v>236</v>
      </c>
      <c r="B1640" s="47">
        <v>42468</v>
      </c>
      <c r="C1640" s="46" t="s">
        <v>768</v>
      </c>
      <c r="D1640" s="46" t="str">
        <f t="shared" si="54"/>
        <v>D-Restaurant</v>
      </c>
      <c r="E1640" s="46" t="s">
        <v>204</v>
      </c>
      <c r="F1640" s="46" t="s">
        <v>238</v>
      </c>
      <c r="G1640" s="46">
        <v>-10.74</v>
      </c>
      <c r="H1640" s="46">
        <f t="shared" si="53"/>
        <v>201604</v>
      </c>
      <c r="I1640" s="46">
        <f>MATCH(D1640,$O:$O,0)</f>
        <v>9</v>
      </c>
      <c r="J1640" s="46" t="s">
        <v>39</v>
      </c>
      <c r="K1640" s="46" t="s">
        <v>649</v>
      </c>
    </row>
    <row r="1641" spans="1:12" s="46" customFormat="1" x14ac:dyDescent="0.25">
      <c r="A1641" s="46" t="s">
        <v>236</v>
      </c>
      <c r="B1641" s="47">
        <v>42468</v>
      </c>
      <c r="C1641" s="46" t="s">
        <v>1261</v>
      </c>
      <c r="D1641" s="46" t="str">
        <f t="shared" si="54"/>
        <v>Uncategorized</v>
      </c>
      <c r="E1641" s="46" t="s">
        <v>102</v>
      </c>
      <c r="F1641" s="46" t="s">
        <v>238</v>
      </c>
      <c r="G1641" s="46">
        <v>-2.5</v>
      </c>
      <c r="H1641" s="46">
        <f t="shared" si="53"/>
        <v>201604</v>
      </c>
      <c r="I1641" s="46">
        <f>MATCH(D1641,$O:$O,0)</f>
        <v>33</v>
      </c>
      <c r="J1641" s="46" t="s">
        <v>39</v>
      </c>
      <c r="K1641" s="46" t="s">
        <v>649</v>
      </c>
    </row>
    <row r="1642" spans="1:12" s="46" customFormat="1" x14ac:dyDescent="0.25">
      <c r="A1642" s="46" t="s">
        <v>236</v>
      </c>
      <c r="B1642" s="47">
        <v>42468</v>
      </c>
      <c r="C1642" s="46" t="s">
        <v>1262</v>
      </c>
      <c r="D1642" s="46" t="str">
        <f t="shared" si="54"/>
        <v>Office Supplies</v>
      </c>
      <c r="E1642" s="46" t="s">
        <v>1263</v>
      </c>
      <c r="F1642" s="46" t="s">
        <v>238</v>
      </c>
      <c r="G1642" s="46">
        <v>-32.1</v>
      </c>
      <c r="H1642" s="46">
        <f t="shared" si="53"/>
        <v>201604</v>
      </c>
      <c r="I1642" s="46" t="e">
        <f>MATCH(D1642,$O:$O,0)</f>
        <v>#N/A</v>
      </c>
      <c r="J1642" s="46" t="s">
        <v>39</v>
      </c>
      <c r="K1642" s="46" t="s">
        <v>632</v>
      </c>
    </row>
    <row r="1643" spans="1:12" s="46" customFormat="1" x14ac:dyDescent="0.25">
      <c r="A1643" s="46" t="s">
        <v>236</v>
      </c>
      <c r="B1643" s="47">
        <v>42468</v>
      </c>
      <c r="C1643" s="46" t="s">
        <v>900</v>
      </c>
      <c r="D1643" s="46" t="str">
        <f t="shared" si="54"/>
        <v>Gas</v>
      </c>
      <c r="E1643" s="46" t="s">
        <v>311</v>
      </c>
      <c r="F1643" s="46" t="s">
        <v>238</v>
      </c>
      <c r="G1643" s="46">
        <v>-36.549999999999997</v>
      </c>
      <c r="H1643" s="46">
        <f t="shared" si="53"/>
        <v>201604</v>
      </c>
      <c r="I1643" s="46">
        <f>MATCH(D1643,$O:$O,0)</f>
        <v>30</v>
      </c>
      <c r="J1643" s="46" t="s">
        <v>39</v>
      </c>
      <c r="K1643" s="46" t="s">
        <v>803</v>
      </c>
      <c r="L1643" s="46" t="s">
        <v>239</v>
      </c>
    </row>
    <row r="1644" spans="1:12" s="46" customFormat="1" x14ac:dyDescent="0.25">
      <c r="A1644" s="46" t="s">
        <v>236</v>
      </c>
      <c r="B1644" s="47">
        <v>42469</v>
      </c>
      <c r="C1644" s="46" t="s">
        <v>1258</v>
      </c>
      <c r="D1644" s="46" t="str">
        <f t="shared" si="54"/>
        <v>Newspapers</v>
      </c>
      <c r="E1644" s="46" t="s">
        <v>1205</v>
      </c>
      <c r="F1644" s="46" t="s">
        <v>238</v>
      </c>
      <c r="G1644" s="46">
        <v>-14.99</v>
      </c>
      <c r="H1644" s="46">
        <f t="shared" si="53"/>
        <v>201604</v>
      </c>
      <c r="I1644" s="46">
        <f>MATCH(D1644,$O:$O,0)</f>
        <v>23</v>
      </c>
      <c r="J1644" s="46" t="s">
        <v>39</v>
      </c>
      <c r="K1644" s="46" t="s">
        <v>628</v>
      </c>
      <c r="L1644" s="46" t="s">
        <v>239</v>
      </c>
    </row>
    <row r="1645" spans="1:12" s="46" customFormat="1" x14ac:dyDescent="0.25">
      <c r="A1645" s="46" t="s">
        <v>236</v>
      </c>
      <c r="B1645" s="47">
        <v>42471</v>
      </c>
      <c r="C1645" s="46" t="s">
        <v>1256</v>
      </c>
      <c r="D1645" s="46" t="str">
        <f t="shared" si="54"/>
        <v>Grocery</v>
      </c>
      <c r="E1645" s="46" t="s">
        <v>385</v>
      </c>
      <c r="F1645" s="46" t="s">
        <v>238</v>
      </c>
      <c r="G1645" s="46">
        <v>-157.36000000000001</v>
      </c>
      <c r="H1645" s="46">
        <f t="shared" si="53"/>
        <v>201604</v>
      </c>
      <c r="I1645" s="46">
        <f>MATCH(D1645,$O:$O,0)</f>
        <v>12</v>
      </c>
      <c r="J1645" s="46" t="s">
        <v>39</v>
      </c>
      <c r="K1645" s="46" t="s">
        <v>630</v>
      </c>
    </row>
    <row r="1646" spans="1:12" s="46" customFormat="1" x14ac:dyDescent="0.25">
      <c r="A1646" s="46" t="s">
        <v>236</v>
      </c>
      <c r="B1646" s="47">
        <v>42471</v>
      </c>
      <c r="C1646" s="46" t="s">
        <v>1257</v>
      </c>
      <c r="D1646" s="46" t="str">
        <f t="shared" si="54"/>
        <v>D-Travel</v>
      </c>
      <c r="E1646" s="46" t="s">
        <v>161</v>
      </c>
      <c r="F1646" s="46" t="s">
        <v>238</v>
      </c>
      <c r="G1646" s="46">
        <v>-12.41</v>
      </c>
      <c r="H1646" s="46">
        <f t="shared" si="53"/>
        <v>201604</v>
      </c>
      <c r="I1646" s="46">
        <f>MATCH(D1646,$O:$O,0)</f>
        <v>10</v>
      </c>
      <c r="J1646" s="46" t="s">
        <v>39</v>
      </c>
      <c r="K1646" s="46" t="s">
        <v>649</v>
      </c>
      <c r="L1646" s="46" t="s">
        <v>252</v>
      </c>
    </row>
    <row r="1647" spans="1:12" s="46" customFormat="1" x14ac:dyDescent="0.25">
      <c r="A1647" s="46" t="s">
        <v>236</v>
      </c>
      <c r="B1647" s="47">
        <v>42471</v>
      </c>
      <c r="C1647" s="46" t="s">
        <v>917</v>
      </c>
      <c r="D1647" s="46" t="str">
        <f t="shared" si="54"/>
        <v>Grocery</v>
      </c>
      <c r="E1647" s="46" t="s">
        <v>385</v>
      </c>
      <c r="F1647" s="46" t="s">
        <v>238</v>
      </c>
      <c r="G1647" s="46">
        <v>-174.08</v>
      </c>
      <c r="H1647" s="46">
        <f t="shared" si="53"/>
        <v>201604</v>
      </c>
      <c r="I1647" s="46">
        <f>MATCH(D1647,$O:$O,0)</f>
        <v>12</v>
      </c>
      <c r="J1647" s="46" t="s">
        <v>39</v>
      </c>
      <c r="K1647" s="46" t="s">
        <v>649</v>
      </c>
    </row>
    <row r="1648" spans="1:12" s="17" customFormat="1" x14ac:dyDescent="0.25">
      <c r="A1648" s="46" t="s">
        <v>236</v>
      </c>
      <c r="B1648" s="47">
        <v>42472</v>
      </c>
      <c r="C1648" s="46" t="s">
        <v>1067</v>
      </c>
      <c r="D1648" s="46" t="str">
        <f t="shared" si="54"/>
        <v>Utility</v>
      </c>
      <c r="E1648" s="46" t="s">
        <v>19</v>
      </c>
      <c r="F1648" s="46" t="s">
        <v>238</v>
      </c>
      <c r="G1648" s="46">
        <v>-38.82</v>
      </c>
      <c r="H1648" s="46">
        <f t="shared" si="53"/>
        <v>201604</v>
      </c>
      <c r="I1648" s="46">
        <f>MATCH(D1648,$O:$O,0)</f>
        <v>34</v>
      </c>
      <c r="J1648" s="17" t="s">
        <v>39</v>
      </c>
      <c r="K1648" s="17" t="s">
        <v>649</v>
      </c>
      <c r="L1648" s="17" t="s">
        <v>986</v>
      </c>
    </row>
    <row r="1649" spans="1:12" s="46" customFormat="1" x14ac:dyDescent="0.25">
      <c r="A1649" s="46" t="s">
        <v>236</v>
      </c>
      <c r="B1649" s="47">
        <v>42472</v>
      </c>
      <c r="C1649" s="46" t="s">
        <v>1255</v>
      </c>
      <c r="D1649" s="46" t="s">
        <v>183</v>
      </c>
      <c r="E1649" s="46" t="s">
        <v>190</v>
      </c>
      <c r="F1649" s="46" t="s">
        <v>238</v>
      </c>
      <c r="G1649" s="46">
        <v>-75.209999999999994</v>
      </c>
      <c r="H1649" s="46">
        <f t="shared" si="53"/>
        <v>201604</v>
      </c>
      <c r="I1649" s="46">
        <f>MATCH(D1649,$O:$O,0)</f>
        <v>16</v>
      </c>
      <c r="J1649" s="46" t="s">
        <v>39</v>
      </c>
      <c r="K1649" s="46" t="s">
        <v>675</v>
      </c>
    </row>
    <row r="1650" spans="1:12" s="46" customFormat="1" x14ac:dyDescent="0.25">
      <c r="A1650" s="46" t="s">
        <v>236</v>
      </c>
      <c r="B1650" s="47">
        <v>42472</v>
      </c>
      <c r="C1650" s="46" t="s">
        <v>1063</v>
      </c>
      <c r="D1650" s="46" t="str">
        <f t="shared" ref="D1650:D1697" si="55">IF(ISNA(VLOOKUP(E1650,$L$2:$M$26,2,FALSE)),E1650,VLOOKUP(E1650,$L$2:$M$26,2,FALSE))</f>
        <v>D-Restaurant</v>
      </c>
      <c r="E1650" s="46" t="s">
        <v>204</v>
      </c>
      <c r="F1650" s="46" t="s">
        <v>238</v>
      </c>
      <c r="G1650" s="46">
        <v>-7.75</v>
      </c>
      <c r="H1650" s="46">
        <f t="shared" si="53"/>
        <v>201604</v>
      </c>
      <c r="I1650" s="46">
        <f>MATCH(D1650,$O:$O,0)</f>
        <v>9</v>
      </c>
      <c r="J1650" s="46" t="s">
        <v>39</v>
      </c>
      <c r="K1650" s="46" t="s">
        <v>803</v>
      </c>
    </row>
    <row r="1651" spans="1:12" s="46" customFormat="1" x14ac:dyDescent="0.25">
      <c r="A1651" s="46" t="s">
        <v>236</v>
      </c>
      <c r="B1651" s="47">
        <v>42472</v>
      </c>
      <c r="C1651" s="46" t="s">
        <v>917</v>
      </c>
      <c r="D1651" s="46" t="str">
        <f t="shared" si="55"/>
        <v>Grocery</v>
      </c>
      <c r="E1651" s="46" t="s">
        <v>385</v>
      </c>
      <c r="F1651" s="46" t="s">
        <v>238</v>
      </c>
      <c r="G1651" s="46">
        <v>-86.49</v>
      </c>
      <c r="H1651" s="46">
        <f t="shared" si="53"/>
        <v>201604</v>
      </c>
      <c r="I1651" s="46">
        <f>MATCH(D1651,$O:$O,0)</f>
        <v>12</v>
      </c>
      <c r="J1651" s="46" t="s">
        <v>39</v>
      </c>
      <c r="K1651" s="46" t="s">
        <v>649</v>
      </c>
    </row>
    <row r="1652" spans="1:12" s="46" customFormat="1" x14ac:dyDescent="0.25">
      <c r="A1652" s="46" t="s">
        <v>236</v>
      </c>
      <c r="B1652" s="47">
        <v>42472</v>
      </c>
      <c r="C1652" s="46" t="s">
        <v>917</v>
      </c>
      <c r="D1652" s="46" t="str">
        <f t="shared" si="55"/>
        <v>Grocery</v>
      </c>
      <c r="E1652" s="46" t="s">
        <v>385</v>
      </c>
      <c r="F1652" s="46" t="s">
        <v>238</v>
      </c>
      <c r="G1652" s="46">
        <v>174.08</v>
      </c>
      <c r="H1652" s="46">
        <f t="shared" si="53"/>
        <v>201604</v>
      </c>
      <c r="I1652" s="46">
        <f>MATCH(D1652,$O:$O,0)</f>
        <v>12</v>
      </c>
      <c r="J1652" s="46" t="s">
        <v>39</v>
      </c>
      <c r="K1652" s="46" t="s">
        <v>649</v>
      </c>
    </row>
    <row r="1653" spans="1:12" s="46" customFormat="1" x14ac:dyDescent="0.25">
      <c r="A1653" s="46" t="s">
        <v>236</v>
      </c>
      <c r="B1653" s="47">
        <v>42473</v>
      </c>
      <c r="C1653" s="46" t="s">
        <v>412</v>
      </c>
      <c r="D1653" s="46" t="str">
        <f t="shared" si="55"/>
        <v>Interest</v>
      </c>
      <c r="E1653" s="46" t="s">
        <v>200</v>
      </c>
      <c r="F1653" s="46" t="s">
        <v>238</v>
      </c>
      <c r="G1653" s="46">
        <v>0.89</v>
      </c>
      <c r="H1653" s="46">
        <f t="shared" si="53"/>
        <v>201604</v>
      </c>
      <c r="I1653" s="46" t="e">
        <f>MATCH(D1653,$O:$O,0)</f>
        <v>#N/A</v>
      </c>
      <c r="J1653" s="46" t="s">
        <v>39</v>
      </c>
      <c r="K1653" s="46" t="s">
        <v>649</v>
      </c>
    </row>
    <row r="1654" spans="1:12" s="46" customFormat="1" x14ac:dyDescent="0.25">
      <c r="A1654" s="46" t="s">
        <v>236</v>
      </c>
      <c r="B1654" s="47">
        <v>42473</v>
      </c>
      <c r="C1654" s="46" t="s">
        <v>221</v>
      </c>
      <c r="D1654" s="46" t="str">
        <f t="shared" si="55"/>
        <v>Tax</v>
      </c>
      <c r="E1654" s="46" t="s">
        <v>222</v>
      </c>
      <c r="F1654" s="46" t="s">
        <v>238</v>
      </c>
      <c r="G1654" s="46">
        <v>-0.25</v>
      </c>
      <c r="H1654" s="46">
        <f t="shared" si="53"/>
        <v>201604</v>
      </c>
      <c r="I1654" s="46">
        <f>MATCH(D1654,$O:$O,0)</f>
        <v>29</v>
      </c>
      <c r="J1654" s="46" t="s">
        <v>39</v>
      </c>
      <c r="K1654" s="46" t="s">
        <v>649</v>
      </c>
      <c r="L1654" s="46" t="s">
        <v>1242</v>
      </c>
    </row>
    <row r="1655" spans="1:12" s="46" customFormat="1" x14ac:dyDescent="0.25">
      <c r="A1655" s="46" t="s">
        <v>236</v>
      </c>
      <c r="B1655" s="47">
        <v>42473</v>
      </c>
      <c r="C1655" s="46" t="s">
        <v>412</v>
      </c>
      <c r="D1655" s="46" t="str">
        <f t="shared" si="55"/>
        <v>Interest</v>
      </c>
      <c r="E1655" s="46" t="s">
        <v>200</v>
      </c>
      <c r="F1655" s="46" t="s">
        <v>238</v>
      </c>
      <c r="G1655" s="46">
        <v>0.2</v>
      </c>
      <c r="H1655" s="46">
        <f t="shared" si="53"/>
        <v>201604</v>
      </c>
      <c r="I1655" s="46" t="e">
        <f>MATCH(D1655,$O:$O,0)</f>
        <v>#N/A</v>
      </c>
      <c r="J1655" s="46" t="s">
        <v>39</v>
      </c>
      <c r="K1655" s="46" t="s">
        <v>649</v>
      </c>
    </row>
    <row r="1656" spans="1:12" s="46" customFormat="1" x14ac:dyDescent="0.25">
      <c r="A1656" s="46" t="s">
        <v>236</v>
      </c>
      <c r="B1656" s="47">
        <v>42473</v>
      </c>
      <c r="C1656" s="46" t="s">
        <v>412</v>
      </c>
      <c r="D1656" s="46" t="str">
        <f t="shared" si="55"/>
        <v>Interest</v>
      </c>
      <c r="E1656" s="46" t="s">
        <v>200</v>
      </c>
      <c r="F1656" s="46" t="s">
        <v>238</v>
      </c>
      <c r="G1656" s="46">
        <v>0.38</v>
      </c>
      <c r="H1656" s="46">
        <f t="shared" si="53"/>
        <v>201604</v>
      </c>
      <c r="I1656" s="46" t="e">
        <f>MATCH(D1656,$O:$O,0)</f>
        <v>#N/A</v>
      </c>
      <c r="J1656" s="46" t="s">
        <v>39</v>
      </c>
      <c r="K1656" s="46" t="s">
        <v>649</v>
      </c>
    </row>
    <row r="1657" spans="1:12" s="46" customFormat="1" x14ac:dyDescent="0.25">
      <c r="A1657" s="46" t="s">
        <v>236</v>
      </c>
      <c r="B1657" s="47">
        <v>42473</v>
      </c>
      <c r="C1657" s="46" t="s">
        <v>412</v>
      </c>
      <c r="D1657" s="46" t="str">
        <f t="shared" si="55"/>
        <v>Interest</v>
      </c>
      <c r="E1657" s="46" t="s">
        <v>200</v>
      </c>
      <c r="F1657" s="46" t="s">
        <v>238</v>
      </c>
      <c r="G1657" s="46">
        <v>0.04</v>
      </c>
      <c r="H1657" s="46">
        <f t="shared" si="53"/>
        <v>201604</v>
      </c>
      <c r="I1657" s="46" t="e">
        <f>MATCH(D1657,$O:$O,0)</f>
        <v>#N/A</v>
      </c>
      <c r="J1657" s="46" t="s">
        <v>39</v>
      </c>
      <c r="K1657" s="46" t="s">
        <v>803</v>
      </c>
      <c r="L1657" s="46" t="s">
        <v>239</v>
      </c>
    </row>
    <row r="1658" spans="1:12" s="46" customFormat="1" x14ac:dyDescent="0.25">
      <c r="A1658" s="46" t="s">
        <v>236</v>
      </c>
      <c r="B1658" s="47">
        <v>42473</v>
      </c>
      <c r="C1658" s="46" t="s">
        <v>1253</v>
      </c>
      <c r="D1658" s="46" t="str">
        <f t="shared" si="55"/>
        <v>Tax</v>
      </c>
      <c r="E1658" s="46" t="s">
        <v>222</v>
      </c>
      <c r="F1658" s="46" t="s">
        <v>238</v>
      </c>
      <c r="G1658" s="48">
        <v>5341</v>
      </c>
      <c r="H1658" s="46">
        <f t="shared" si="53"/>
        <v>201604</v>
      </c>
      <c r="I1658" s="46">
        <f>MATCH(D1658,$O:$O,0)</f>
        <v>29</v>
      </c>
      <c r="J1658" s="46" t="s">
        <v>39</v>
      </c>
      <c r="K1658" s="46" t="s">
        <v>803</v>
      </c>
      <c r="L1658" s="46" t="s">
        <v>1148</v>
      </c>
    </row>
    <row r="1659" spans="1:12" s="46" customFormat="1" x14ac:dyDescent="0.25">
      <c r="A1659" s="46" t="s">
        <v>236</v>
      </c>
      <c r="B1659" s="47">
        <v>42473</v>
      </c>
      <c r="C1659" s="46" t="s">
        <v>221</v>
      </c>
      <c r="D1659" s="46" t="str">
        <f t="shared" si="55"/>
        <v>Tax</v>
      </c>
      <c r="E1659" s="46" t="s">
        <v>222</v>
      </c>
      <c r="F1659" s="46" t="s">
        <v>238</v>
      </c>
      <c r="G1659" s="46">
        <v>-0.06</v>
      </c>
      <c r="H1659" s="46">
        <f t="shared" si="53"/>
        <v>201604</v>
      </c>
      <c r="I1659" s="46">
        <f>MATCH(D1659,$O:$O,0)</f>
        <v>29</v>
      </c>
      <c r="J1659" s="46" t="s">
        <v>39</v>
      </c>
      <c r="K1659" s="46" t="s">
        <v>803</v>
      </c>
    </row>
    <row r="1660" spans="1:12" s="46" customFormat="1" x14ac:dyDescent="0.25">
      <c r="A1660" s="46" t="s">
        <v>236</v>
      </c>
      <c r="B1660" s="47">
        <v>42473</v>
      </c>
      <c r="C1660" s="46" t="s">
        <v>483</v>
      </c>
      <c r="D1660" s="46" t="str">
        <f t="shared" si="55"/>
        <v>D-Restaurant</v>
      </c>
      <c r="E1660" s="46" t="s">
        <v>204</v>
      </c>
      <c r="F1660" s="46" t="s">
        <v>238</v>
      </c>
      <c r="G1660" s="46">
        <v>-5.19</v>
      </c>
      <c r="H1660" s="46">
        <f t="shared" si="53"/>
        <v>201604</v>
      </c>
      <c r="I1660" s="46">
        <f>MATCH(D1660,$O:$O,0)</f>
        <v>9</v>
      </c>
      <c r="J1660" s="46" t="s">
        <v>39</v>
      </c>
      <c r="K1660" s="46" t="s">
        <v>803</v>
      </c>
      <c r="L1660" s="46" t="s">
        <v>339</v>
      </c>
    </row>
    <row r="1661" spans="1:12" s="46" customFormat="1" x14ac:dyDescent="0.25">
      <c r="A1661" s="46" t="s">
        <v>236</v>
      </c>
      <c r="B1661" s="47">
        <v>42473</v>
      </c>
      <c r="C1661" s="46" t="s">
        <v>1249</v>
      </c>
      <c r="D1661" s="46" t="str">
        <f t="shared" si="55"/>
        <v>D-Restaurant</v>
      </c>
      <c r="E1661" s="46" t="s">
        <v>204</v>
      </c>
      <c r="F1661" s="46" t="s">
        <v>238</v>
      </c>
      <c r="G1661" s="46">
        <v>-5</v>
      </c>
      <c r="H1661" s="46">
        <f t="shared" si="53"/>
        <v>201604</v>
      </c>
      <c r="I1661" s="46">
        <f>MATCH(D1661,$O:$O,0)</f>
        <v>9</v>
      </c>
      <c r="J1661" s="46" t="s">
        <v>39</v>
      </c>
      <c r="K1661" s="46" t="s">
        <v>675</v>
      </c>
    </row>
    <row r="1662" spans="1:12" s="46" customFormat="1" x14ac:dyDescent="0.25">
      <c r="A1662" s="46" t="s">
        <v>236</v>
      </c>
      <c r="B1662" s="47">
        <v>42473</v>
      </c>
      <c r="C1662" s="46" t="s">
        <v>892</v>
      </c>
      <c r="D1662" s="46" t="str">
        <f t="shared" si="55"/>
        <v>Gas</v>
      </c>
      <c r="E1662" s="46" t="s">
        <v>311</v>
      </c>
      <c r="F1662" s="46" t="s">
        <v>238</v>
      </c>
      <c r="G1662" s="46">
        <v>-24.25</v>
      </c>
      <c r="H1662" s="46">
        <f t="shared" si="53"/>
        <v>201604</v>
      </c>
      <c r="I1662" s="46">
        <f>MATCH(D1662,$O:$O,0)</f>
        <v>30</v>
      </c>
      <c r="J1662" s="46" t="s">
        <v>39</v>
      </c>
      <c r="K1662" s="46" t="s">
        <v>803</v>
      </c>
      <c r="L1662" s="46" t="s">
        <v>239</v>
      </c>
    </row>
    <row r="1663" spans="1:12" s="46" customFormat="1" x14ac:dyDescent="0.25">
      <c r="A1663" s="46" t="s">
        <v>236</v>
      </c>
      <c r="B1663" s="47">
        <v>42474</v>
      </c>
      <c r="C1663" s="46" t="s">
        <v>1251</v>
      </c>
      <c r="D1663" s="46" t="str">
        <f t="shared" si="55"/>
        <v>Grocery</v>
      </c>
      <c r="E1663" s="46" t="s">
        <v>385</v>
      </c>
      <c r="F1663" s="46" t="s">
        <v>238</v>
      </c>
      <c r="G1663" s="46">
        <v>-183.44</v>
      </c>
      <c r="H1663" s="46">
        <f t="shared" si="53"/>
        <v>201604</v>
      </c>
      <c r="I1663" s="46">
        <f>MATCH(D1663,$O:$O,0)</f>
        <v>12</v>
      </c>
      <c r="J1663" s="46" t="s">
        <v>39</v>
      </c>
      <c r="K1663" s="46" t="s">
        <v>649</v>
      </c>
      <c r="L1663" s="46" t="s">
        <v>969</v>
      </c>
    </row>
    <row r="1664" spans="1:12" s="46" customFormat="1" x14ac:dyDescent="0.25">
      <c r="A1664" s="46" t="s">
        <v>236</v>
      </c>
      <c r="B1664" s="47">
        <v>42474</v>
      </c>
      <c r="C1664" s="46" t="s">
        <v>1252</v>
      </c>
      <c r="D1664" s="46" t="str">
        <f t="shared" si="55"/>
        <v>D-Restaurant</v>
      </c>
      <c r="E1664" s="46" t="s">
        <v>204</v>
      </c>
      <c r="F1664" s="46" t="s">
        <v>238</v>
      </c>
      <c r="G1664" s="46">
        <v>-76</v>
      </c>
      <c r="H1664" s="46">
        <f t="shared" si="53"/>
        <v>201604</v>
      </c>
      <c r="I1664" s="46">
        <f>MATCH(D1664,$O:$O,0)</f>
        <v>9</v>
      </c>
      <c r="J1664" s="46" t="s">
        <v>39</v>
      </c>
      <c r="K1664" s="46" t="s">
        <v>649</v>
      </c>
      <c r="L1664" s="46" t="s">
        <v>351</v>
      </c>
    </row>
    <row r="1665" spans="1:12" s="46" customFormat="1" x14ac:dyDescent="0.25">
      <c r="A1665" s="46" t="s">
        <v>236</v>
      </c>
      <c r="B1665" s="47">
        <v>42474</v>
      </c>
      <c r="C1665" s="46" t="s">
        <v>1063</v>
      </c>
      <c r="D1665" s="46" t="str">
        <f t="shared" si="55"/>
        <v>D-Restaurant</v>
      </c>
      <c r="E1665" s="46" t="s">
        <v>204</v>
      </c>
      <c r="F1665" s="46" t="s">
        <v>238</v>
      </c>
      <c r="G1665" s="46">
        <v>-8.1999999999999993</v>
      </c>
      <c r="H1665" s="46">
        <f t="shared" si="53"/>
        <v>201604</v>
      </c>
      <c r="I1665" s="46">
        <f>MATCH(D1665,$O:$O,0)</f>
        <v>9</v>
      </c>
      <c r="J1665" s="46" t="s">
        <v>39</v>
      </c>
      <c r="K1665" s="46" t="s">
        <v>649</v>
      </c>
    </row>
    <row r="1666" spans="1:12" s="46" customFormat="1" x14ac:dyDescent="0.25">
      <c r="A1666" s="46" t="s">
        <v>236</v>
      </c>
      <c r="B1666" s="47">
        <v>42475</v>
      </c>
      <c r="C1666" s="46" t="s">
        <v>1146</v>
      </c>
      <c r="D1666" s="46" t="str">
        <f t="shared" si="55"/>
        <v>Transfers</v>
      </c>
      <c r="E1666" s="46" t="s">
        <v>226</v>
      </c>
      <c r="F1666" s="46" t="s">
        <v>238</v>
      </c>
      <c r="G1666" s="46">
        <v>-30</v>
      </c>
      <c r="H1666" s="46">
        <f t="shared" ref="H1666:H1729" si="56">YEAR(B1666)*100+MONTH(B1666)</f>
        <v>201604</v>
      </c>
      <c r="I1666" s="46">
        <f>MATCH(D1666,$O:$O,0)</f>
        <v>37</v>
      </c>
      <c r="J1666" s="46" t="s">
        <v>39</v>
      </c>
      <c r="K1666" s="46" t="s">
        <v>649</v>
      </c>
      <c r="L1666" s="46" t="s">
        <v>1250</v>
      </c>
    </row>
    <row r="1667" spans="1:12" s="46" customFormat="1" x14ac:dyDescent="0.25">
      <c r="A1667" s="46" t="s">
        <v>236</v>
      </c>
      <c r="B1667" s="47">
        <v>42475</v>
      </c>
      <c r="C1667" s="46" t="s">
        <v>1244</v>
      </c>
      <c r="D1667" s="46" t="str">
        <f t="shared" si="55"/>
        <v>Transfers</v>
      </c>
      <c r="E1667" s="46" t="s">
        <v>226</v>
      </c>
      <c r="F1667" s="46" t="s">
        <v>238</v>
      </c>
      <c r="G1667" s="48">
        <v>-76069.710000000006</v>
      </c>
      <c r="H1667" s="46">
        <f t="shared" si="56"/>
        <v>201604</v>
      </c>
      <c r="I1667" s="46">
        <f>MATCH(D1667,$O:$O,0)</f>
        <v>37</v>
      </c>
      <c r="J1667" s="46" t="s">
        <v>39</v>
      </c>
      <c r="K1667" s="46" t="s">
        <v>649</v>
      </c>
      <c r="L1667" s="46" t="s">
        <v>1250</v>
      </c>
    </row>
    <row r="1668" spans="1:12" s="46" customFormat="1" x14ac:dyDescent="0.25">
      <c r="A1668" s="46" t="s">
        <v>236</v>
      </c>
      <c r="B1668" s="47">
        <v>42475</v>
      </c>
      <c r="C1668" s="46" t="s">
        <v>1245</v>
      </c>
      <c r="D1668" s="46" t="str">
        <f t="shared" si="55"/>
        <v>Credit Card Payments</v>
      </c>
      <c r="E1668" s="46" t="s">
        <v>242</v>
      </c>
      <c r="F1668" s="46" t="s">
        <v>238</v>
      </c>
      <c r="G1668" s="46">
        <v>62.76</v>
      </c>
      <c r="H1668" s="46">
        <f t="shared" si="56"/>
        <v>201604</v>
      </c>
      <c r="I1668" s="46">
        <f>MATCH(D1668,$O:$O,0)</f>
        <v>38</v>
      </c>
      <c r="J1668" s="46" t="s">
        <v>39</v>
      </c>
      <c r="K1668" s="46" t="s">
        <v>675</v>
      </c>
      <c r="L1668" s="46" t="s">
        <v>193</v>
      </c>
    </row>
    <row r="1669" spans="1:12" s="46" customFormat="1" x14ac:dyDescent="0.25">
      <c r="A1669" s="46" t="s">
        <v>236</v>
      </c>
      <c r="B1669" s="47">
        <v>42475</v>
      </c>
      <c r="C1669" s="46" t="s">
        <v>1246</v>
      </c>
      <c r="D1669" s="46" t="str">
        <f t="shared" si="55"/>
        <v>Paychecks/Salary</v>
      </c>
      <c r="E1669" s="46" t="s">
        <v>375</v>
      </c>
      <c r="F1669" s="46" t="s">
        <v>238</v>
      </c>
      <c r="G1669" s="48">
        <v>3369.33</v>
      </c>
      <c r="H1669" s="46">
        <f t="shared" si="56"/>
        <v>201604</v>
      </c>
      <c r="I1669" s="46">
        <f>MATCH(D1669,$O:$O,0)</f>
        <v>40</v>
      </c>
      <c r="J1669" s="46" t="s">
        <v>39</v>
      </c>
      <c r="K1669" s="46" t="s">
        <v>649</v>
      </c>
    </row>
    <row r="1670" spans="1:12" s="46" customFormat="1" x14ac:dyDescent="0.25">
      <c r="A1670" s="46" t="s">
        <v>236</v>
      </c>
      <c r="B1670" s="47">
        <v>42475</v>
      </c>
      <c r="C1670" s="46" t="s">
        <v>1078</v>
      </c>
      <c r="D1670" s="46" t="str">
        <f t="shared" si="55"/>
        <v>Paychecks/Salary</v>
      </c>
      <c r="E1670" s="46" t="s">
        <v>261</v>
      </c>
      <c r="F1670" s="46" t="s">
        <v>238</v>
      </c>
      <c r="G1670" s="46">
        <v>706.94</v>
      </c>
      <c r="H1670" s="46">
        <f t="shared" si="56"/>
        <v>201604</v>
      </c>
      <c r="I1670" s="46">
        <f>MATCH(D1670,$O:$O,0)</f>
        <v>40</v>
      </c>
      <c r="J1670" s="46" t="s">
        <v>39</v>
      </c>
      <c r="K1670" s="46" t="s">
        <v>649</v>
      </c>
    </row>
    <row r="1671" spans="1:12" s="46" customFormat="1" x14ac:dyDescent="0.25">
      <c r="A1671" s="46" t="s">
        <v>236</v>
      </c>
      <c r="B1671" s="47">
        <v>42475</v>
      </c>
      <c r="C1671" s="46" t="s">
        <v>1247</v>
      </c>
      <c r="D1671" s="46" t="str">
        <f t="shared" si="55"/>
        <v>Transfers</v>
      </c>
      <c r="E1671" s="46" t="s">
        <v>226</v>
      </c>
      <c r="F1671" s="46" t="s">
        <v>238</v>
      </c>
      <c r="G1671" s="48">
        <v>30000</v>
      </c>
      <c r="H1671" s="46">
        <f t="shared" si="56"/>
        <v>201604</v>
      </c>
      <c r="I1671" s="46">
        <f>MATCH(D1671,$O:$O,0)</f>
        <v>37</v>
      </c>
      <c r="J1671" s="46" t="s">
        <v>39</v>
      </c>
      <c r="K1671" s="46" t="s">
        <v>803</v>
      </c>
      <c r="L1671" s="46" t="s">
        <v>200</v>
      </c>
    </row>
    <row r="1672" spans="1:12" s="46" customFormat="1" x14ac:dyDescent="0.25">
      <c r="A1672" s="46" t="s">
        <v>236</v>
      </c>
      <c r="B1672" s="47">
        <v>42475</v>
      </c>
      <c r="C1672" s="46" t="s">
        <v>1248</v>
      </c>
      <c r="D1672" s="46" t="str">
        <f t="shared" si="55"/>
        <v>Home Maintainence/Improvement</v>
      </c>
      <c r="E1672" s="46" t="s">
        <v>342</v>
      </c>
      <c r="F1672" s="46" t="s">
        <v>238</v>
      </c>
      <c r="G1672" s="46">
        <v>-133.97999999999999</v>
      </c>
      <c r="H1672" s="46">
        <f t="shared" si="56"/>
        <v>201604</v>
      </c>
      <c r="I1672" s="46">
        <f>MATCH(D1672,$O:$O,0)</f>
        <v>16</v>
      </c>
      <c r="J1672" s="46" t="s">
        <v>39</v>
      </c>
      <c r="K1672" s="46" t="s">
        <v>803</v>
      </c>
    </row>
    <row r="1673" spans="1:12" s="46" customFormat="1" x14ac:dyDescent="0.25">
      <c r="A1673" s="46" t="s">
        <v>236</v>
      </c>
      <c r="B1673" s="47">
        <v>42475</v>
      </c>
      <c r="C1673" s="46" t="s">
        <v>849</v>
      </c>
      <c r="D1673" s="46" t="str">
        <f t="shared" si="55"/>
        <v>Home Maintainence/Improvement</v>
      </c>
      <c r="E1673" s="46" t="s">
        <v>342</v>
      </c>
      <c r="F1673" s="46" t="s">
        <v>238</v>
      </c>
      <c r="G1673" s="46">
        <v>-15.22</v>
      </c>
      <c r="H1673" s="46">
        <f t="shared" si="56"/>
        <v>201604</v>
      </c>
      <c r="I1673" s="46">
        <f>MATCH(D1673,$O:$O,0)</f>
        <v>16</v>
      </c>
      <c r="J1673" s="46" t="s">
        <v>39</v>
      </c>
      <c r="K1673" s="46" t="s">
        <v>628</v>
      </c>
      <c r="L1673" s="46" t="s">
        <v>200</v>
      </c>
    </row>
    <row r="1674" spans="1:12" s="46" customFormat="1" x14ac:dyDescent="0.25">
      <c r="A1674" s="46" t="s">
        <v>236</v>
      </c>
      <c r="B1674" s="47">
        <v>42475</v>
      </c>
      <c r="C1674" s="46" t="s">
        <v>1063</v>
      </c>
      <c r="D1674" s="46" t="str">
        <f t="shared" si="55"/>
        <v>D-Restaurant</v>
      </c>
      <c r="E1674" s="46" t="s">
        <v>204</v>
      </c>
      <c r="F1674" s="46" t="s">
        <v>238</v>
      </c>
      <c r="G1674" s="46">
        <v>-9.9</v>
      </c>
      <c r="H1674" s="46">
        <f t="shared" si="56"/>
        <v>201604</v>
      </c>
      <c r="I1674" s="46">
        <f>MATCH(D1674,$O:$O,0)</f>
        <v>9</v>
      </c>
      <c r="J1674" s="46" t="s">
        <v>39</v>
      </c>
      <c r="K1674" s="46" t="s">
        <v>676</v>
      </c>
      <c r="L1674" s="46" t="s">
        <v>200</v>
      </c>
    </row>
    <row r="1675" spans="1:12" s="46" customFormat="1" x14ac:dyDescent="0.25">
      <c r="A1675" s="46" t="s">
        <v>236</v>
      </c>
      <c r="B1675" s="47">
        <v>42475</v>
      </c>
      <c r="C1675" s="46" t="s">
        <v>1249</v>
      </c>
      <c r="D1675" s="46" t="str">
        <f t="shared" si="55"/>
        <v>D-Restaurant</v>
      </c>
      <c r="E1675" s="46" t="s">
        <v>204</v>
      </c>
      <c r="F1675" s="46" t="s">
        <v>238</v>
      </c>
      <c r="G1675" s="46">
        <v>-13</v>
      </c>
      <c r="H1675" s="46">
        <f t="shared" si="56"/>
        <v>201604</v>
      </c>
      <c r="I1675" s="46">
        <f>MATCH(D1675,$O:$O,0)</f>
        <v>9</v>
      </c>
      <c r="J1675" s="46" t="s">
        <v>39</v>
      </c>
      <c r="K1675" s="46" t="s">
        <v>675</v>
      </c>
      <c r="L1675" s="46" t="s">
        <v>200</v>
      </c>
    </row>
    <row r="1676" spans="1:12" s="46" customFormat="1" x14ac:dyDescent="0.25">
      <c r="A1676" s="46" t="s">
        <v>236</v>
      </c>
      <c r="B1676" s="47">
        <v>42475</v>
      </c>
      <c r="C1676" s="46" t="s">
        <v>1249</v>
      </c>
      <c r="D1676" s="46" t="str">
        <f t="shared" si="55"/>
        <v>D-Restaurant</v>
      </c>
      <c r="E1676" s="46" t="s">
        <v>204</v>
      </c>
      <c r="F1676" s="46" t="s">
        <v>238</v>
      </c>
      <c r="G1676" s="46">
        <v>-4.5</v>
      </c>
      <c r="H1676" s="46">
        <f t="shared" si="56"/>
        <v>201604</v>
      </c>
      <c r="I1676" s="46">
        <f>MATCH(D1676,$O:$O,0)</f>
        <v>9</v>
      </c>
      <c r="J1676" s="46" t="s">
        <v>39</v>
      </c>
      <c r="K1676" s="46" t="s">
        <v>803</v>
      </c>
      <c r="L1676" s="46" t="s">
        <v>1254</v>
      </c>
    </row>
    <row r="1677" spans="1:12" s="46" customFormat="1" x14ac:dyDescent="0.25">
      <c r="A1677" s="46" t="s">
        <v>236</v>
      </c>
      <c r="B1677" s="47">
        <v>42476</v>
      </c>
      <c r="C1677" s="46" t="s">
        <v>1241</v>
      </c>
      <c r="D1677" s="46" t="str">
        <f t="shared" si="55"/>
        <v>D-Restaurant</v>
      </c>
      <c r="E1677" s="46" t="s">
        <v>204</v>
      </c>
      <c r="F1677" s="46" t="s">
        <v>238</v>
      </c>
      <c r="G1677" s="46">
        <v>-100</v>
      </c>
      <c r="H1677" s="46">
        <f t="shared" si="56"/>
        <v>201604</v>
      </c>
      <c r="I1677" s="46">
        <f>MATCH(D1677,$O:$O,0)</f>
        <v>9</v>
      </c>
      <c r="J1677" s="46" t="s">
        <v>39</v>
      </c>
      <c r="K1677" s="46" t="s">
        <v>628</v>
      </c>
    </row>
    <row r="1678" spans="1:12" s="46" customFormat="1" x14ac:dyDescent="0.25">
      <c r="A1678" s="46" t="s">
        <v>236</v>
      </c>
      <c r="B1678" s="47">
        <v>42476</v>
      </c>
      <c r="C1678" s="46" t="s">
        <v>509</v>
      </c>
      <c r="D1678" s="46" t="str">
        <f t="shared" si="55"/>
        <v>D-Coffee</v>
      </c>
      <c r="E1678" s="46" t="s">
        <v>215</v>
      </c>
      <c r="F1678" s="46" t="s">
        <v>238</v>
      </c>
      <c r="G1678" s="46">
        <v>-3.8</v>
      </c>
      <c r="H1678" s="46">
        <f t="shared" si="56"/>
        <v>201604</v>
      </c>
      <c r="I1678" s="46">
        <f>MATCH(D1678,$O:$O,0)</f>
        <v>7</v>
      </c>
      <c r="J1678" s="46" t="s">
        <v>39</v>
      </c>
      <c r="K1678" s="46" t="s">
        <v>649</v>
      </c>
      <c r="L1678" s="46" t="s">
        <v>335</v>
      </c>
    </row>
    <row r="1679" spans="1:12" s="46" customFormat="1" x14ac:dyDescent="0.25">
      <c r="A1679" s="46" t="s">
        <v>236</v>
      </c>
      <c r="B1679" s="47">
        <v>42476</v>
      </c>
      <c r="C1679" s="46" t="s">
        <v>1243</v>
      </c>
      <c r="D1679" s="46" t="str">
        <f t="shared" si="55"/>
        <v>Uncategorized</v>
      </c>
      <c r="E1679" s="46" t="s">
        <v>102</v>
      </c>
      <c r="F1679" s="46" t="s">
        <v>238</v>
      </c>
      <c r="G1679" s="46">
        <v>-10</v>
      </c>
      <c r="H1679" s="46">
        <f t="shared" si="56"/>
        <v>201604</v>
      </c>
      <c r="I1679" s="46">
        <f>MATCH(D1679,$O:$O,0)</f>
        <v>33</v>
      </c>
      <c r="J1679" s="46" t="s">
        <v>39</v>
      </c>
      <c r="K1679" s="46" t="s">
        <v>649</v>
      </c>
      <c r="L1679" s="46" t="s">
        <v>1250</v>
      </c>
    </row>
    <row r="1680" spans="1:12" s="46" customFormat="1" x14ac:dyDescent="0.25">
      <c r="A1680" s="46" t="s">
        <v>236</v>
      </c>
      <c r="B1680" s="47">
        <v>42478</v>
      </c>
      <c r="C1680" s="46" t="s">
        <v>1239</v>
      </c>
      <c r="D1680" s="46" t="str">
        <f t="shared" si="55"/>
        <v>Credit Card Payments</v>
      </c>
      <c r="E1680" s="46" t="s">
        <v>242</v>
      </c>
      <c r="F1680" s="46" t="s">
        <v>238</v>
      </c>
      <c r="G1680" s="48">
        <v>-1020</v>
      </c>
      <c r="H1680" s="46">
        <f t="shared" si="56"/>
        <v>201604</v>
      </c>
      <c r="I1680" s="46">
        <f>MATCH(D1680,$O:$O,0)</f>
        <v>38</v>
      </c>
      <c r="J1680" s="46" t="s">
        <v>39</v>
      </c>
      <c r="K1680" s="46" t="s">
        <v>619</v>
      </c>
      <c r="L1680" s="46" t="s">
        <v>310</v>
      </c>
    </row>
    <row r="1681" spans="1:12" s="46" customFormat="1" x14ac:dyDescent="0.25">
      <c r="A1681" s="46" t="s">
        <v>236</v>
      </c>
      <c r="B1681" s="47">
        <v>42478</v>
      </c>
      <c r="C1681" s="46" t="s">
        <v>1240</v>
      </c>
      <c r="D1681" s="46" t="str">
        <f t="shared" si="55"/>
        <v>Credit Card Payments</v>
      </c>
      <c r="E1681" s="46" t="s">
        <v>242</v>
      </c>
      <c r="F1681" s="46" t="s">
        <v>238</v>
      </c>
      <c r="G1681" s="48">
        <v>-2000</v>
      </c>
      <c r="H1681" s="46">
        <f t="shared" si="56"/>
        <v>201604</v>
      </c>
      <c r="I1681" s="46">
        <f>MATCH(D1681,$O:$O,0)</f>
        <v>38</v>
      </c>
      <c r="J1681" s="46" t="s">
        <v>39</v>
      </c>
      <c r="K1681" s="46" t="s">
        <v>803</v>
      </c>
      <c r="L1681" s="46" t="s">
        <v>229</v>
      </c>
    </row>
    <row r="1682" spans="1:12" s="46" customFormat="1" x14ac:dyDescent="0.25">
      <c r="A1682" s="46" t="s">
        <v>236</v>
      </c>
      <c r="B1682" s="47">
        <v>42478</v>
      </c>
      <c r="C1682" s="46" t="s">
        <v>479</v>
      </c>
      <c r="D1682" s="46" t="str">
        <f t="shared" si="55"/>
        <v>D-Restaurant</v>
      </c>
      <c r="E1682" s="46" t="s">
        <v>204</v>
      </c>
      <c r="F1682" s="46" t="s">
        <v>238</v>
      </c>
      <c r="G1682" s="46">
        <v>-85.1</v>
      </c>
      <c r="H1682" s="46">
        <f t="shared" si="56"/>
        <v>201604</v>
      </c>
      <c r="I1682" s="46">
        <f>MATCH(D1682,$O:$O,0)</f>
        <v>9</v>
      </c>
      <c r="J1682" s="46" t="s">
        <v>39</v>
      </c>
      <c r="K1682" s="46" t="s">
        <v>649</v>
      </c>
      <c r="L1682" s="46" t="s">
        <v>297</v>
      </c>
    </row>
    <row r="1683" spans="1:12" s="46" customFormat="1" x14ac:dyDescent="0.25">
      <c r="A1683" s="46" t="s">
        <v>236</v>
      </c>
      <c r="B1683" s="47">
        <v>42478</v>
      </c>
      <c r="C1683" s="46" t="s">
        <v>557</v>
      </c>
      <c r="D1683" s="46" t="str">
        <f t="shared" si="55"/>
        <v>Credit Card Payments</v>
      </c>
      <c r="E1683" s="46" t="s">
        <v>242</v>
      </c>
      <c r="F1683" s="46" t="s">
        <v>238</v>
      </c>
      <c r="G1683" s="48">
        <v>2000</v>
      </c>
      <c r="H1683" s="46">
        <f t="shared" si="56"/>
        <v>201604</v>
      </c>
      <c r="I1683" s="46">
        <f>MATCH(D1683,$O:$O,0)</f>
        <v>38</v>
      </c>
      <c r="J1683" s="46" t="s">
        <v>39</v>
      </c>
      <c r="K1683" s="46" t="s">
        <v>649</v>
      </c>
    </row>
    <row r="1684" spans="1:12" s="46" customFormat="1" x14ac:dyDescent="0.25">
      <c r="A1684" s="46" t="s">
        <v>236</v>
      </c>
      <c r="B1684" s="47">
        <v>42478</v>
      </c>
      <c r="C1684" s="46" t="s">
        <v>845</v>
      </c>
      <c r="D1684" s="46" t="str">
        <f t="shared" si="55"/>
        <v>Credit Card Payments</v>
      </c>
      <c r="E1684" s="46" t="s">
        <v>242</v>
      </c>
      <c r="F1684" s="46" t="s">
        <v>238</v>
      </c>
      <c r="G1684" s="48">
        <v>1020</v>
      </c>
      <c r="H1684" s="46">
        <f t="shared" si="56"/>
        <v>201604</v>
      </c>
      <c r="I1684" s="46">
        <f>MATCH(D1684,$O:$O,0)</f>
        <v>38</v>
      </c>
      <c r="J1684" s="46" t="s">
        <v>39</v>
      </c>
      <c r="K1684" s="46" t="s">
        <v>619</v>
      </c>
      <c r="L1684" s="46" t="s">
        <v>193</v>
      </c>
    </row>
    <row r="1685" spans="1:12" s="46" customFormat="1" x14ac:dyDescent="0.25">
      <c r="A1685" s="46" t="s">
        <v>236</v>
      </c>
      <c r="B1685" s="47">
        <v>42479</v>
      </c>
      <c r="C1685" s="46" t="s">
        <v>1236</v>
      </c>
      <c r="D1685" s="46" t="str">
        <f t="shared" si="55"/>
        <v>Transfers</v>
      </c>
      <c r="E1685" s="46" t="s">
        <v>226</v>
      </c>
      <c r="F1685" s="46" t="s">
        <v>238</v>
      </c>
      <c r="G1685" s="48">
        <v>15000</v>
      </c>
      <c r="H1685" s="46">
        <f t="shared" si="56"/>
        <v>201604</v>
      </c>
      <c r="I1685" s="46">
        <f>MATCH(D1685,$O:$O,0)</f>
        <v>37</v>
      </c>
      <c r="J1685" s="46" t="s">
        <v>39</v>
      </c>
      <c r="K1685" s="46" t="s">
        <v>619</v>
      </c>
      <c r="L1685" s="46" t="s">
        <v>193</v>
      </c>
    </row>
    <row r="1686" spans="1:12" s="46" customFormat="1" x14ac:dyDescent="0.25">
      <c r="A1686" s="46" t="s">
        <v>236</v>
      </c>
      <c r="B1686" s="47">
        <v>42479</v>
      </c>
      <c r="C1686" s="46" t="s">
        <v>1237</v>
      </c>
      <c r="D1686" s="46" t="str">
        <f t="shared" si="55"/>
        <v>Transfers</v>
      </c>
      <c r="E1686" s="46" t="s">
        <v>226</v>
      </c>
      <c r="F1686" s="46" t="s">
        <v>238</v>
      </c>
      <c r="G1686" s="48">
        <v>60000</v>
      </c>
      <c r="H1686" s="46">
        <f t="shared" si="56"/>
        <v>201604</v>
      </c>
      <c r="I1686" s="46">
        <f>MATCH(D1686,$O:$O,0)</f>
        <v>37</v>
      </c>
      <c r="J1686" s="46" t="s">
        <v>39</v>
      </c>
      <c r="K1686" s="46" t="s">
        <v>675</v>
      </c>
      <c r="L1686" s="46" t="s">
        <v>193</v>
      </c>
    </row>
    <row r="1687" spans="1:12" s="46" customFormat="1" x14ac:dyDescent="0.25">
      <c r="A1687" s="46" t="s">
        <v>236</v>
      </c>
      <c r="B1687" s="47">
        <v>42479</v>
      </c>
      <c r="C1687" s="46" t="s">
        <v>703</v>
      </c>
      <c r="D1687" s="46" t="str">
        <f t="shared" si="55"/>
        <v>D-Travel</v>
      </c>
      <c r="E1687" s="46" t="s">
        <v>161</v>
      </c>
      <c r="F1687" s="46" t="s">
        <v>238</v>
      </c>
      <c r="G1687" s="46">
        <v>248.1</v>
      </c>
      <c r="H1687" s="46">
        <f t="shared" si="56"/>
        <v>201604</v>
      </c>
      <c r="I1687" s="46">
        <f>MATCH(D1687,$O:$O,0)</f>
        <v>10</v>
      </c>
      <c r="J1687" s="46" t="s">
        <v>39</v>
      </c>
      <c r="K1687" s="46" t="s">
        <v>630</v>
      </c>
      <c r="L1687" s="46" t="s">
        <v>939</v>
      </c>
    </row>
    <row r="1688" spans="1:12" s="46" customFormat="1" x14ac:dyDescent="0.25">
      <c r="A1688" s="46" t="s">
        <v>236</v>
      </c>
      <c r="B1688" s="47">
        <v>42479</v>
      </c>
      <c r="C1688" s="46" t="s">
        <v>1238</v>
      </c>
      <c r="D1688" s="46" t="str">
        <f t="shared" si="55"/>
        <v>Grocery</v>
      </c>
      <c r="E1688" s="46" t="s">
        <v>192</v>
      </c>
      <c r="F1688" s="46" t="s">
        <v>238</v>
      </c>
      <c r="G1688" s="46">
        <v>-6</v>
      </c>
      <c r="H1688" s="46">
        <f t="shared" si="56"/>
        <v>201604</v>
      </c>
      <c r="I1688" s="46">
        <f>MATCH(D1688,$O:$O,0)</f>
        <v>12</v>
      </c>
      <c r="J1688" s="46" t="s">
        <v>39</v>
      </c>
      <c r="K1688" s="46" t="s">
        <v>619</v>
      </c>
      <c r="L1688" s="46" t="s">
        <v>193</v>
      </c>
    </row>
    <row r="1689" spans="1:12" s="46" customFormat="1" x14ac:dyDescent="0.25">
      <c r="A1689" s="46" t="s">
        <v>236</v>
      </c>
      <c r="B1689" s="47">
        <v>42479</v>
      </c>
      <c r="C1689" s="46" t="s">
        <v>1063</v>
      </c>
      <c r="D1689" s="46" t="str">
        <f t="shared" si="55"/>
        <v>D-Restaurant</v>
      </c>
      <c r="E1689" s="46" t="s">
        <v>204</v>
      </c>
      <c r="F1689" s="46" t="s">
        <v>238</v>
      </c>
      <c r="G1689" s="46">
        <v>-4.3499999999999996</v>
      </c>
      <c r="H1689" s="46">
        <f t="shared" si="56"/>
        <v>201604</v>
      </c>
      <c r="I1689" s="46">
        <f>MATCH(D1689,$O:$O,0)</f>
        <v>9</v>
      </c>
      <c r="J1689" s="46" t="s">
        <v>39</v>
      </c>
      <c r="K1689" s="46" t="s">
        <v>619</v>
      </c>
    </row>
    <row r="1690" spans="1:12" s="46" customFormat="1" x14ac:dyDescent="0.25">
      <c r="A1690" s="17" t="s">
        <v>236</v>
      </c>
      <c r="B1690" s="49">
        <v>42479</v>
      </c>
      <c r="C1690" s="17" t="s">
        <v>985</v>
      </c>
      <c r="D1690" s="17" t="str">
        <f t="shared" si="55"/>
        <v>Finance Charges</v>
      </c>
      <c r="E1690" s="17" t="s">
        <v>1341</v>
      </c>
      <c r="F1690" s="17" t="s">
        <v>238</v>
      </c>
      <c r="G1690" s="17">
        <v>45</v>
      </c>
      <c r="H1690" s="17">
        <f t="shared" si="56"/>
        <v>201604</v>
      </c>
      <c r="I1690" s="17">
        <f>MATCH(D1690,$O:$O,0)</f>
        <v>35</v>
      </c>
      <c r="J1690" s="46" t="s">
        <v>39</v>
      </c>
      <c r="K1690" s="46" t="s">
        <v>630</v>
      </c>
    </row>
    <row r="1691" spans="1:12" s="46" customFormat="1" x14ac:dyDescent="0.25">
      <c r="A1691" s="46" t="s">
        <v>236</v>
      </c>
      <c r="B1691" s="47">
        <v>42480</v>
      </c>
      <c r="C1691" s="46" t="s">
        <v>1233</v>
      </c>
      <c r="D1691" s="46" t="str">
        <f t="shared" si="55"/>
        <v>Grocery</v>
      </c>
      <c r="E1691" s="46" t="s">
        <v>385</v>
      </c>
      <c r="F1691" s="46" t="s">
        <v>238</v>
      </c>
      <c r="G1691" s="46">
        <v>-36.1</v>
      </c>
      <c r="H1691" s="46">
        <f t="shared" si="56"/>
        <v>201604</v>
      </c>
      <c r="I1691" s="46">
        <f>MATCH(D1691,$O:$O,0)</f>
        <v>12</v>
      </c>
      <c r="J1691" s="46" t="s">
        <v>39</v>
      </c>
      <c r="K1691" s="46" t="s">
        <v>630</v>
      </c>
    </row>
    <row r="1692" spans="1:12" s="46" customFormat="1" x14ac:dyDescent="0.25">
      <c r="A1692" s="46" t="s">
        <v>236</v>
      </c>
      <c r="B1692" s="47">
        <v>42480</v>
      </c>
      <c r="C1692" s="46" t="s">
        <v>1234</v>
      </c>
      <c r="D1692" s="46" t="str">
        <f t="shared" si="55"/>
        <v>Gas</v>
      </c>
      <c r="E1692" s="46" t="s">
        <v>311</v>
      </c>
      <c r="F1692" s="46" t="s">
        <v>238</v>
      </c>
      <c r="G1692" s="46">
        <v>-25.07</v>
      </c>
      <c r="H1692" s="46">
        <f t="shared" si="56"/>
        <v>201604</v>
      </c>
      <c r="I1692" s="46">
        <f>MATCH(D1692,$O:$O,0)</f>
        <v>30</v>
      </c>
      <c r="J1692" s="46" t="s">
        <v>39</v>
      </c>
      <c r="K1692" s="46" t="s">
        <v>649</v>
      </c>
      <c r="L1692" s="46" t="s">
        <v>823</v>
      </c>
    </row>
    <row r="1693" spans="1:12" s="46" customFormat="1" x14ac:dyDescent="0.25">
      <c r="A1693" s="17" t="s">
        <v>236</v>
      </c>
      <c r="B1693" s="49">
        <v>42480</v>
      </c>
      <c r="C1693" s="17" t="s">
        <v>1061</v>
      </c>
      <c r="D1693" s="17" t="str">
        <f t="shared" si="55"/>
        <v>D-Travel</v>
      </c>
      <c r="E1693" s="17" t="s">
        <v>1342</v>
      </c>
      <c r="F1693" s="17" t="s">
        <v>238</v>
      </c>
      <c r="G1693" s="17">
        <v>-119</v>
      </c>
      <c r="H1693" s="17">
        <f t="shared" si="56"/>
        <v>201604</v>
      </c>
      <c r="I1693" s="17">
        <f>MATCH(D1693,$O:$O,0)</f>
        <v>10</v>
      </c>
      <c r="J1693" s="46" t="s">
        <v>39</v>
      </c>
      <c r="K1693" s="46" t="s">
        <v>649</v>
      </c>
      <c r="L1693" s="46" t="s">
        <v>352</v>
      </c>
    </row>
    <row r="1694" spans="1:12" s="46" customFormat="1" x14ac:dyDescent="0.25">
      <c r="A1694" s="46" t="s">
        <v>236</v>
      </c>
      <c r="B1694" s="47">
        <v>42480</v>
      </c>
      <c r="C1694" s="46" t="s">
        <v>1235</v>
      </c>
      <c r="D1694" s="46" t="str">
        <f t="shared" si="55"/>
        <v>D-Travel</v>
      </c>
      <c r="E1694" s="46" t="s">
        <v>161</v>
      </c>
      <c r="F1694" s="46" t="s">
        <v>238</v>
      </c>
      <c r="G1694" s="46">
        <v>-154</v>
      </c>
      <c r="H1694" s="46">
        <f t="shared" si="56"/>
        <v>201604</v>
      </c>
      <c r="I1694" s="46">
        <f>MATCH(D1694,$O:$O,0)</f>
        <v>10</v>
      </c>
      <c r="J1694" s="46" t="s">
        <v>39</v>
      </c>
      <c r="K1694" s="46" t="s">
        <v>649</v>
      </c>
    </row>
    <row r="1695" spans="1:12" s="46" customFormat="1" x14ac:dyDescent="0.25">
      <c r="A1695" s="46" t="s">
        <v>236</v>
      </c>
      <c r="B1695" s="47">
        <v>42480</v>
      </c>
      <c r="C1695" s="46" t="s">
        <v>509</v>
      </c>
      <c r="D1695" s="46" t="str">
        <f t="shared" si="55"/>
        <v>D-Coffee</v>
      </c>
      <c r="E1695" s="46" t="s">
        <v>215</v>
      </c>
      <c r="F1695" s="46" t="s">
        <v>238</v>
      </c>
      <c r="G1695" s="46">
        <v>-3.3</v>
      </c>
      <c r="H1695" s="46">
        <f t="shared" si="56"/>
        <v>201604</v>
      </c>
      <c r="I1695" s="46">
        <f>MATCH(D1695,$O:$O,0)</f>
        <v>7</v>
      </c>
      <c r="J1695" s="46" t="s">
        <v>39</v>
      </c>
      <c r="K1695" s="46" t="s">
        <v>649</v>
      </c>
      <c r="L1695" s="46" t="s">
        <v>1264</v>
      </c>
    </row>
    <row r="1696" spans="1:12" s="46" customFormat="1" x14ac:dyDescent="0.25">
      <c r="A1696" s="46" t="s">
        <v>236</v>
      </c>
      <c r="B1696" s="47">
        <v>42480</v>
      </c>
      <c r="C1696" s="46" t="s">
        <v>1063</v>
      </c>
      <c r="D1696" s="46" t="str">
        <f t="shared" si="55"/>
        <v>D-Restaurant</v>
      </c>
      <c r="E1696" s="46" t="s">
        <v>204</v>
      </c>
      <c r="F1696" s="46" t="s">
        <v>238</v>
      </c>
      <c r="G1696" s="46">
        <v>-4.55</v>
      </c>
      <c r="H1696" s="46">
        <f t="shared" si="56"/>
        <v>201604</v>
      </c>
      <c r="I1696" s="46">
        <f>MATCH(D1696,$O:$O,0)</f>
        <v>9</v>
      </c>
      <c r="J1696" s="46" t="s">
        <v>39</v>
      </c>
      <c r="K1696" s="46" t="s">
        <v>619</v>
      </c>
      <c r="L1696" s="46" t="s">
        <v>310</v>
      </c>
    </row>
    <row r="1697" spans="1:12" s="46" customFormat="1" x14ac:dyDescent="0.25">
      <c r="A1697" s="46" t="s">
        <v>236</v>
      </c>
      <c r="B1697" s="47">
        <v>42480</v>
      </c>
      <c r="C1697" s="46" t="s">
        <v>249</v>
      </c>
      <c r="D1697" s="46" t="str">
        <f t="shared" si="55"/>
        <v>Retirement Contributions</v>
      </c>
      <c r="E1697" s="46" t="s">
        <v>263</v>
      </c>
      <c r="F1697" s="46" t="s">
        <v>238</v>
      </c>
      <c r="G1697" s="46">
        <v>843.75</v>
      </c>
      <c r="H1697" s="46">
        <f t="shared" si="56"/>
        <v>201604</v>
      </c>
      <c r="I1697" s="46">
        <f>MATCH(D1697,$O:$O,0)</f>
        <v>39</v>
      </c>
      <c r="J1697" s="46" t="s">
        <v>39</v>
      </c>
      <c r="K1697" s="46" t="s">
        <v>649</v>
      </c>
    </row>
    <row r="1698" spans="1:12" s="46" customFormat="1" x14ac:dyDescent="0.25">
      <c r="A1698" s="52" t="s">
        <v>236</v>
      </c>
      <c r="B1698" s="53">
        <v>42481</v>
      </c>
      <c r="C1698" s="52" t="s">
        <v>1231</v>
      </c>
      <c r="D1698" s="52" t="s">
        <v>183</v>
      </c>
      <c r="E1698" s="52" t="s">
        <v>1232</v>
      </c>
      <c r="F1698" s="52" t="s">
        <v>238</v>
      </c>
      <c r="G1698" s="52">
        <v>-5</v>
      </c>
      <c r="H1698" s="52">
        <f t="shared" si="56"/>
        <v>201604</v>
      </c>
      <c r="I1698" s="52">
        <f>MATCH(D1698,$O:$O,0)</f>
        <v>16</v>
      </c>
      <c r="J1698" s="46" t="s">
        <v>39</v>
      </c>
      <c r="K1698" s="46" t="s">
        <v>649</v>
      </c>
    </row>
    <row r="1699" spans="1:12" s="46" customFormat="1" x14ac:dyDescent="0.25">
      <c r="A1699" s="46" t="s">
        <v>236</v>
      </c>
      <c r="B1699" s="47">
        <v>42481</v>
      </c>
      <c r="C1699" s="46" t="s">
        <v>1063</v>
      </c>
      <c r="D1699" s="46" t="str">
        <f t="shared" ref="D1699:D1721" si="57">IF(ISNA(VLOOKUP(E1699,$L$2:$M$26,2,FALSE)),E1699,VLOOKUP(E1699,$L$2:$M$26,2,FALSE))</f>
        <v>D-Restaurant</v>
      </c>
      <c r="E1699" s="46" t="s">
        <v>204</v>
      </c>
      <c r="F1699" s="46" t="s">
        <v>238</v>
      </c>
      <c r="G1699" s="46">
        <v>-4.55</v>
      </c>
      <c r="H1699" s="46">
        <f t="shared" si="56"/>
        <v>201604</v>
      </c>
      <c r="I1699" s="46">
        <f>MATCH(D1699,$O:$O,0)</f>
        <v>9</v>
      </c>
      <c r="J1699" s="46" t="s">
        <v>39</v>
      </c>
      <c r="K1699" s="46" t="s">
        <v>630</v>
      </c>
      <c r="L1699" s="46" t="s">
        <v>713</v>
      </c>
    </row>
    <row r="1700" spans="1:12" s="46" customFormat="1" x14ac:dyDescent="0.25">
      <c r="A1700" s="46" t="s">
        <v>236</v>
      </c>
      <c r="B1700" s="47">
        <v>42482</v>
      </c>
      <c r="C1700" s="46" t="s">
        <v>1063</v>
      </c>
      <c r="D1700" s="46" t="str">
        <f t="shared" si="57"/>
        <v>D-Restaurant</v>
      </c>
      <c r="E1700" s="46" t="s">
        <v>204</v>
      </c>
      <c r="F1700" s="46" t="s">
        <v>238</v>
      </c>
      <c r="G1700" s="46">
        <v>-8.1999999999999993</v>
      </c>
      <c r="H1700" s="46">
        <f t="shared" si="56"/>
        <v>201604</v>
      </c>
      <c r="I1700" s="46">
        <f>MATCH(D1700,$O:$O,0)</f>
        <v>9</v>
      </c>
      <c r="J1700" s="46" t="s">
        <v>39</v>
      </c>
      <c r="K1700" s="46" t="s">
        <v>649</v>
      </c>
      <c r="L1700" s="46" t="s">
        <v>816</v>
      </c>
    </row>
    <row r="1701" spans="1:12" s="46" customFormat="1" x14ac:dyDescent="0.25">
      <c r="A1701" s="46" t="s">
        <v>236</v>
      </c>
      <c r="B1701" s="47">
        <v>42482</v>
      </c>
      <c r="C1701" s="46" t="s">
        <v>1230</v>
      </c>
      <c r="D1701" s="46" t="str">
        <f t="shared" si="57"/>
        <v>D-Restaurant</v>
      </c>
      <c r="E1701" s="46" t="s">
        <v>204</v>
      </c>
      <c r="F1701" s="46" t="s">
        <v>238</v>
      </c>
      <c r="G1701" s="46">
        <v>-23.64</v>
      </c>
      <c r="H1701" s="46">
        <f t="shared" si="56"/>
        <v>201604</v>
      </c>
      <c r="I1701" s="46">
        <f>MATCH(D1701,$O:$O,0)</f>
        <v>9</v>
      </c>
      <c r="J1701" s="46" t="s">
        <v>39</v>
      </c>
      <c r="K1701" s="46" t="s">
        <v>649</v>
      </c>
    </row>
    <row r="1702" spans="1:12" s="46" customFormat="1" x14ac:dyDescent="0.25">
      <c r="A1702" s="46" t="s">
        <v>236</v>
      </c>
      <c r="B1702" s="47">
        <v>42483</v>
      </c>
      <c r="C1702" s="46" t="s">
        <v>1224</v>
      </c>
      <c r="D1702" s="46" t="str">
        <f t="shared" si="57"/>
        <v>D-Restaurant</v>
      </c>
      <c r="E1702" s="46" t="s">
        <v>204</v>
      </c>
      <c r="F1702" s="46" t="s">
        <v>238</v>
      </c>
      <c r="G1702" s="46">
        <v>-25.65</v>
      </c>
      <c r="H1702" s="46">
        <f t="shared" si="56"/>
        <v>201604</v>
      </c>
      <c r="I1702" s="46">
        <f>MATCH(D1702,$O:$O,0)</f>
        <v>9</v>
      </c>
      <c r="J1702" s="46" t="s">
        <v>39</v>
      </c>
      <c r="K1702" s="46" t="s">
        <v>649</v>
      </c>
      <c r="L1702" s="46" t="s">
        <v>816</v>
      </c>
    </row>
    <row r="1703" spans="1:12" s="46" customFormat="1" x14ac:dyDescent="0.25">
      <c r="A1703" s="46" t="s">
        <v>236</v>
      </c>
      <c r="B1703" s="47">
        <v>42483</v>
      </c>
      <c r="C1703" s="46" t="s">
        <v>1226</v>
      </c>
      <c r="D1703" s="46" t="str">
        <f t="shared" si="57"/>
        <v>Parking</v>
      </c>
      <c r="E1703" s="46" t="s">
        <v>170</v>
      </c>
      <c r="F1703" s="46" t="s">
        <v>238</v>
      </c>
      <c r="G1703" s="46">
        <v>-25</v>
      </c>
      <c r="H1703" s="46">
        <f t="shared" si="56"/>
        <v>201604</v>
      </c>
      <c r="I1703" s="46">
        <f>MATCH(D1703,$O:$O,0)</f>
        <v>32</v>
      </c>
      <c r="J1703" s="46" t="s">
        <v>39</v>
      </c>
      <c r="K1703" s="46" t="s">
        <v>803</v>
      </c>
      <c r="L1703" s="46" t="s">
        <v>1271</v>
      </c>
    </row>
    <row r="1704" spans="1:12" s="46" customFormat="1" x14ac:dyDescent="0.25">
      <c r="A1704" s="46" t="s">
        <v>236</v>
      </c>
      <c r="B1704" s="47">
        <v>42483</v>
      </c>
      <c r="C1704" s="46" t="s">
        <v>1227</v>
      </c>
      <c r="D1704" s="46" t="str">
        <f t="shared" si="57"/>
        <v>D-Coffee</v>
      </c>
      <c r="E1704" s="46" t="s">
        <v>215</v>
      </c>
      <c r="F1704" s="46" t="s">
        <v>238</v>
      </c>
      <c r="G1704" s="46">
        <v>-3.9</v>
      </c>
      <c r="H1704" s="46">
        <f t="shared" si="56"/>
        <v>201604</v>
      </c>
      <c r="I1704" s="46">
        <f>MATCH(D1704,$O:$O,0)</f>
        <v>7</v>
      </c>
      <c r="J1704" s="46" t="s">
        <v>39</v>
      </c>
      <c r="K1704" s="46" t="s">
        <v>630</v>
      </c>
    </row>
    <row r="1705" spans="1:12" s="46" customFormat="1" x14ac:dyDescent="0.25">
      <c r="A1705" s="46" t="s">
        <v>236</v>
      </c>
      <c r="B1705" s="47">
        <v>42483</v>
      </c>
      <c r="C1705" s="46" t="s">
        <v>1228</v>
      </c>
      <c r="D1705" s="46" t="str">
        <f t="shared" si="57"/>
        <v>D-Restaurant</v>
      </c>
      <c r="E1705" s="46" t="s">
        <v>204</v>
      </c>
      <c r="F1705" s="46" t="s">
        <v>238</v>
      </c>
      <c r="G1705" s="46">
        <v>-16.95</v>
      </c>
      <c r="H1705" s="46">
        <f t="shared" si="56"/>
        <v>201604</v>
      </c>
      <c r="I1705" s="46">
        <f>MATCH(D1705,$O:$O,0)</f>
        <v>9</v>
      </c>
      <c r="J1705" s="46" t="s">
        <v>39</v>
      </c>
      <c r="K1705" s="46" t="s">
        <v>649</v>
      </c>
      <c r="L1705" s="46" t="s">
        <v>252</v>
      </c>
    </row>
    <row r="1706" spans="1:12" s="46" customFormat="1" x14ac:dyDescent="0.25">
      <c r="A1706" s="46" t="s">
        <v>236</v>
      </c>
      <c r="B1706" s="47">
        <v>42485</v>
      </c>
      <c r="C1706" s="46" t="s">
        <v>565</v>
      </c>
      <c r="D1706" s="46" t="str">
        <f t="shared" si="57"/>
        <v>Grocery</v>
      </c>
      <c r="E1706" s="46" t="s">
        <v>192</v>
      </c>
      <c r="F1706" s="46" t="s">
        <v>238</v>
      </c>
      <c r="G1706" s="46">
        <v>-7.07</v>
      </c>
      <c r="H1706" s="46">
        <f t="shared" si="56"/>
        <v>201604</v>
      </c>
      <c r="I1706" s="46">
        <f>MATCH(D1706,$O:$O,0)</f>
        <v>12</v>
      </c>
      <c r="J1706" s="46" t="s">
        <v>39</v>
      </c>
      <c r="K1706" s="46" t="s">
        <v>649</v>
      </c>
      <c r="L1706" s="46" t="s">
        <v>252</v>
      </c>
    </row>
    <row r="1707" spans="1:12" s="46" customFormat="1" x14ac:dyDescent="0.25">
      <c r="A1707" s="46" t="s">
        <v>236</v>
      </c>
      <c r="B1707" s="47">
        <v>42485</v>
      </c>
      <c r="C1707" s="46" t="s">
        <v>479</v>
      </c>
      <c r="D1707" s="46" t="str">
        <f t="shared" si="57"/>
        <v>D-Restaurant</v>
      </c>
      <c r="E1707" s="46" t="s">
        <v>204</v>
      </c>
      <c r="F1707" s="46" t="s">
        <v>238</v>
      </c>
      <c r="G1707" s="46">
        <v>-78.680000000000007</v>
      </c>
      <c r="H1707" s="46">
        <f t="shared" si="56"/>
        <v>201604</v>
      </c>
      <c r="I1707" s="46">
        <f>MATCH(D1707,$O:$O,0)</f>
        <v>9</v>
      </c>
      <c r="J1707" s="46" t="s">
        <v>39</v>
      </c>
      <c r="K1707" s="46" t="s">
        <v>649</v>
      </c>
      <c r="L1707" s="46" t="s">
        <v>334</v>
      </c>
    </row>
    <row r="1708" spans="1:12" s="46" customFormat="1" x14ac:dyDescent="0.25">
      <c r="A1708" s="46" t="s">
        <v>236</v>
      </c>
      <c r="B1708" s="47">
        <v>42485</v>
      </c>
      <c r="C1708" s="46" t="s">
        <v>1223</v>
      </c>
      <c r="D1708" s="46" t="str">
        <f t="shared" si="57"/>
        <v>Newspapers</v>
      </c>
      <c r="E1708" s="46" t="s">
        <v>1205</v>
      </c>
      <c r="F1708" s="46" t="s">
        <v>238</v>
      </c>
      <c r="G1708" s="46">
        <v>-7.99</v>
      </c>
      <c r="H1708" s="46">
        <f t="shared" si="56"/>
        <v>201604</v>
      </c>
      <c r="I1708" s="46">
        <f>MATCH(D1708,$O:$O,0)</f>
        <v>23</v>
      </c>
      <c r="J1708" s="46" t="s">
        <v>39</v>
      </c>
      <c r="K1708" s="46" t="s">
        <v>649</v>
      </c>
    </row>
    <row r="1709" spans="1:12" s="46" customFormat="1" x14ac:dyDescent="0.25">
      <c r="A1709" s="46" t="s">
        <v>236</v>
      </c>
      <c r="B1709" s="47">
        <v>42485</v>
      </c>
      <c r="C1709" s="46" t="s">
        <v>775</v>
      </c>
      <c r="D1709" s="46" t="str">
        <f t="shared" si="57"/>
        <v>Grocery</v>
      </c>
      <c r="E1709" s="46" t="s">
        <v>192</v>
      </c>
      <c r="F1709" s="46" t="s">
        <v>238</v>
      </c>
      <c r="G1709" s="46">
        <v>-15.59</v>
      </c>
      <c r="H1709" s="46">
        <f t="shared" si="56"/>
        <v>201604</v>
      </c>
      <c r="I1709" s="46">
        <f>MATCH(D1709,$O:$O,0)</f>
        <v>12</v>
      </c>
      <c r="J1709" s="46" t="s">
        <v>39</v>
      </c>
      <c r="K1709" s="46" t="s">
        <v>632</v>
      </c>
    </row>
    <row r="1710" spans="1:12" s="46" customFormat="1" x14ac:dyDescent="0.25">
      <c r="A1710" s="46" t="s">
        <v>236</v>
      </c>
      <c r="B1710" s="47">
        <v>42486</v>
      </c>
      <c r="C1710" s="46" t="s">
        <v>1222</v>
      </c>
      <c r="D1710" s="46" t="str">
        <f t="shared" si="57"/>
        <v>Grocery</v>
      </c>
      <c r="E1710" s="46" t="s">
        <v>192</v>
      </c>
      <c r="F1710" s="46" t="s">
        <v>238</v>
      </c>
      <c r="G1710" s="46">
        <v>-3.99</v>
      </c>
      <c r="H1710" s="46">
        <f t="shared" si="56"/>
        <v>201604</v>
      </c>
      <c r="I1710" s="46">
        <f>MATCH(D1710,$O:$O,0)</f>
        <v>12</v>
      </c>
      <c r="J1710" s="46" t="s">
        <v>39</v>
      </c>
      <c r="K1710" s="46" t="s">
        <v>675</v>
      </c>
      <c r="L1710" s="46" t="s">
        <v>1156</v>
      </c>
    </row>
    <row r="1711" spans="1:12" s="46" customFormat="1" x14ac:dyDescent="0.25">
      <c r="A1711" s="46" t="s">
        <v>236</v>
      </c>
      <c r="B1711" s="47">
        <v>42486</v>
      </c>
      <c r="C1711" s="46" t="s">
        <v>747</v>
      </c>
      <c r="D1711" s="46" t="str">
        <f t="shared" si="57"/>
        <v>Cell Phone</v>
      </c>
      <c r="E1711" s="46" t="s">
        <v>224</v>
      </c>
      <c r="F1711" s="46" t="s">
        <v>238</v>
      </c>
      <c r="G1711" s="46">
        <v>-77.489999999999995</v>
      </c>
      <c r="H1711" s="46">
        <f t="shared" si="56"/>
        <v>201604</v>
      </c>
      <c r="I1711" s="46">
        <f>MATCH(D1711,$O:$O,0)</f>
        <v>4</v>
      </c>
      <c r="J1711" s="46" t="s">
        <v>39</v>
      </c>
      <c r="K1711" s="46" t="s">
        <v>803</v>
      </c>
      <c r="L1711" s="46" t="s">
        <v>241</v>
      </c>
    </row>
    <row r="1712" spans="1:12" s="46" customFormat="1" x14ac:dyDescent="0.25">
      <c r="A1712" s="46" t="s">
        <v>236</v>
      </c>
      <c r="B1712" s="47">
        <v>42487</v>
      </c>
      <c r="C1712" s="46" t="s">
        <v>1218</v>
      </c>
      <c r="D1712" s="46" t="str">
        <f t="shared" si="57"/>
        <v>Gas</v>
      </c>
      <c r="E1712" s="46" t="s">
        <v>311</v>
      </c>
      <c r="F1712" s="46" t="s">
        <v>238</v>
      </c>
      <c r="G1712" s="46">
        <v>-28.57</v>
      </c>
      <c r="H1712" s="46">
        <f t="shared" si="56"/>
        <v>201604</v>
      </c>
      <c r="I1712" s="46">
        <f>MATCH(D1712,$O:$O,0)</f>
        <v>30</v>
      </c>
      <c r="J1712" s="46" t="s">
        <v>39</v>
      </c>
      <c r="K1712" s="46" t="s">
        <v>649</v>
      </c>
    </row>
    <row r="1713" spans="1:12" s="46" customFormat="1" x14ac:dyDescent="0.25">
      <c r="A1713" s="46" t="s">
        <v>236</v>
      </c>
      <c r="B1713" s="47">
        <v>42487</v>
      </c>
      <c r="C1713" s="46" t="s">
        <v>565</v>
      </c>
      <c r="D1713" s="46" t="str">
        <f t="shared" si="57"/>
        <v>Grocery</v>
      </c>
      <c r="E1713" s="46" t="s">
        <v>192</v>
      </c>
      <c r="F1713" s="46" t="s">
        <v>238</v>
      </c>
      <c r="G1713" s="46">
        <v>-12.07</v>
      </c>
      <c r="H1713" s="46">
        <f t="shared" si="56"/>
        <v>201604</v>
      </c>
      <c r="I1713" s="46">
        <f>MATCH(D1713,$O:$O,0)</f>
        <v>12</v>
      </c>
      <c r="J1713" s="46" t="s">
        <v>39</v>
      </c>
      <c r="K1713" s="46" t="s">
        <v>649</v>
      </c>
    </row>
    <row r="1714" spans="1:12" s="46" customFormat="1" x14ac:dyDescent="0.25">
      <c r="A1714" s="46" t="s">
        <v>236</v>
      </c>
      <c r="B1714" s="47">
        <v>42487</v>
      </c>
      <c r="C1714" s="46" t="s">
        <v>565</v>
      </c>
      <c r="D1714" s="46" t="str">
        <f t="shared" si="57"/>
        <v>Grocery</v>
      </c>
      <c r="E1714" s="46" t="s">
        <v>192</v>
      </c>
      <c r="F1714" s="46" t="s">
        <v>238</v>
      </c>
      <c r="G1714" s="46">
        <v>-3.8</v>
      </c>
      <c r="H1714" s="46">
        <f t="shared" si="56"/>
        <v>201604</v>
      </c>
      <c r="I1714" s="46">
        <f>MATCH(D1714,$O:$O,0)</f>
        <v>12</v>
      </c>
      <c r="J1714" s="46" t="s">
        <v>39</v>
      </c>
      <c r="K1714" s="46" t="s">
        <v>649</v>
      </c>
      <c r="L1714" s="46" t="s">
        <v>252</v>
      </c>
    </row>
    <row r="1715" spans="1:12" s="46" customFormat="1" x14ac:dyDescent="0.25">
      <c r="A1715" s="17" t="s">
        <v>236</v>
      </c>
      <c r="B1715" s="49">
        <v>42487</v>
      </c>
      <c r="C1715" s="17" t="s">
        <v>1219</v>
      </c>
      <c r="D1715" s="17" t="str">
        <f t="shared" si="57"/>
        <v>Electronics</v>
      </c>
      <c r="E1715" s="17" t="s">
        <v>1220</v>
      </c>
      <c r="F1715" s="17" t="s">
        <v>238</v>
      </c>
      <c r="G1715" s="17">
        <v>-78.5</v>
      </c>
      <c r="H1715" s="17">
        <f t="shared" si="56"/>
        <v>201604</v>
      </c>
      <c r="I1715" s="17" t="e">
        <f>MATCH(D1715,$O:$O,0)</f>
        <v>#N/A</v>
      </c>
      <c r="J1715" s="46" t="s">
        <v>39</v>
      </c>
      <c r="K1715" s="46" t="s">
        <v>649</v>
      </c>
      <c r="L1715" s="46" t="s">
        <v>351</v>
      </c>
    </row>
    <row r="1716" spans="1:12" s="46" customFormat="1" x14ac:dyDescent="0.25">
      <c r="A1716" s="46" t="s">
        <v>236</v>
      </c>
      <c r="B1716" s="47">
        <v>42488</v>
      </c>
      <c r="C1716" s="46" t="s">
        <v>1215</v>
      </c>
      <c r="D1716" s="46" t="str">
        <f t="shared" si="57"/>
        <v>Grocery</v>
      </c>
      <c r="E1716" s="46" t="s">
        <v>385</v>
      </c>
      <c r="F1716" s="46" t="s">
        <v>238</v>
      </c>
      <c r="G1716" s="46">
        <v>-26.16</v>
      </c>
      <c r="H1716" s="46">
        <f t="shared" si="56"/>
        <v>201604</v>
      </c>
      <c r="I1716" s="46">
        <f>MATCH(D1716,$O:$O,0)</f>
        <v>12</v>
      </c>
      <c r="J1716" s="46" t="s">
        <v>39</v>
      </c>
      <c r="K1716" s="46" t="s">
        <v>649</v>
      </c>
    </row>
    <row r="1717" spans="1:12" s="46" customFormat="1" x14ac:dyDescent="0.25">
      <c r="A1717" s="46" t="s">
        <v>236</v>
      </c>
      <c r="B1717" s="47">
        <v>42488</v>
      </c>
      <c r="C1717" s="46" t="s">
        <v>1216</v>
      </c>
      <c r="D1717" s="46" t="str">
        <f t="shared" si="57"/>
        <v>Grocery</v>
      </c>
      <c r="E1717" s="46" t="s">
        <v>385</v>
      </c>
      <c r="F1717" s="46" t="s">
        <v>238</v>
      </c>
      <c r="G1717" s="46">
        <v>-22.26</v>
      </c>
      <c r="H1717" s="46">
        <f t="shared" si="56"/>
        <v>201604</v>
      </c>
      <c r="I1717" s="46">
        <f>MATCH(D1717,$O:$O,0)</f>
        <v>12</v>
      </c>
      <c r="J1717" s="46" t="s">
        <v>39</v>
      </c>
      <c r="K1717" s="46" t="s">
        <v>649</v>
      </c>
      <c r="L1717" s="46" t="s">
        <v>252</v>
      </c>
    </row>
    <row r="1718" spans="1:12" s="46" customFormat="1" x14ac:dyDescent="0.25">
      <c r="A1718" s="46" t="s">
        <v>236</v>
      </c>
      <c r="B1718" s="47">
        <v>42488</v>
      </c>
      <c r="C1718" s="46" t="s">
        <v>1217</v>
      </c>
      <c r="D1718" s="46" t="str">
        <f t="shared" si="57"/>
        <v>D-Restaurant</v>
      </c>
      <c r="E1718" s="46" t="s">
        <v>204</v>
      </c>
      <c r="F1718" s="46" t="s">
        <v>238</v>
      </c>
      <c r="G1718" s="46">
        <v>-9.06</v>
      </c>
      <c r="H1718" s="46">
        <f t="shared" si="56"/>
        <v>201604</v>
      </c>
      <c r="I1718" s="46">
        <f>MATCH(D1718,$O:$O,0)</f>
        <v>9</v>
      </c>
      <c r="J1718" s="46" t="s">
        <v>39</v>
      </c>
      <c r="K1718" s="46" t="s">
        <v>649</v>
      </c>
      <c r="L1718" s="46" t="s">
        <v>198</v>
      </c>
    </row>
    <row r="1719" spans="1:12" s="46" customFormat="1" x14ac:dyDescent="0.25">
      <c r="A1719" s="46" t="s">
        <v>236</v>
      </c>
      <c r="B1719" s="47">
        <v>42489</v>
      </c>
      <c r="C1719" s="46" t="s">
        <v>1078</v>
      </c>
      <c r="D1719" s="46" t="str">
        <f t="shared" si="57"/>
        <v>Paychecks/Salary</v>
      </c>
      <c r="E1719" s="46" t="s">
        <v>261</v>
      </c>
      <c r="F1719" s="46" t="s">
        <v>238</v>
      </c>
      <c r="G1719" s="46">
        <v>706.94</v>
      </c>
      <c r="H1719" s="46">
        <f t="shared" si="56"/>
        <v>201604</v>
      </c>
      <c r="I1719" s="46">
        <f>MATCH(D1719,$O:$O,0)</f>
        <v>40</v>
      </c>
      <c r="J1719" s="46" t="s">
        <v>39</v>
      </c>
      <c r="K1719" s="46" t="s">
        <v>619</v>
      </c>
      <c r="L1719" s="46" t="s">
        <v>193</v>
      </c>
    </row>
    <row r="1720" spans="1:12" s="46" customFormat="1" x14ac:dyDescent="0.25">
      <c r="A1720" s="46" t="s">
        <v>236</v>
      </c>
      <c r="B1720" s="47">
        <v>42489</v>
      </c>
      <c r="C1720" s="46" t="s">
        <v>1210</v>
      </c>
      <c r="D1720" s="46" t="str">
        <f t="shared" si="57"/>
        <v>Paychecks/Salary</v>
      </c>
      <c r="E1720" s="46" t="s">
        <v>375</v>
      </c>
      <c r="F1720" s="46" t="s">
        <v>238</v>
      </c>
      <c r="G1720" s="48">
        <v>3425.56</v>
      </c>
      <c r="H1720" s="46">
        <f t="shared" si="56"/>
        <v>201604</v>
      </c>
      <c r="I1720" s="46">
        <f>MATCH(D1720,$O:$O,0)</f>
        <v>40</v>
      </c>
      <c r="J1720" s="46" t="s">
        <v>39</v>
      </c>
      <c r="K1720" s="46" t="s">
        <v>619</v>
      </c>
      <c r="L1720" s="46" t="s">
        <v>193</v>
      </c>
    </row>
    <row r="1721" spans="1:12" s="46" customFormat="1" x14ac:dyDescent="0.25">
      <c r="A1721" s="46" t="s">
        <v>236</v>
      </c>
      <c r="B1721" s="47">
        <v>42489</v>
      </c>
      <c r="C1721" s="46" t="s">
        <v>1211</v>
      </c>
      <c r="D1721" s="46" t="str">
        <f t="shared" si="57"/>
        <v>D-Restaurant</v>
      </c>
      <c r="E1721" s="46" t="s">
        <v>204</v>
      </c>
      <c r="F1721" s="46" t="s">
        <v>238</v>
      </c>
      <c r="G1721" s="46">
        <v>-47.62</v>
      </c>
      <c r="H1721" s="46">
        <f t="shared" si="56"/>
        <v>201604</v>
      </c>
      <c r="I1721" s="46">
        <f>MATCH(D1721,$O:$O,0)</f>
        <v>9</v>
      </c>
      <c r="J1721" s="46" t="s">
        <v>39</v>
      </c>
      <c r="K1721" s="46" t="s">
        <v>619</v>
      </c>
      <c r="L1721" s="46" t="s">
        <v>193</v>
      </c>
    </row>
    <row r="1722" spans="1:12" s="46" customFormat="1" x14ac:dyDescent="0.25">
      <c r="A1722" s="46" t="s">
        <v>236</v>
      </c>
      <c r="B1722" s="47">
        <v>42489</v>
      </c>
      <c r="C1722" s="46" t="s">
        <v>1212</v>
      </c>
      <c r="D1722" s="46" t="s">
        <v>129</v>
      </c>
      <c r="E1722" s="46" t="s">
        <v>192</v>
      </c>
      <c r="F1722" s="46" t="s">
        <v>238</v>
      </c>
      <c r="G1722" s="46">
        <v>-23.65</v>
      </c>
      <c r="H1722" s="46">
        <f t="shared" si="56"/>
        <v>201604</v>
      </c>
      <c r="I1722" s="46">
        <f>MATCH(D1722,$O:$O,0)</f>
        <v>9</v>
      </c>
      <c r="J1722" s="46" t="s">
        <v>39</v>
      </c>
      <c r="K1722" s="46" t="s">
        <v>649</v>
      </c>
      <c r="L1722" s="46" t="s">
        <v>888</v>
      </c>
    </row>
    <row r="1723" spans="1:12" s="46" customFormat="1" x14ac:dyDescent="0.25">
      <c r="A1723" s="17" t="s">
        <v>236</v>
      </c>
      <c r="B1723" s="49">
        <v>42489</v>
      </c>
      <c r="C1723" s="17" t="s">
        <v>1213</v>
      </c>
      <c r="D1723" s="17" t="str">
        <f>IF(ISNA(VLOOKUP(E1723,$L$2:$M$26,2,FALSE)),E1723,VLOOKUP(E1723,$L$2:$M$26,2,FALSE))</f>
        <v>D-Restaurant</v>
      </c>
      <c r="E1723" s="17" t="s">
        <v>1344</v>
      </c>
      <c r="F1723" s="17" t="s">
        <v>238</v>
      </c>
      <c r="G1723" s="17">
        <v>-108.29</v>
      </c>
      <c r="H1723" s="17">
        <f t="shared" si="56"/>
        <v>201604</v>
      </c>
      <c r="I1723" s="17">
        <f>MATCH(D1723,$O:$O,0)</f>
        <v>9</v>
      </c>
      <c r="J1723" s="46" t="s">
        <v>39</v>
      </c>
      <c r="K1723" s="46" t="s">
        <v>649</v>
      </c>
    </row>
    <row r="1724" spans="1:12" s="46" customFormat="1" x14ac:dyDescent="0.25">
      <c r="A1724" s="17" t="s">
        <v>236</v>
      </c>
      <c r="B1724" s="49">
        <v>42489</v>
      </c>
      <c r="C1724" s="17" t="s">
        <v>1214</v>
      </c>
      <c r="D1724" s="17" t="str">
        <f>IF(ISNA(VLOOKUP(E1724,$L$2:$M$26,2,FALSE)),E1724,VLOOKUP(E1724,$L$2:$M$26,2,FALSE))</f>
        <v>Public Transit</v>
      </c>
      <c r="E1724" s="17" t="s">
        <v>1343</v>
      </c>
      <c r="F1724" s="17" t="s">
        <v>238</v>
      </c>
      <c r="G1724" s="17">
        <v>-50</v>
      </c>
      <c r="H1724" s="17">
        <f t="shared" si="56"/>
        <v>201604</v>
      </c>
      <c r="I1724" s="17">
        <f>MATCH(D1724,$O:$O,0)</f>
        <v>25</v>
      </c>
      <c r="J1724" s="46" t="s">
        <v>39</v>
      </c>
      <c r="K1724" s="46" t="s">
        <v>649</v>
      </c>
      <c r="L1724" s="46" t="s">
        <v>223</v>
      </c>
    </row>
    <row r="1725" spans="1:12" s="46" customFormat="1" x14ac:dyDescent="0.25">
      <c r="A1725" s="17" t="s">
        <v>236</v>
      </c>
      <c r="B1725" s="49">
        <v>42489</v>
      </c>
      <c r="C1725" s="17" t="s">
        <v>411</v>
      </c>
      <c r="D1725" s="17" t="str">
        <f>IF(ISNA(VLOOKUP(E1725,$L$2:$M$26,2,FALSE)),E1725,VLOOKUP(E1725,$L$2:$M$26,2,FALSE))</f>
        <v>Investment Income</v>
      </c>
      <c r="E1725" s="17" t="s">
        <v>736</v>
      </c>
      <c r="F1725" s="17" t="s">
        <v>238</v>
      </c>
      <c r="G1725" s="17">
        <v>11.43</v>
      </c>
      <c r="H1725" s="17">
        <f t="shared" si="56"/>
        <v>201604</v>
      </c>
      <c r="I1725" s="17" t="e">
        <f>MATCH(D1725,$O:$O,0)</f>
        <v>#N/A</v>
      </c>
      <c r="J1725" s="46" t="s">
        <v>39</v>
      </c>
      <c r="K1725" s="46" t="s">
        <v>619</v>
      </c>
      <c r="L1725" s="46" t="s">
        <v>248</v>
      </c>
    </row>
    <row r="1726" spans="1:12" s="46" customFormat="1" x14ac:dyDescent="0.25">
      <c r="A1726" s="46" t="s">
        <v>236</v>
      </c>
      <c r="B1726" s="47">
        <v>42490</v>
      </c>
      <c r="C1726" s="46" t="s">
        <v>1208</v>
      </c>
      <c r="D1726" s="46" t="str">
        <f>IF(ISNA(VLOOKUP(E1726,$L$2:$M$26,2,FALSE)),E1726,VLOOKUP(E1726,$L$2:$M$26,2,FALSE))</f>
        <v>Cell Phone</v>
      </c>
      <c r="E1726" s="46" t="s">
        <v>224</v>
      </c>
      <c r="F1726" s="46" t="s">
        <v>238</v>
      </c>
      <c r="G1726" s="46">
        <v>-177.34</v>
      </c>
      <c r="H1726" s="46">
        <f t="shared" si="56"/>
        <v>201604</v>
      </c>
      <c r="I1726" s="46">
        <f>MATCH(D1726,$O:$O,0)</f>
        <v>4</v>
      </c>
      <c r="J1726" s="46" t="s">
        <v>39</v>
      </c>
      <c r="K1726" s="46" t="s">
        <v>803</v>
      </c>
      <c r="L1726" s="46" t="s">
        <v>723</v>
      </c>
    </row>
    <row r="1727" spans="1:12" s="46" customFormat="1" x14ac:dyDescent="0.25">
      <c r="A1727" s="46" t="s">
        <v>236</v>
      </c>
      <c r="B1727" s="47">
        <v>42490</v>
      </c>
      <c r="C1727" s="46" t="s">
        <v>1209</v>
      </c>
      <c r="D1727" s="46" t="s">
        <v>170</v>
      </c>
      <c r="E1727" s="46" t="s">
        <v>161</v>
      </c>
      <c r="F1727" s="46" t="s">
        <v>238</v>
      </c>
      <c r="G1727" s="46">
        <v>-9</v>
      </c>
      <c r="H1727" s="46">
        <f t="shared" si="56"/>
        <v>201604</v>
      </c>
      <c r="I1727" s="46">
        <f>MATCH(D1727,$O:$O,0)</f>
        <v>32</v>
      </c>
      <c r="J1727" s="46" t="s">
        <v>39</v>
      </c>
      <c r="K1727" s="46" t="s">
        <v>649</v>
      </c>
    </row>
    <row r="1728" spans="1:12" s="46" customFormat="1" x14ac:dyDescent="0.25">
      <c r="A1728" s="46" t="s">
        <v>236</v>
      </c>
      <c r="B1728" s="47">
        <v>42492</v>
      </c>
      <c r="C1728" s="46" t="s">
        <v>1332</v>
      </c>
      <c r="D1728" s="46" t="str">
        <f>IF(ISNA(VLOOKUP(E1728,$L$2:$M$26,2,FALSE)),E1728,VLOOKUP(E1728,$L$2:$M$26,2,FALSE))</f>
        <v>Credit Card Payments</v>
      </c>
      <c r="E1728" s="46" t="s">
        <v>242</v>
      </c>
      <c r="F1728" s="46" t="s">
        <v>238</v>
      </c>
      <c r="G1728" s="46">
        <v>-242.87</v>
      </c>
      <c r="H1728" s="46">
        <f t="shared" si="56"/>
        <v>201605</v>
      </c>
      <c r="I1728" s="46">
        <f>MATCH(D1728,$O:$O,0)</f>
        <v>38</v>
      </c>
      <c r="J1728" s="46" t="s">
        <v>39</v>
      </c>
      <c r="K1728" s="46" t="s">
        <v>675</v>
      </c>
      <c r="L1728" s="46" t="s">
        <v>310</v>
      </c>
    </row>
    <row r="1729" spans="1:12" s="46" customFormat="1" x14ac:dyDescent="0.25">
      <c r="A1729" s="46" t="s">
        <v>236</v>
      </c>
      <c r="B1729" s="47">
        <v>42492</v>
      </c>
      <c r="C1729" s="46" t="s">
        <v>591</v>
      </c>
      <c r="D1729" s="46" t="str">
        <f>IF(ISNA(VLOOKUP(E1729,$L$2:$M$26,2,FALSE)),E1729,VLOOKUP(E1729,$L$2:$M$26,2,FALSE))</f>
        <v>Mortgage/Rent</v>
      </c>
      <c r="E1729" s="46" t="s">
        <v>202</v>
      </c>
      <c r="F1729" s="46" t="s">
        <v>238</v>
      </c>
      <c r="G1729" s="48">
        <v>-3116.77</v>
      </c>
      <c r="H1729" s="46">
        <f t="shared" si="56"/>
        <v>201605</v>
      </c>
      <c r="I1729" s="46">
        <f>MATCH(D1729,$O:$O,0)</f>
        <v>21</v>
      </c>
      <c r="J1729" s="46" t="s">
        <v>39</v>
      </c>
      <c r="K1729" s="46" t="s">
        <v>675</v>
      </c>
    </row>
    <row r="1730" spans="1:12" s="46" customFormat="1" x14ac:dyDescent="0.25">
      <c r="A1730" s="46" t="s">
        <v>236</v>
      </c>
      <c r="B1730" s="47">
        <v>42492</v>
      </c>
      <c r="C1730" s="46" t="s">
        <v>1333</v>
      </c>
      <c r="D1730" s="46" t="str">
        <f>IF(ISNA(VLOOKUP(E1730,$L$2:$M$26,2,FALSE)),E1730,VLOOKUP(E1730,$L$2:$M$26,2,FALSE))</f>
        <v>Home Maintainence/Improvement</v>
      </c>
      <c r="E1730" s="46" t="s">
        <v>342</v>
      </c>
      <c r="F1730" s="46" t="s">
        <v>238</v>
      </c>
      <c r="G1730" s="46">
        <v>-21.26</v>
      </c>
      <c r="H1730" s="46">
        <f t="shared" ref="H1730:H1793" si="58">YEAR(B1730)*100+MONTH(B1730)</f>
        <v>201605</v>
      </c>
      <c r="I1730" s="46">
        <f>MATCH(D1730,$O:$O,0)</f>
        <v>16</v>
      </c>
      <c r="J1730" s="46" t="s">
        <v>39</v>
      </c>
      <c r="K1730" s="46" t="s">
        <v>803</v>
      </c>
      <c r="L1730" s="46" t="s">
        <v>339</v>
      </c>
    </row>
    <row r="1731" spans="1:12" s="46" customFormat="1" x14ac:dyDescent="0.25">
      <c r="A1731" s="46" t="s">
        <v>236</v>
      </c>
      <c r="B1731" s="47">
        <v>42492</v>
      </c>
      <c r="C1731" s="46" t="s">
        <v>565</v>
      </c>
      <c r="D1731" s="46" t="s">
        <v>40</v>
      </c>
      <c r="E1731" s="46" t="s">
        <v>192</v>
      </c>
      <c r="F1731" s="46" t="s">
        <v>238</v>
      </c>
      <c r="G1731" s="46">
        <v>-16.34</v>
      </c>
      <c r="H1731" s="46">
        <f t="shared" si="58"/>
        <v>201605</v>
      </c>
      <c r="I1731" s="46">
        <f>MATCH(D1731,$O:$O,0)</f>
        <v>11</v>
      </c>
      <c r="J1731" s="46" t="s">
        <v>39</v>
      </c>
      <c r="K1731" s="46" t="s">
        <v>630</v>
      </c>
      <c r="L1731" s="46" t="s">
        <v>363</v>
      </c>
    </row>
    <row r="1732" spans="1:12" s="46" customFormat="1" x14ac:dyDescent="0.25">
      <c r="A1732" s="46" t="s">
        <v>236</v>
      </c>
      <c r="B1732" s="47">
        <v>42492</v>
      </c>
      <c r="C1732" s="46" t="s">
        <v>1334</v>
      </c>
      <c r="D1732" s="46" t="s">
        <v>40</v>
      </c>
      <c r="E1732" s="46" t="s">
        <v>192</v>
      </c>
      <c r="F1732" s="46" t="s">
        <v>238</v>
      </c>
      <c r="G1732" s="46">
        <v>-11.23</v>
      </c>
      <c r="H1732" s="46">
        <f t="shared" si="58"/>
        <v>201605</v>
      </c>
      <c r="I1732" s="46">
        <f>MATCH(D1732,$O:$O,0)</f>
        <v>11</v>
      </c>
      <c r="J1732" s="46" t="s">
        <v>39</v>
      </c>
      <c r="K1732" s="46" t="s">
        <v>649</v>
      </c>
      <c r="L1732" s="46" t="s">
        <v>341</v>
      </c>
    </row>
    <row r="1733" spans="1:12" s="46" customFormat="1" x14ac:dyDescent="0.25">
      <c r="A1733" s="46" t="s">
        <v>236</v>
      </c>
      <c r="B1733" s="47">
        <v>42492</v>
      </c>
      <c r="C1733" s="46" t="s">
        <v>1336</v>
      </c>
      <c r="D1733" s="46" t="str">
        <f>IF(ISNA(VLOOKUP(E1733,$L$2:$M$26,2,FALSE)),E1733,VLOOKUP(E1733,$L$2:$M$26,2,FALSE))</f>
        <v>D-Restaurant</v>
      </c>
      <c r="E1733" s="46" t="s">
        <v>204</v>
      </c>
      <c r="F1733" s="46" t="s">
        <v>238</v>
      </c>
      <c r="G1733" s="46">
        <v>-67.7</v>
      </c>
      <c r="H1733" s="46">
        <f t="shared" si="58"/>
        <v>201605</v>
      </c>
      <c r="I1733" s="46">
        <f>MATCH(D1733,$O:$O,0)</f>
        <v>9</v>
      </c>
      <c r="J1733" s="46" t="s">
        <v>39</v>
      </c>
      <c r="K1733" s="46" t="s">
        <v>649</v>
      </c>
      <c r="L1733" s="46" t="s">
        <v>816</v>
      </c>
    </row>
    <row r="1734" spans="1:12" s="46" customFormat="1" x14ac:dyDescent="0.25">
      <c r="A1734" s="46" t="s">
        <v>236</v>
      </c>
      <c r="B1734" s="47">
        <v>42492</v>
      </c>
      <c r="C1734" s="46" t="s">
        <v>565</v>
      </c>
      <c r="D1734" s="46" t="str">
        <f>IF(ISNA(VLOOKUP(E1734,$L$2:$M$26,2,FALSE)),E1734,VLOOKUP(E1734,$L$2:$M$26,2,FALSE))</f>
        <v>Grocery</v>
      </c>
      <c r="E1734" s="46" t="s">
        <v>192</v>
      </c>
      <c r="F1734" s="46" t="s">
        <v>238</v>
      </c>
      <c r="G1734" s="46">
        <v>-59.13</v>
      </c>
      <c r="H1734" s="46">
        <f t="shared" si="58"/>
        <v>201605</v>
      </c>
      <c r="I1734" s="46">
        <f>MATCH(D1734,$O:$O,0)</f>
        <v>12</v>
      </c>
      <c r="J1734" s="46" t="s">
        <v>39</v>
      </c>
      <c r="K1734" s="46" t="s">
        <v>649</v>
      </c>
      <c r="L1734" s="46" t="s">
        <v>351</v>
      </c>
    </row>
    <row r="1735" spans="1:12" s="46" customFormat="1" x14ac:dyDescent="0.25">
      <c r="A1735" s="52" t="s">
        <v>236</v>
      </c>
      <c r="B1735" s="53">
        <v>42492</v>
      </c>
      <c r="C1735" s="52" t="s">
        <v>1338</v>
      </c>
      <c r="D1735" s="52" t="s">
        <v>160</v>
      </c>
      <c r="E1735" s="52" t="s">
        <v>265</v>
      </c>
      <c r="F1735" s="52" t="s">
        <v>238</v>
      </c>
      <c r="G1735" s="52">
        <v>-17.059999999999999</v>
      </c>
      <c r="H1735" s="52">
        <f t="shared" si="58"/>
        <v>201605</v>
      </c>
      <c r="I1735" s="52">
        <f>MATCH(D1735,$O:$O,0)</f>
        <v>14</v>
      </c>
      <c r="J1735" s="46" t="s">
        <v>39</v>
      </c>
      <c r="K1735" s="46" t="s">
        <v>649</v>
      </c>
      <c r="L1735" s="46" t="s">
        <v>1281</v>
      </c>
    </row>
    <row r="1736" spans="1:12" s="46" customFormat="1" x14ac:dyDescent="0.25">
      <c r="A1736" s="46" t="s">
        <v>236</v>
      </c>
      <c r="B1736" s="47">
        <v>42492</v>
      </c>
      <c r="C1736" s="46" t="s">
        <v>900</v>
      </c>
      <c r="D1736" s="46" t="str">
        <f t="shared" ref="D1736:D1743" si="59">IF(ISNA(VLOOKUP(E1736,$L$2:$M$26,2,FALSE)),E1736,VLOOKUP(E1736,$L$2:$M$26,2,FALSE))</f>
        <v>Gas</v>
      </c>
      <c r="E1736" s="46" t="s">
        <v>311</v>
      </c>
      <c r="F1736" s="46" t="s">
        <v>238</v>
      </c>
      <c r="G1736" s="46">
        <v>-27.77</v>
      </c>
      <c r="H1736" s="46">
        <f t="shared" si="58"/>
        <v>201605</v>
      </c>
      <c r="I1736" s="46">
        <f>MATCH(D1736,$O:$O,0)</f>
        <v>30</v>
      </c>
      <c r="J1736" s="46" t="s">
        <v>39</v>
      </c>
      <c r="K1736" s="46" t="s">
        <v>649</v>
      </c>
      <c r="L1736" s="46" t="s">
        <v>252</v>
      </c>
    </row>
    <row r="1737" spans="1:12" s="46" customFormat="1" x14ac:dyDescent="0.25">
      <c r="A1737" s="46" t="s">
        <v>236</v>
      </c>
      <c r="B1737" s="47">
        <v>42492</v>
      </c>
      <c r="C1737" s="46" t="s">
        <v>917</v>
      </c>
      <c r="D1737" s="46" t="str">
        <f t="shared" si="59"/>
        <v>Grocery</v>
      </c>
      <c r="E1737" s="46" t="s">
        <v>385</v>
      </c>
      <c r="F1737" s="46" t="s">
        <v>238</v>
      </c>
      <c r="G1737" s="46">
        <v>-1.59</v>
      </c>
      <c r="H1737" s="46">
        <f t="shared" si="58"/>
        <v>201605</v>
      </c>
      <c r="I1737" s="46">
        <f>MATCH(D1737,$O:$O,0)</f>
        <v>12</v>
      </c>
      <c r="J1737" s="46" t="s">
        <v>39</v>
      </c>
      <c r="K1737" s="46" t="s">
        <v>649</v>
      </c>
    </row>
    <row r="1738" spans="1:12" s="46" customFormat="1" x14ac:dyDescent="0.25">
      <c r="A1738" s="46" t="s">
        <v>236</v>
      </c>
      <c r="B1738" s="47">
        <v>42492</v>
      </c>
      <c r="C1738" s="46" t="s">
        <v>917</v>
      </c>
      <c r="D1738" s="46" t="str">
        <f t="shared" si="59"/>
        <v>Grocery</v>
      </c>
      <c r="E1738" s="46" t="s">
        <v>385</v>
      </c>
      <c r="F1738" s="46" t="s">
        <v>238</v>
      </c>
      <c r="G1738" s="46">
        <v>-4.99</v>
      </c>
      <c r="H1738" s="46">
        <f t="shared" si="58"/>
        <v>201605</v>
      </c>
      <c r="I1738" s="46">
        <f>MATCH(D1738,$O:$O,0)</f>
        <v>12</v>
      </c>
      <c r="J1738" s="46" t="s">
        <v>39</v>
      </c>
      <c r="K1738" s="46" t="s">
        <v>649</v>
      </c>
      <c r="L1738" s="46" t="s">
        <v>1283</v>
      </c>
    </row>
    <row r="1739" spans="1:12" s="46" customFormat="1" x14ac:dyDescent="0.25">
      <c r="A1739" s="46" t="s">
        <v>236</v>
      </c>
      <c r="B1739" s="47">
        <v>42492</v>
      </c>
      <c r="C1739" s="46" t="s">
        <v>435</v>
      </c>
      <c r="D1739" s="46" t="str">
        <f t="shared" si="59"/>
        <v>Credit Card Payments</v>
      </c>
      <c r="E1739" s="46" t="s">
        <v>242</v>
      </c>
      <c r="F1739" s="46" t="s">
        <v>238</v>
      </c>
      <c r="G1739" s="46">
        <v>242.87</v>
      </c>
      <c r="H1739" s="46">
        <f t="shared" si="58"/>
        <v>201605</v>
      </c>
      <c r="I1739" s="46">
        <f>MATCH(D1739,$O:$O,0)</f>
        <v>38</v>
      </c>
      <c r="J1739" s="46" t="s">
        <v>39</v>
      </c>
      <c r="K1739" s="46" t="s">
        <v>649</v>
      </c>
      <c r="L1739" s="46" t="s">
        <v>1283</v>
      </c>
    </row>
    <row r="1740" spans="1:12" s="46" customFormat="1" x14ac:dyDescent="0.25">
      <c r="A1740" s="46" t="s">
        <v>236</v>
      </c>
      <c r="B1740" s="47">
        <v>42492</v>
      </c>
      <c r="C1740" s="46" t="s">
        <v>249</v>
      </c>
      <c r="D1740" s="46" t="str">
        <f t="shared" si="59"/>
        <v>Retirement Contributions</v>
      </c>
      <c r="E1740" s="46" t="s">
        <v>263</v>
      </c>
      <c r="F1740" s="46" t="s">
        <v>238</v>
      </c>
      <c r="G1740" s="46">
        <v>843.75</v>
      </c>
      <c r="H1740" s="46">
        <f t="shared" si="58"/>
        <v>201605</v>
      </c>
      <c r="I1740" s="46">
        <f>MATCH(D1740,$O:$O,0)</f>
        <v>39</v>
      </c>
      <c r="J1740" s="46" t="s">
        <v>39</v>
      </c>
      <c r="K1740" s="46" t="s">
        <v>619</v>
      </c>
      <c r="L1740" s="46" t="s">
        <v>351</v>
      </c>
    </row>
    <row r="1741" spans="1:12" s="46" customFormat="1" x14ac:dyDescent="0.25">
      <c r="A1741" s="46" t="s">
        <v>236</v>
      </c>
      <c r="B1741" s="47">
        <v>42493</v>
      </c>
      <c r="C1741" s="46" t="s">
        <v>1328</v>
      </c>
      <c r="D1741" s="46" t="str">
        <f t="shared" si="59"/>
        <v>Transfers</v>
      </c>
      <c r="E1741" s="46" t="s">
        <v>226</v>
      </c>
      <c r="F1741" s="46" t="s">
        <v>238</v>
      </c>
      <c r="G1741" s="48">
        <v>-15000</v>
      </c>
      <c r="H1741" s="46">
        <f t="shared" si="58"/>
        <v>201605</v>
      </c>
      <c r="I1741" s="46">
        <f>MATCH(D1741,$O:$O,0)</f>
        <v>37</v>
      </c>
      <c r="J1741" s="46" t="s">
        <v>39</v>
      </c>
      <c r="K1741" s="46" t="s">
        <v>803</v>
      </c>
    </row>
    <row r="1742" spans="1:12" s="46" customFormat="1" x14ac:dyDescent="0.25">
      <c r="A1742" s="46" t="s">
        <v>236</v>
      </c>
      <c r="B1742" s="47">
        <v>42493</v>
      </c>
      <c r="C1742" s="46" t="s">
        <v>1329</v>
      </c>
      <c r="D1742" s="46" t="str">
        <f t="shared" si="59"/>
        <v>Transfers</v>
      </c>
      <c r="E1742" s="46" t="s">
        <v>226</v>
      </c>
      <c r="F1742" s="46" t="s">
        <v>238</v>
      </c>
      <c r="G1742" s="48">
        <v>-60000</v>
      </c>
      <c r="H1742" s="46">
        <f t="shared" si="58"/>
        <v>201605</v>
      </c>
      <c r="I1742" s="46">
        <f>MATCH(D1742,$O:$O,0)</f>
        <v>37</v>
      </c>
      <c r="J1742" s="46" t="s">
        <v>39</v>
      </c>
      <c r="K1742" s="46" t="s">
        <v>803</v>
      </c>
    </row>
    <row r="1743" spans="1:12" s="46" customFormat="1" x14ac:dyDescent="0.25">
      <c r="A1743" s="46" t="s">
        <v>236</v>
      </c>
      <c r="B1743" s="47">
        <v>42493</v>
      </c>
      <c r="C1743" s="46" t="s">
        <v>1063</v>
      </c>
      <c r="D1743" s="46" t="str">
        <f t="shared" si="59"/>
        <v>D-Restaurant</v>
      </c>
      <c r="E1743" s="46" t="s">
        <v>204</v>
      </c>
      <c r="F1743" s="46" t="s">
        <v>238</v>
      </c>
      <c r="G1743" s="46">
        <v>-4.55</v>
      </c>
      <c r="H1743" s="46">
        <f t="shared" si="58"/>
        <v>201605</v>
      </c>
      <c r="I1743" s="46">
        <f>MATCH(D1743,$O:$O,0)</f>
        <v>9</v>
      </c>
      <c r="J1743" s="46" t="s">
        <v>39</v>
      </c>
      <c r="K1743" s="46" t="s">
        <v>803</v>
      </c>
      <c r="L1743" s="46" t="s">
        <v>239</v>
      </c>
    </row>
    <row r="1744" spans="1:12" s="46" customFormat="1" x14ac:dyDescent="0.25">
      <c r="A1744" s="46" t="s">
        <v>236</v>
      </c>
      <c r="B1744" s="47">
        <v>42493</v>
      </c>
      <c r="C1744" s="46" t="s">
        <v>1330</v>
      </c>
      <c r="D1744" s="46" t="s">
        <v>121</v>
      </c>
      <c r="E1744" s="46" t="s">
        <v>385</v>
      </c>
      <c r="F1744" s="46" t="s">
        <v>238</v>
      </c>
      <c r="G1744" s="46">
        <v>-78.209999999999994</v>
      </c>
      <c r="H1744" s="46">
        <f t="shared" si="58"/>
        <v>201605</v>
      </c>
      <c r="I1744" s="46">
        <f>MATCH(D1744,$O:$O,0)</f>
        <v>36</v>
      </c>
      <c r="J1744" s="46" t="s">
        <v>39</v>
      </c>
      <c r="K1744" s="46" t="s">
        <v>649</v>
      </c>
      <c r="L1744" s="46" t="s">
        <v>335</v>
      </c>
    </row>
    <row r="1745" spans="1:12" s="46" customFormat="1" x14ac:dyDescent="0.25">
      <c r="A1745" s="46" t="s">
        <v>236</v>
      </c>
      <c r="B1745" s="47">
        <v>42494</v>
      </c>
      <c r="C1745" s="46" t="s">
        <v>1155</v>
      </c>
      <c r="D1745" s="46" t="s">
        <v>185</v>
      </c>
      <c r="E1745" s="46" t="s">
        <v>1266</v>
      </c>
      <c r="F1745" s="46" t="s">
        <v>238</v>
      </c>
      <c r="G1745" s="46">
        <v>-321.52</v>
      </c>
      <c r="H1745" s="46">
        <f t="shared" si="58"/>
        <v>201605</v>
      </c>
      <c r="I1745" s="46">
        <f>MATCH(D1745,$O:$O,0)</f>
        <v>31</v>
      </c>
      <c r="J1745" s="46" t="s">
        <v>39</v>
      </c>
      <c r="K1745" s="46" t="s">
        <v>649</v>
      </c>
    </row>
    <row r="1746" spans="1:12" s="46" customFormat="1" x14ac:dyDescent="0.25">
      <c r="A1746" s="46" t="s">
        <v>236</v>
      </c>
      <c r="B1746" s="47">
        <v>42494</v>
      </c>
      <c r="C1746" s="46" t="s">
        <v>716</v>
      </c>
      <c r="D1746" s="46" t="str">
        <f>IF(ISNA(VLOOKUP(E1746,$L$2:$M$26,2,FALSE)),E1746,VLOOKUP(E1746,$L$2:$M$26,2,FALSE))</f>
        <v>Finance Charges</v>
      </c>
      <c r="E1746" s="46" t="s">
        <v>220</v>
      </c>
      <c r="F1746" s="46" t="s">
        <v>238</v>
      </c>
      <c r="G1746" s="46">
        <v>-25</v>
      </c>
      <c r="H1746" s="46">
        <f t="shared" si="58"/>
        <v>201605</v>
      </c>
      <c r="I1746" s="46">
        <f>MATCH(D1746,$O:$O,0)</f>
        <v>35</v>
      </c>
      <c r="J1746" s="46" t="s">
        <v>39</v>
      </c>
      <c r="K1746" s="46" t="s">
        <v>649</v>
      </c>
      <c r="L1746" s="46" t="s">
        <v>333</v>
      </c>
    </row>
    <row r="1747" spans="1:12" s="46" customFormat="1" x14ac:dyDescent="0.25">
      <c r="A1747" s="46" t="s">
        <v>236</v>
      </c>
      <c r="B1747" s="47">
        <v>42494</v>
      </c>
      <c r="C1747" s="46" t="s">
        <v>1327</v>
      </c>
      <c r="D1747" s="46" t="s">
        <v>167</v>
      </c>
      <c r="E1747" s="46" t="s">
        <v>190</v>
      </c>
      <c r="F1747" s="46" t="s">
        <v>238</v>
      </c>
      <c r="G1747" s="46">
        <v>-8.98</v>
      </c>
      <c r="H1747" s="46">
        <f t="shared" si="58"/>
        <v>201605</v>
      </c>
      <c r="I1747" s="46">
        <f>MATCH(D1747,$O:$O,0)</f>
        <v>22</v>
      </c>
      <c r="J1747" s="46" t="s">
        <v>39</v>
      </c>
      <c r="K1747" s="46" t="s">
        <v>649</v>
      </c>
      <c r="L1747" s="46" t="s">
        <v>223</v>
      </c>
    </row>
    <row r="1748" spans="1:12" s="46" customFormat="1" x14ac:dyDescent="0.25">
      <c r="A1748" s="46" t="s">
        <v>236</v>
      </c>
      <c r="B1748" s="47">
        <v>42495</v>
      </c>
      <c r="C1748" s="46" t="s">
        <v>1325</v>
      </c>
      <c r="D1748" s="46" t="str">
        <f>IF(ISNA(VLOOKUP(E1748,$L$2:$M$26,2,FALSE)),E1748,VLOOKUP(E1748,$L$2:$M$26,2,FALSE))</f>
        <v>Grocery</v>
      </c>
      <c r="E1748" s="46" t="s">
        <v>385</v>
      </c>
      <c r="F1748" s="46" t="s">
        <v>238</v>
      </c>
      <c r="G1748" s="46">
        <v>-51.42</v>
      </c>
      <c r="H1748" s="46">
        <f t="shared" si="58"/>
        <v>201605</v>
      </c>
      <c r="I1748" s="46">
        <f>MATCH(D1748,$O:$O,0)</f>
        <v>12</v>
      </c>
      <c r="J1748" s="46" t="s">
        <v>39</v>
      </c>
      <c r="K1748" s="46" t="s">
        <v>649</v>
      </c>
    </row>
    <row r="1749" spans="1:12" s="46" customFormat="1" x14ac:dyDescent="0.25">
      <c r="A1749" s="46" t="s">
        <v>236</v>
      </c>
      <c r="B1749" s="47">
        <v>42495</v>
      </c>
      <c r="C1749" s="46" t="s">
        <v>1326</v>
      </c>
      <c r="D1749" s="46" t="str">
        <f>IF(ISNA(VLOOKUP(E1749,$L$2:$M$26,2,FALSE)),E1749,VLOOKUP(E1749,$L$2:$M$26,2,FALSE))</f>
        <v>Gas</v>
      </c>
      <c r="E1749" s="46" t="s">
        <v>311</v>
      </c>
      <c r="F1749" s="46" t="s">
        <v>238</v>
      </c>
      <c r="G1749" s="46">
        <v>-21.38</v>
      </c>
      <c r="H1749" s="46">
        <f t="shared" si="58"/>
        <v>201605</v>
      </c>
      <c r="I1749" s="46">
        <f>MATCH(D1749,$O:$O,0)</f>
        <v>30</v>
      </c>
      <c r="J1749" s="46" t="s">
        <v>39</v>
      </c>
      <c r="K1749" s="46" t="s">
        <v>1289</v>
      </c>
      <c r="L1749" s="46" t="s">
        <v>298</v>
      </c>
    </row>
    <row r="1750" spans="1:12" s="46" customFormat="1" x14ac:dyDescent="0.25">
      <c r="A1750" s="46" t="s">
        <v>236</v>
      </c>
      <c r="B1750" s="47">
        <v>42495</v>
      </c>
      <c r="C1750" s="46" t="s">
        <v>565</v>
      </c>
      <c r="D1750" s="46" t="str">
        <f>IF(ISNA(VLOOKUP(E1750,$L$2:$M$26,2,FALSE)),E1750,VLOOKUP(E1750,$L$2:$M$26,2,FALSE))</f>
        <v>Grocery</v>
      </c>
      <c r="E1750" s="46" t="s">
        <v>192</v>
      </c>
      <c r="F1750" s="46" t="s">
        <v>238</v>
      </c>
      <c r="G1750" s="46">
        <v>-35.299999999999997</v>
      </c>
      <c r="H1750" s="46">
        <f t="shared" si="58"/>
        <v>201605</v>
      </c>
      <c r="I1750" s="46">
        <f>MATCH(D1750,$O:$O,0)</f>
        <v>12</v>
      </c>
      <c r="J1750" s="46" t="s">
        <v>39</v>
      </c>
      <c r="K1750" s="46" t="s">
        <v>1289</v>
      </c>
      <c r="L1750" s="46" t="s">
        <v>298</v>
      </c>
    </row>
    <row r="1751" spans="1:12" s="46" customFormat="1" x14ac:dyDescent="0.25">
      <c r="A1751" s="46" t="s">
        <v>236</v>
      </c>
      <c r="B1751" s="47">
        <v>42496</v>
      </c>
      <c r="C1751" s="46" t="s">
        <v>1324</v>
      </c>
      <c r="D1751" s="46" t="s">
        <v>129</v>
      </c>
      <c r="E1751" s="46" t="s">
        <v>102</v>
      </c>
      <c r="F1751" s="46" t="s">
        <v>238</v>
      </c>
      <c r="G1751" s="46">
        <v>-35.06</v>
      </c>
      <c r="H1751" s="46">
        <f t="shared" si="58"/>
        <v>201605</v>
      </c>
      <c r="I1751" s="46">
        <f>MATCH(D1751,$O:$O,0)</f>
        <v>9</v>
      </c>
      <c r="J1751" s="46" t="s">
        <v>39</v>
      </c>
      <c r="K1751" s="46" t="s">
        <v>675</v>
      </c>
      <c r="L1751" s="46" t="s">
        <v>193</v>
      </c>
    </row>
    <row r="1752" spans="1:12" s="46" customFormat="1" x14ac:dyDescent="0.25">
      <c r="A1752" s="46" t="s">
        <v>236</v>
      </c>
      <c r="B1752" s="47">
        <v>42496</v>
      </c>
      <c r="C1752" s="46" t="s">
        <v>565</v>
      </c>
      <c r="D1752" s="46" t="str">
        <f>IF(ISNA(VLOOKUP(E1752,$L$2:$M$26,2,FALSE)),E1752,VLOOKUP(E1752,$L$2:$M$26,2,FALSE))</f>
        <v>Grocery</v>
      </c>
      <c r="E1752" s="46" t="s">
        <v>192</v>
      </c>
      <c r="F1752" s="46" t="s">
        <v>238</v>
      </c>
      <c r="G1752" s="46">
        <v>-17.12</v>
      </c>
      <c r="H1752" s="46">
        <f t="shared" si="58"/>
        <v>201605</v>
      </c>
      <c r="I1752" s="46">
        <f>MATCH(D1752,$O:$O,0)</f>
        <v>12</v>
      </c>
      <c r="J1752" s="46" t="s">
        <v>39</v>
      </c>
      <c r="K1752" s="46" t="s">
        <v>675</v>
      </c>
      <c r="L1752" s="46" t="s">
        <v>193</v>
      </c>
    </row>
    <row r="1753" spans="1:12" s="46" customFormat="1" x14ac:dyDescent="0.25">
      <c r="A1753" s="46" t="s">
        <v>236</v>
      </c>
      <c r="B1753" s="47">
        <v>42496</v>
      </c>
      <c r="C1753" s="46" t="s">
        <v>775</v>
      </c>
      <c r="D1753" s="46" t="str">
        <f>IF(ISNA(VLOOKUP(E1753,$L$2:$M$26,2,FALSE)),E1753,VLOOKUP(E1753,$L$2:$M$26,2,FALSE))</f>
        <v>Grocery</v>
      </c>
      <c r="E1753" s="46" t="s">
        <v>192</v>
      </c>
      <c r="F1753" s="46" t="s">
        <v>238</v>
      </c>
      <c r="G1753" s="46">
        <v>-52.85</v>
      </c>
      <c r="H1753" s="46">
        <f t="shared" si="58"/>
        <v>201605</v>
      </c>
      <c r="I1753" s="46">
        <f>MATCH(D1753,$O:$O,0)</f>
        <v>12</v>
      </c>
      <c r="J1753" s="46" t="s">
        <v>39</v>
      </c>
      <c r="K1753" s="46" t="s">
        <v>803</v>
      </c>
      <c r="L1753" s="46" t="s">
        <v>255</v>
      </c>
    </row>
    <row r="1754" spans="1:12" s="46" customFormat="1" x14ac:dyDescent="0.25">
      <c r="A1754" s="46" t="s">
        <v>236</v>
      </c>
      <c r="B1754" s="47">
        <v>42496</v>
      </c>
      <c r="C1754" s="46" t="s">
        <v>1063</v>
      </c>
      <c r="D1754" s="46" t="str">
        <f>IF(ISNA(VLOOKUP(E1754,$L$2:$M$26,2,FALSE)),E1754,VLOOKUP(E1754,$L$2:$M$26,2,FALSE))</f>
        <v>D-Restaurant</v>
      </c>
      <c r="E1754" s="46" t="s">
        <v>204</v>
      </c>
      <c r="F1754" s="46" t="s">
        <v>238</v>
      </c>
      <c r="G1754" s="46">
        <v>-8.1999999999999993</v>
      </c>
      <c r="H1754" s="46">
        <f t="shared" si="58"/>
        <v>201605</v>
      </c>
      <c r="I1754" s="46">
        <f>MATCH(D1754,$O:$O,0)</f>
        <v>9</v>
      </c>
      <c r="J1754" s="46" t="s">
        <v>39</v>
      </c>
      <c r="K1754" s="46" t="s">
        <v>675</v>
      </c>
      <c r="L1754" s="46" t="s">
        <v>310</v>
      </c>
    </row>
    <row r="1755" spans="1:12" s="52" customFormat="1" x14ac:dyDescent="0.25">
      <c r="A1755" s="52" t="s">
        <v>236</v>
      </c>
      <c r="B1755" s="53">
        <v>42496</v>
      </c>
      <c r="C1755" s="52" t="s">
        <v>567</v>
      </c>
      <c r="D1755" s="52" t="str">
        <f>IF(ISNA(VLOOKUP(E1755,$L$2:$M$26,2,FALSE)),E1755,VLOOKUP(E1755,$L$2:$M$26,2,FALSE))</f>
        <v>Postage and Shipping</v>
      </c>
      <c r="E1755" s="52" t="s">
        <v>468</v>
      </c>
      <c r="F1755" s="52" t="s">
        <v>238</v>
      </c>
      <c r="G1755" s="52">
        <v>-0.68</v>
      </c>
      <c r="H1755" s="52">
        <f t="shared" si="58"/>
        <v>201605</v>
      </c>
      <c r="I1755" s="52" t="e">
        <f>MATCH(D1755,$O:$O,0)</f>
        <v>#N/A</v>
      </c>
      <c r="J1755" s="52" t="s">
        <v>39</v>
      </c>
      <c r="K1755" s="52" t="s">
        <v>803</v>
      </c>
    </row>
    <row r="1756" spans="1:12" s="46" customFormat="1" x14ac:dyDescent="0.25">
      <c r="A1756" s="46" t="s">
        <v>236</v>
      </c>
      <c r="B1756" s="47">
        <v>42497</v>
      </c>
      <c r="C1756" s="46" t="s">
        <v>1321</v>
      </c>
      <c r="D1756" s="46" t="str">
        <f>IF(ISNA(VLOOKUP(E1756,$L$2:$M$26,2,FALSE)),E1756,VLOOKUP(E1756,$L$2:$M$26,2,FALSE))</f>
        <v>Interest</v>
      </c>
      <c r="E1756" s="46" t="s">
        <v>200</v>
      </c>
      <c r="F1756" s="46" t="s">
        <v>238</v>
      </c>
      <c r="G1756" s="46">
        <v>-4.03</v>
      </c>
      <c r="H1756" s="46">
        <f t="shared" si="58"/>
        <v>201605</v>
      </c>
      <c r="I1756" s="46" t="e">
        <f>MATCH(D1756,$O:$O,0)</f>
        <v>#N/A</v>
      </c>
      <c r="J1756" s="46" t="s">
        <v>39</v>
      </c>
      <c r="K1756" s="46" t="s">
        <v>649</v>
      </c>
      <c r="L1756" s="46" t="s">
        <v>1297</v>
      </c>
    </row>
    <row r="1757" spans="1:12" s="46" customFormat="1" x14ac:dyDescent="0.25">
      <c r="A1757" s="46" t="s">
        <v>236</v>
      </c>
      <c r="B1757" s="47">
        <v>42497</v>
      </c>
      <c r="C1757" s="46" t="s">
        <v>1322</v>
      </c>
      <c r="D1757" s="46" t="s">
        <v>129</v>
      </c>
      <c r="E1757" s="46" t="s">
        <v>192</v>
      </c>
      <c r="F1757" s="46" t="s">
        <v>238</v>
      </c>
      <c r="G1757" s="46">
        <v>-14.7</v>
      </c>
      <c r="H1757" s="46">
        <f t="shared" si="58"/>
        <v>201605</v>
      </c>
      <c r="I1757" s="46">
        <f>MATCH(D1757,$O:$O,0)</f>
        <v>9</v>
      </c>
      <c r="J1757" s="46" t="s">
        <v>39</v>
      </c>
      <c r="K1757" s="46" t="s">
        <v>649</v>
      </c>
    </row>
    <row r="1758" spans="1:12" s="46" customFormat="1" x14ac:dyDescent="0.25">
      <c r="A1758" s="46" t="s">
        <v>236</v>
      </c>
      <c r="B1758" s="47">
        <v>42498</v>
      </c>
      <c r="C1758" s="46" t="s">
        <v>917</v>
      </c>
      <c r="D1758" s="46" t="str">
        <f t="shared" ref="D1758:D1766" si="60">IF(ISNA(VLOOKUP(E1758,$L$2:$M$26,2,FALSE)),E1758,VLOOKUP(E1758,$L$2:$M$26,2,FALSE))</f>
        <v>Grocery</v>
      </c>
      <c r="E1758" s="46" t="s">
        <v>385</v>
      </c>
      <c r="F1758" s="46" t="s">
        <v>238</v>
      </c>
      <c r="G1758" s="46">
        <v>-27.54</v>
      </c>
      <c r="H1758" s="46">
        <f t="shared" si="58"/>
        <v>201605</v>
      </c>
      <c r="I1758" s="46">
        <f>MATCH(D1758,$O:$O,0)</f>
        <v>12</v>
      </c>
      <c r="J1758" s="46" t="s">
        <v>39</v>
      </c>
      <c r="K1758" s="46" t="s">
        <v>649</v>
      </c>
    </row>
    <row r="1759" spans="1:12" s="46" customFormat="1" x14ac:dyDescent="0.25">
      <c r="A1759" s="46" t="s">
        <v>236</v>
      </c>
      <c r="B1759" s="47">
        <v>42499</v>
      </c>
      <c r="C1759" s="46" t="s">
        <v>1318</v>
      </c>
      <c r="D1759" s="46" t="str">
        <f t="shared" si="60"/>
        <v>Grocery</v>
      </c>
      <c r="E1759" s="46" t="s">
        <v>385</v>
      </c>
      <c r="F1759" s="46" t="s">
        <v>238</v>
      </c>
      <c r="G1759" s="46">
        <v>-96.32</v>
      </c>
      <c r="H1759" s="46">
        <f t="shared" si="58"/>
        <v>201605</v>
      </c>
      <c r="I1759" s="46">
        <f>MATCH(D1759,$O:$O,0)</f>
        <v>12</v>
      </c>
      <c r="J1759" s="46" t="s">
        <v>39</v>
      </c>
      <c r="K1759" s="46" t="s">
        <v>649</v>
      </c>
    </row>
    <row r="1760" spans="1:12" s="46" customFormat="1" x14ac:dyDescent="0.25">
      <c r="A1760" s="46" t="s">
        <v>236</v>
      </c>
      <c r="B1760" s="47">
        <v>42499</v>
      </c>
      <c r="C1760" s="46" t="s">
        <v>1319</v>
      </c>
      <c r="D1760" s="46" t="str">
        <f t="shared" si="60"/>
        <v>Gas</v>
      </c>
      <c r="E1760" s="46" t="s">
        <v>311</v>
      </c>
      <c r="F1760" s="46" t="s">
        <v>238</v>
      </c>
      <c r="G1760" s="46">
        <v>-18.39</v>
      </c>
      <c r="H1760" s="46">
        <f t="shared" si="58"/>
        <v>201605</v>
      </c>
      <c r="I1760" s="46">
        <f>MATCH(D1760,$O:$O,0)</f>
        <v>30</v>
      </c>
      <c r="J1760" s="46" t="s">
        <v>39</v>
      </c>
      <c r="K1760" s="46" t="s">
        <v>675</v>
      </c>
      <c r="L1760" s="46" t="s">
        <v>719</v>
      </c>
    </row>
    <row r="1761" spans="1:12" s="46" customFormat="1" x14ac:dyDescent="0.25">
      <c r="A1761" s="46" t="s">
        <v>236</v>
      </c>
      <c r="B1761" s="47">
        <v>42499</v>
      </c>
      <c r="C1761" s="46" t="s">
        <v>654</v>
      </c>
      <c r="D1761" s="46" t="str">
        <f t="shared" si="60"/>
        <v>Public Transit</v>
      </c>
      <c r="E1761" s="46" t="s">
        <v>1169</v>
      </c>
      <c r="F1761" s="46" t="s">
        <v>238</v>
      </c>
      <c r="G1761" s="46">
        <v>-60</v>
      </c>
      <c r="H1761" s="46">
        <f t="shared" si="58"/>
        <v>201605</v>
      </c>
      <c r="I1761" s="46">
        <f>MATCH(D1761,$O:$O,0)</f>
        <v>25</v>
      </c>
      <c r="J1761" s="46" t="s">
        <v>39</v>
      </c>
      <c r="K1761" s="46" t="s">
        <v>649</v>
      </c>
      <c r="L1761" s="46" t="s">
        <v>252</v>
      </c>
    </row>
    <row r="1762" spans="1:12" s="46" customFormat="1" x14ac:dyDescent="0.25">
      <c r="A1762" s="46" t="s">
        <v>236</v>
      </c>
      <c r="B1762" s="47">
        <v>42499</v>
      </c>
      <c r="C1762" s="46" t="s">
        <v>565</v>
      </c>
      <c r="D1762" s="46" t="str">
        <f t="shared" si="60"/>
        <v>Grocery</v>
      </c>
      <c r="E1762" s="46" t="s">
        <v>192</v>
      </c>
      <c r="F1762" s="46" t="s">
        <v>238</v>
      </c>
      <c r="G1762" s="46">
        <v>-7.48</v>
      </c>
      <c r="H1762" s="46">
        <f t="shared" si="58"/>
        <v>201605</v>
      </c>
      <c r="I1762" s="46">
        <f>MATCH(D1762,$O:$O,0)</f>
        <v>12</v>
      </c>
      <c r="J1762" s="46" t="s">
        <v>39</v>
      </c>
      <c r="K1762" s="46" t="s">
        <v>649</v>
      </c>
      <c r="L1762" s="46" t="s">
        <v>252</v>
      </c>
    </row>
    <row r="1763" spans="1:12" s="46" customFormat="1" x14ac:dyDescent="0.25">
      <c r="A1763" s="46" t="s">
        <v>236</v>
      </c>
      <c r="B1763" s="47">
        <v>42499</v>
      </c>
      <c r="C1763" s="46" t="s">
        <v>756</v>
      </c>
      <c r="D1763" s="46" t="str">
        <f t="shared" si="60"/>
        <v>Grocery</v>
      </c>
      <c r="E1763" s="46" t="s">
        <v>192</v>
      </c>
      <c r="F1763" s="46" t="s">
        <v>238</v>
      </c>
      <c r="G1763" s="46">
        <v>-12.98</v>
      </c>
      <c r="H1763" s="46">
        <f t="shared" si="58"/>
        <v>201605</v>
      </c>
      <c r="I1763" s="46">
        <f>MATCH(D1763,$O:$O,0)</f>
        <v>12</v>
      </c>
      <c r="J1763" s="46" t="s">
        <v>39</v>
      </c>
      <c r="K1763" s="46" t="s">
        <v>649</v>
      </c>
      <c r="L1763" s="46" t="s">
        <v>252</v>
      </c>
    </row>
    <row r="1764" spans="1:12" s="46" customFormat="1" x14ac:dyDescent="0.25">
      <c r="A1764" s="46" t="s">
        <v>236</v>
      </c>
      <c r="B1764" s="47">
        <v>42499</v>
      </c>
      <c r="C1764" s="46" t="s">
        <v>1320</v>
      </c>
      <c r="D1764" s="46" t="str">
        <f t="shared" si="60"/>
        <v>Newspapers</v>
      </c>
      <c r="E1764" s="46" t="s">
        <v>1205</v>
      </c>
      <c r="F1764" s="46" t="s">
        <v>238</v>
      </c>
      <c r="G1764" s="46">
        <v>-14.99</v>
      </c>
      <c r="H1764" s="46">
        <f t="shared" si="58"/>
        <v>201605</v>
      </c>
      <c r="I1764" s="46">
        <f>MATCH(D1764,$O:$O,0)</f>
        <v>23</v>
      </c>
      <c r="J1764" s="46" t="s">
        <v>39</v>
      </c>
      <c r="K1764" s="46" t="s">
        <v>649</v>
      </c>
      <c r="L1764" s="46" t="s">
        <v>727</v>
      </c>
    </row>
    <row r="1765" spans="1:12" s="46" customFormat="1" x14ac:dyDescent="0.25">
      <c r="A1765" s="46" t="s">
        <v>236</v>
      </c>
      <c r="B1765" s="47">
        <v>42500</v>
      </c>
      <c r="C1765" s="46" t="s">
        <v>565</v>
      </c>
      <c r="D1765" s="46" t="str">
        <f t="shared" si="60"/>
        <v>Grocery</v>
      </c>
      <c r="E1765" s="46" t="s">
        <v>192</v>
      </c>
      <c r="F1765" s="46" t="s">
        <v>238</v>
      </c>
      <c r="G1765" s="46">
        <v>-2.42</v>
      </c>
      <c r="H1765" s="46">
        <f t="shared" si="58"/>
        <v>201605</v>
      </c>
      <c r="I1765" s="46">
        <f>MATCH(D1765,$O:$O,0)</f>
        <v>12</v>
      </c>
      <c r="J1765" s="46" t="s">
        <v>39</v>
      </c>
      <c r="K1765" s="46" t="s">
        <v>649</v>
      </c>
      <c r="L1765" s="46" t="s">
        <v>333</v>
      </c>
    </row>
    <row r="1766" spans="1:12" s="46" customFormat="1" x14ac:dyDescent="0.25">
      <c r="A1766" s="46" t="s">
        <v>236</v>
      </c>
      <c r="B1766" s="47">
        <v>42500</v>
      </c>
      <c r="C1766" s="46" t="s">
        <v>565</v>
      </c>
      <c r="D1766" s="46" t="str">
        <f t="shared" si="60"/>
        <v>Grocery</v>
      </c>
      <c r="E1766" s="46" t="s">
        <v>192</v>
      </c>
      <c r="F1766" s="46" t="s">
        <v>238</v>
      </c>
      <c r="G1766" s="46">
        <v>-8.7100000000000009</v>
      </c>
      <c r="H1766" s="46">
        <f t="shared" si="58"/>
        <v>201605</v>
      </c>
      <c r="I1766" s="46">
        <f>MATCH(D1766,$O:$O,0)</f>
        <v>12</v>
      </c>
      <c r="J1766" s="46" t="s">
        <v>39</v>
      </c>
      <c r="K1766" s="46" t="s">
        <v>619</v>
      </c>
      <c r="L1766" s="46" t="s">
        <v>193</v>
      </c>
    </row>
    <row r="1767" spans="1:12" s="46" customFormat="1" x14ac:dyDescent="0.25">
      <c r="A1767" s="52" t="s">
        <v>236</v>
      </c>
      <c r="B1767" s="53">
        <v>42500</v>
      </c>
      <c r="C1767" s="52" t="s">
        <v>917</v>
      </c>
      <c r="D1767" s="52" t="s">
        <v>183</v>
      </c>
      <c r="E1767" s="52" t="s">
        <v>385</v>
      </c>
      <c r="F1767" s="52" t="s">
        <v>238</v>
      </c>
      <c r="G1767" s="52">
        <v>-401.84</v>
      </c>
      <c r="H1767" s="52">
        <f t="shared" si="58"/>
        <v>201605</v>
      </c>
      <c r="I1767" s="52">
        <f>MATCH(D1767,$O:$O,0)</f>
        <v>16</v>
      </c>
      <c r="J1767" s="46" t="s">
        <v>39</v>
      </c>
      <c r="K1767" s="46" t="s">
        <v>619</v>
      </c>
      <c r="L1767" s="46" t="s">
        <v>310</v>
      </c>
    </row>
    <row r="1768" spans="1:12" s="46" customFormat="1" x14ac:dyDescent="0.25">
      <c r="A1768" s="46" t="s">
        <v>236</v>
      </c>
      <c r="B1768" s="47">
        <v>42501</v>
      </c>
      <c r="C1768" s="46" t="s">
        <v>1314</v>
      </c>
      <c r="D1768" s="46" t="str">
        <f t="shared" ref="D1768:D1786" si="61">IF(ISNA(VLOOKUP(E1768,$L$2:$M$26,2,FALSE)),E1768,VLOOKUP(E1768,$L$2:$M$26,2,FALSE))</f>
        <v>Gifts</v>
      </c>
      <c r="E1768" s="46" t="s">
        <v>40</v>
      </c>
      <c r="F1768" s="46" t="s">
        <v>238</v>
      </c>
      <c r="G1768" s="46">
        <v>-7.66</v>
      </c>
      <c r="H1768" s="46">
        <f t="shared" si="58"/>
        <v>201605</v>
      </c>
      <c r="I1768" s="46">
        <f>MATCH(D1768,$O:$O,0)</f>
        <v>11</v>
      </c>
      <c r="J1768" s="46" t="s">
        <v>39</v>
      </c>
      <c r="K1768" s="46" t="s">
        <v>619</v>
      </c>
      <c r="L1768" s="46" t="s">
        <v>354</v>
      </c>
    </row>
    <row r="1769" spans="1:12" s="46" customFormat="1" x14ac:dyDescent="0.25">
      <c r="A1769" s="46" t="s">
        <v>236</v>
      </c>
      <c r="B1769" s="47">
        <v>42501</v>
      </c>
      <c r="C1769" s="46" t="s">
        <v>1316</v>
      </c>
      <c r="D1769" s="46" t="str">
        <f t="shared" si="61"/>
        <v>D-Restaurant</v>
      </c>
      <c r="E1769" s="46" t="s">
        <v>204</v>
      </c>
      <c r="F1769" s="46" t="s">
        <v>238</v>
      </c>
      <c r="G1769" s="46">
        <v>-8.67</v>
      </c>
      <c r="H1769" s="46">
        <f t="shared" si="58"/>
        <v>201605</v>
      </c>
      <c r="I1769" s="46">
        <f>MATCH(D1769,$O:$O,0)</f>
        <v>9</v>
      </c>
      <c r="J1769" s="46" t="s">
        <v>39</v>
      </c>
      <c r="K1769" s="46" t="s">
        <v>649</v>
      </c>
    </row>
    <row r="1770" spans="1:12" s="46" customFormat="1" x14ac:dyDescent="0.25">
      <c r="A1770" s="46" t="s">
        <v>236</v>
      </c>
      <c r="B1770" s="47">
        <v>42502</v>
      </c>
      <c r="C1770" s="46" t="s">
        <v>412</v>
      </c>
      <c r="D1770" s="46" t="str">
        <f t="shared" si="61"/>
        <v>Interest</v>
      </c>
      <c r="E1770" s="46" t="s">
        <v>200</v>
      </c>
      <c r="F1770" s="46" t="s">
        <v>238</v>
      </c>
      <c r="G1770" s="46">
        <v>0.24</v>
      </c>
      <c r="H1770" s="46">
        <f t="shared" si="58"/>
        <v>201605</v>
      </c>
      <c r="I1770" s="46" t="e">
        <f>MATCH(D1770,$O:$O,0)</f>
        <v>#N/A</v>
      </c>
      <c r="J1770" s="46" t="s">
        <v>39</v>
      </c>
      <c r="K1770" s="46" t="s">
        <v>649</v>
      </c>
      <c r="L1770" s="46" t="s">
        <v>727</v>
      </c>
    </row>
    <row r="1771" spans="1:12" s="46" customFormat="1" x14ac:dyDescent="0.25">
      <c r="A1771" s="46" t="s">
        <v>236</v>
      </c>
      <c r="B1771" s="47">
        <v>42502</v>
      </c>
      <c r="C1771" s="46" t="s">
        <v>412</v>
      </c>
      <c r="D1771" s="46" t="str">
        <f t="shared" si="61"/>
        <v>Interest</v>
      </c>
      <c r="E1771" s="46" t="s">
        <v>200</v>
      </c>
      <c r="F1771" s="46" t="s">
        <v>238</v>
      </c>
      <c r="G1771" s="46">
        <v>0.66</v>
      </c>
      <c r="H1771" s="46">
        <f t="shared" si="58"/>
        <v>201605</v>
      </c>
      <c r="I1771" s="46" t="e">
        <f>MATCH(D1771,$O:$O,0)</f>
        <v>#N/A</v>
      </c>
      <c r="J1771" s="46" t="s">
        <v>39</v>
      </c>
      <c r="K1771" s="46" t="s">
        <v>803</v>
      </c>
    </row>
    <row r="1772" spans="1:12" s="46" customFormat="1" x14ac:dyDescent="0.25">
      <c r="A1772" s="46" t="s">
        <v>236</v>
      </c>
      <c r="B1772" s="47">
        <v>42502</v>
      </c>
      <c r="C1772" s="46" t="s">
        <v>412</v>
      </c>
      <c r="D1772" s="46" t="str">
        <f t="shared" si="61"/>
        <v>Interest</v>
      </c>
      <c r="E1772" s="46" t="s">
        <v>200</v>
      </c>
      <c r="F1772" s="46" t="s">
        <v>238</v>
      </c>
      <c r="G1772" s="46">
        <v>0.38</v>
      </c>
      <c r="H1772" s="46">
        <f t="shared" si="58"/>
        <v>201605</v>
      </c>
      <c r="I1772" s="46" t="e">
        <f>MATCH(D1772,$O:$O,0)</f>
        <v>#N/A</v>
      </c>
      <c r="J1772" s="46" t="s">
        <v>39</v>
      </c>
      <c r="K1772" s="46" t="s">
        <v>649</v>
      </c>
      <c r="L1772" s="46" t="s">
        <v>816</v>
      </c>
    </row>
    <row r="1773" spans="1:12" s="46" customFormat="1" x14ac:dyDescent="0.25">
      <c r="A1773" s="46" t="s">
        <v>236</v>
      </c>
      <c r="B1773" s="47">
        <v>42502</v>
      </c>
      <c r="C1773" s="46" t="s">
        <v>412</v>
      </c>
      <c r="D1773" s="46" t="str">
        <f t="shared" si="61"/>
        <v>Interest</v>
      </c>
      <c r="E1773" s="46" t="s">
        <v>200</v>
      </c>
      <c r="F1773" s="46" t="s">
        <v>238</v>
      </c>
      <c r="G1773" s="46">
        <v>0.03</v>
      </c>
      <c r="H1773" s="46">
        <f t="shared" si="58"/>
        <v>201605</v>
      </c>
      <c r="I1773" s="46" t="e">
        <f>MATCH(D1773,$O:$O,0)</f>
        <v>#N/A</v>
      </c>
      <c r="J1773" s="46" t="s">
        <v>39</v>
      </c>
      <c r="K1773" s="46" t="s">
        <v>649</v>
      </c>
    </row>
    <row r="1774" spans="1:12" s="46" customFormat="1" x14ac:dyDescent="0.25">
      <c r="A1774" s="46" t="s">
        <v>236</v>
      </c>
      <c r="B1774" s="47">
        <v>42502</v>
      </c>
      <c r="C1774" s="46" t="s">
        <v>221</v>
      </c>
      <c r="D1774" s="46" t="str">
        <f t="shared" si="61"/>
        <v>Tax</v>
      </c>
      <c r="E1774" s="46" t="s">
        <v>222</v>
      </c>
      <c r="F1774" s="46" t="s">
        <v>238</v>
      </c>
      <c r="G1774" s="46">
        <v>-7.0000000000000007E-2</v>
      </c>
      <c r="H1774" s="46">
        <f t="shared" si="58"/>
        <v>201605</v>
      </c>
      <c r="I1774" s="46">
        <f>MATCH(D1774,$O:$O,0)</f>
        <v>29</v>
      </c>
      <c r="J1774" s="46" t="s">
        <v>39</v>
      </c>
      <c r="K1774" s="46" t="s">
        <v>649</v>
      </c>
      <c r="L1774" s="46" t="s">
        <v>727</v>
      </c>
    </row>
    <row r="1775" spans="1:12" s="46" customFormat="1" x14ac:dyDescent="0.25">
      <c r="A1775" s="46" t="s">
        <v>236</v>
      </c>
      <c r="B1775" s="47">
        <v>42502</v>
      </c>
      <c r="C1775" s="46" t="s">
        <v>221</v>
      </c>
      <c r="D1775" s="46" t="str">
        <f t="shared" si="61"/>
        <v>Tax</v>
      </c>
      <c r="E1775" s="46" t="s">
        <v>222</v>
      </c>
      <c r="F1775" s="46" t="s">
        <v>238</v>
      </c>
      <c r="G1775" s="46">
        <v>-0.18</v>
      </c>
      <c r="H1775" s="46">
        <f t="shared" si="58"/>
        <v>201605</v>
      </c>
      <c r="I1775" s="46">
        <f>MATCH(D1775,$O:$O,0)</f>
        <v>29</v>
      </c>
      <c r="J1775" s="46" t="s">
        <v>39</v>
      </c>
      <c r="K1775" s="46" t="s">
        <v>649</v>
      </c>
    </row>
    <row r="1776" spans="1:12" s="46" customFormat="1" x14ac:dyDescent="0.25">
      <c r="A1776" s="46" t="s">
        <v>236</v>
      </c>
      <c r="B1776" s="47">
        <v>42502</v>
      </c>
      <c r="C1776" s="46" t="s">
        <v>1312</v>
      </c>
      <c r="D1776" s="46" t="str">
        <f t="shared" si="61"/>
        <v>D-Travel</v>
      </c>
      <c r="E1776" s="46" t="s">
        <v>161</v>
      </c>
      <c r="F1776" s="46" t="s">
        <v>238</v>
      </c>
      <c r="G1776" s="46">
        <v>-26</v>
      </c>
      <c r="H1776" s="46">
        <f t="shared" si="58"/>
        <v>201605</v>
      </c>
      <c r="I1776" s="46">
        <f>MATCH(D1776,$O:$O,0)</f>
        <v>10</v>
      </c>
      <c r="J1776" s="46" t="s">
        <v>39</v>
      </c>
      <c r="K1776" s="46" t="s">
        <v>649</v>
      </c>
    </row>
    <row r="1777" spans="1:12" s="46" customFormat="1" x14ac:dyDescent="0.25">
      <c r="A1777" s="46" t="s">
        <v>236</v>
      </c>
      <c r="B1777" s="47">
        <v>42502</v>
      </c>
      <c r="C1777" s="46" t="s">
        <v>1313</v>
      </c>
      <c r="D1777" s="46" t="str">
        <f t="shared" si="61"/>
        <v>D-Travel</v>
      </c>
      <c r="E1777" s="46" t="s">
        <v>161</v>
      </c>
      <c r="F1777" s="46" t="s">
        <v>238</v>
      </c>
      <c r="G1777" s="46">
        <v>-177.2</v>
      </c>
      <c r="H1777" s="46">
        <f t="shared" si="58"/>
        <v>201605</v>
      </c>
      <c r="I1777" s="46">
        <f>MATCH(D1777,$O:$O,0)</f>
        <v>10</v>
      </c>
      <c r="J1777" s="46" t="s">
        <v>39</v>
      </c>
      <c r="K1777" s="46" t="s">
        <v>649</v>
      </c>
      <c r="L1777" s="46" t="s">
        <v>1250</v>
      </c>
    </row>
    <row r="1778" spans="1:12" s="46" customFormat="1" x14ac:dyDescent="0.25">
      <c r="A1778" s="46" t="s">
        <v>236</v>
      </c>
      <c r="B1778" s="47">
        <v>42502</v>
      </c>
      <c r="C1778" s="46" t="s">
        <v>1063</v>
      </c>
      <c r="D1778" s="46" t="str">
        <f t="shared" si="61"/>
        <v>D-Restaurant</v>
      </c>
      <c r="E1778" s="46" t="s">
        <v>204</v>
      </c>
      <c r="F1778" s="46" t="s">
        <v>238</v>
      </c>
      <c r="G1778" s="46">
        <v>-8.1999999999999993</v>
      </c>
      <c r="H1778" s="46">
        <f t="shared" si="58"/>
        <v>201605</v>
      </c>
      <c r="I1778" s="46">
        <f>MATCH(D1778,$O:$O,0)</f>
        <v>9</v>
      </c>
      <c r="J1778" s="46" t="s">
        <v>39</v>
      </c>
      <c r="K1778" s="46" t="s">
        <v>649</v>
      </c>
    </row>
    <row r="1779" spans="1:12" s="46" customFormat="1" x14ac:dyDescent="0.25">
      <c r="A1779" s="46" t="s">
        <v>236</v>
      </c>
      <c r="B1779" s="47">
        <v>42503</v>
      </c>
      <c r="C1779" s="46" t="s">
        <v>1310</v>
      </c>
      <c r="D1779" s="46" t="str">
        <f t="shared" si="61"/>
        <v>Utility</v>
      </c>
      <c r="E1779" s="46" t="s">
        <v>19</v>
      </c>
      <c r="F1779" s="46" t="s">
        <v>238</v>
      </c>
      <c r="G1779" s="46">
        <v>-67.180000000000007</v>
      </c>
      <c r="H1779" s="46">
        <f t="shared" si="58"/>
        <v>201605</v>
      </c>
      <c r="I1779" s="46">
        <f>MATCH(D1779,$O:$O,0)</f>
        <v>34</v>
      </c>
      <c r="J1779" s="46" t="s">
        <v>39</v>
      </c>
      <c r="K1779" s="46" t="s">
        <v>803</v>
      </c>
    </row>
    <row r="1780" spans="1:12" s="46" customFormat="1" x14ac:dyDescent="0.25">
      <c r="A1780" s="46" t="s">
        <v>236</v>
      </c>
      <c r="B1780" s="47">
        <v>42503</v>
      </c>
      <c r="C1780" s="46" t="s">
        <v>1078</v>
      </c>
      <c r="D1780" s="46" t="str">
        <f t="shared" si="61"/>
        <v>Paychecks/Salary</v>
      </c>
      <c r="E1780" s="46" t="s">
        <v>261</v>
      </c>
      <c r="F1780" s="46" t="s">
        <v>238</v>
      </c>
      <c r="G1780" s="46">
        <v>706.94</v>
      </c>
      <c r="H1780" s="46">
        <f t="shared" si="58"/>
        <v>201605</v>
      </c>
      <c r="I1780" s="46">
        <f>MATCH(D1780,$O:$O,0)</f>
        <v>40</v>
      </c>
      <c r="J1780" s="46" t="s">
        <v>39</v>
      </c>
      <c r="K1780" s="46" t="s">
        <v>630</v>
      </c>
      <c r="L1780" s="46" t="s">
        <v>1305</v>
      </c>
    </row>
    <row r="1781" spans="1:12" s="46" customFormat="1" x14ac:dyDescent="0.25">
      <c r="A1781" s="46" t="s">
        <v>236</v>
      </c>
      <c r="B1781" s="47">
        <v>42503</v>
      </c>
      <c r="C1781" s="46" t="s">
        <v>1278</v>
      </c>
      <c r="D1781" s="46" t="str">
        <f t="shared" si="61"/>
        <v>Paychecks/Salary</v>
      </c>
      <c r="E1781" s="46" t="s">
        <v>375</v>
      </c>
      <c r="F1781" s="46" t="s">
        <v>238</v>
      </c>
      <c r="G1781" s="48">
        <v>3353.24</v>
      </c>
      <c r="H1781" s="46">
        <f t="shared" si="58"/>
        <v>201605</v>
      </c>
      <c r="I1781" s="46">
        <f>MATCH(D1781,$O:$O,0)</f>
        <v>40</v>
      </c>
      <c r="J1781" s="46" t="s">
        <v>39</v>
      </c>
      <c r="K1781" s="46" t="s">
        <v>630</v>
      </c>
      <c r="L1781" s="46" t="s">
        <v>200</v>
      </c>
    </row>
    <row r="1782" spans="1:12" s="46" customFormat="1" x14ac:dyDescent="0.25">
      <c r="A1782" s="46" t="s">
        <v>236</v>
      </c>
      <c r="B1782" s="47">
        <v>42503</v>
      </c>
      <c r="C1782" s="46" t="s">
        <v>1311</v>
      </c>
      <c r="D1782" s="46" t="str">
        <f t="shared" si="61"/>
        <v>D-Travel</v>
      </c>
      <c r="E1782" s="46" t="s">
        <v>161</v>
      </c>
      <c r="F1782" s="46" t="s">
        <v>238</v>
      </c>
      <c r="G1782" s="46">
        <v>-264.2</v>
      </c>
      <c r="H1782" s="46">
        <f t="shared" si="58"/>
        <v>201605</v>
      </c>
      <c r="I1782" s="46">
        <f>MATCH(D1782,$O:$O,0)</f>
        <v>10</v>
      </c>
      <c r="J1782" s="46" t="s">
        <v>39</v>
      </c>
      <c r="K1782" s="46" t="s">
        <v>630</v>
      </c>
    </row>
    <row r="1783" spans="1:12" s="46" customFormat="1" x14ac:dyDescent="0.25">
      <c r="A1783" s="46" t="s">
        <v>236</v>
      </c>
      <c r="B1783" s="47">
        <v>42503</v>
      </c>
      <c r="C1783" s="46" t="s">
        <v>994</v>
      </c>
      <c r="D1783" s="46" t="str">
        <f t="shared" si="61"/>
        <v>D-Travel</v>
      </c>
      <c r="E1783" s="46" t="s">
        <v>161</v>
      </c>
      <c r="F1783" s="46" t="s">
        <v>238</v>
      </c>
      <c r="G1783" s="46">
        <v>-810</v>
      </c>
      <c r="H1783" s="46">
        <f t="shared" si="58"/>
        <v>201605</v>
      </c>
      <c r="I1783" s="46">
        <f>MATCH(D1783,$O:$O,0)</f>
        <v>10</v>
      </c>
      <c r="J1783" s="46" t="s">
        <v>39</v>
      </c>
      <c r="K1783" s="46" t="s">
        <v>649</v>
      </c>
    </row>
    <row r="1784" spans="1:12" s="46" customFormat="1" x14ac:dyDescent="0.25">
      <c r="A1784" s="46" t="s">
        <v>236</v>
      </c>
      <c r="B1784" s="47">
        <v>42503</v>
      </c>
      <c r="C1784" s="46" t="s">
        <v>768</v>
      </c>
      <c r="D1784" s="46" t="str">
        <f t="shared" si="61"/>
        <v>D-Restaurant</v>
      </c>
      <c r="E1784" s="46" t="s">
        <v>204</v>
      </c>
      <c r="F1784" s="46" t="s">
        <v>238</v>
      </c>
      <c r="G1784" s="46">
        <v>-13.24</v>
      </c>
      <c r="H1784" s="46">
        <f t="shared" si="58"/>
        <v>201605</v>
      </c>
      <c r="I1784" s="46">
        <f>MATCH(D1784,$O:$O,0)</f>
        <v>9</v>
      </c>
      <c r="J1784" s="46" t="s">
        <v>39</v>
      </c>
      <c r="K1784" s="46" t="s">
        <v>649</v>
      </c>
      <c r="L1784" s="46" t="s">
        <v>352</v>
      </c>
    </row>
    <row r="1785" spans="1:12" s="46" customFormat="1" x14ac:dyDescent="0.25">
      <c r="A1785" s="46" t="s">
        <v>236</v>
      </c>
      <c r="B1785" s="47">
        <v>42503</v>
      </c>
      <c r="C1785" s="46" t="s">
        <v>775</v>
      </c>
      <c r="D1785" s="46" t="str">
        <f t="shared" si="61"/>
        <v>Grocery</v>
      </c>
      <c r="E1785" s="46" t="s">
        <v>192</v>
      </c>
      <c r="F1785" s="46" t="s">
        <v>238</v>
      </c>
      <c r="G1785" s="46">
        <v>-50.93</v>
      </c>
      <c r="H1785" s="46">
        <f t="shared" si="58"/>
        <v>201605</v>
      </c>
      <c r="I1785" s="46">
        <f>MATCH(D1785,$O:$O,0)</f>
        <v>12</v>
      </c>
      <c r="J1785" s="46" t="s">
        <v>39</v>
      </c>
      <c r="K1785" s="46" t="s">
        <v>649</v>
      </c>
    </row>
    <row r="1786" spans="1:12" s="46" customFormat="1" x14ac:dyDescent="0.25">
      <c r="A1786" s="46" t="s">
        <v>236</v>
      </c>
      <c r="B1786" s="47">
        <v>42503</v>
      </c>
      <c r="C1786" s="46" t="s">
        <v>483</v>
      </c>
      <c r="D1786" s="46" t="str">
        <f t="shared" si="61"/>
        <v>D-Restaurant</v>
      </c>
      <c r="E1786" s="46" t="s">
        <v>204</v>
      </c>
      <c r="F1786" s="46" t="s">
        <v>238</v>
      </c>
      <c r="G1786" s="46">
        <v>-10.039999999999999</v>
      </c>
      <c r="H1786" s="46">
        <f t="shared" si="58"/>
        <v>201605</v>
      </c>
      <c r="I1786" s="46">
        <f>MATCH(D1786,$O:$O,0)</f>
        <v>9</v>
      </c>
      <c r="J1786" s="46" t="s">
        <v>39</v>
      </c>
      <c r="K1786" s="46" t="s">
        <v>649</v>
      </c>
    </row>
    <row r="1787" spans="1:12" s="46" customFormat="1" x14ac:dyDescent="0.25">
      <c r="A1787" s="46" t="s">
        <v>236</v>
      </c>
      <c r="B1787" s="47">
        <v>42504</v>
      </c>
      <c r="C1787" s="46" t="s">
        <v>1308</v>
      </c>
      <c r="D1787" s="46" t="s">
        <v>185</v>
      </c>
      <c r="E1787" s="46" t="s">
        <v>1266</v>
      </c>
      <c r="F1787" s="46" t="s">
        <v>238</v>
      </c>
      <c r="G1787" s="46">
        <v>-230</v>
      </c>
      <c r="H1787" s="46">
        <f t="shared" si="58"/>
        <v>201605</v>
      </c>
      <c r="I1787" s="46">
        <f>MATCH(D1787,$O:$O,0)</f>
        <v>31</v>
      </c>
      <c r="J1787" s="46" t="s">
        <v>39</v>
      </c>
      <c r="K1787" s="46" t="s">
        <v>649</v>
      </c>
    </row>
    <row r="1788" spans="1:12" s="46" customFormat="1" x14ac:dyDescent="0.25">
      <c r="A1788" s="46" t="s">
        <v>236</v>
      </c>
      <c r="B1788" s="47">
        <v>42506</v>
      </c>
      <c r="C1788" s="46" t="s">
        <v>768</v>
      </c>
      <c r="D1788" s="46" t="str">
        <f t="shared" ref="D1788:D1797" si="62">IF(ISNA(VLOOKUP(E1788,$L$2:$M$26,2,FALSE)),E1788,VLOOKUP(E1788,$L$2:$M$26,2,FALSE))</f>
        <v>D-Restaurant</v>
      </c>
      <c r="E1788" s="46" t="s">
        <v>204</v>
      </c>
      <c r="F1788" s="46" t="s">
        <v>238</v>
      </c>
      <c r="G1788" s="46">
        <v>-20</v>
      </c>
      <c r="H1788" s="46">
        <f t="shared" si="58"/>
        <v>201605</v>
      </c>
      <c r="I1788" s="46">
        <f>MATCH(D1788,$O:$O,0)</f>
        <v>9</v>
      </c>
      <c r="J1788" s="46" t="s">
        <v>39</v>
      </c>
      <c r="K1788" s="46" t="s">
        <v>649</v>
      </c>
      <c r="L1788" s="46" t="s">
        <v>198</v>
      </c>
    </row>
    <row r="1789" spans="1:12" s="46" customFormat="1" x14ac:dyDescent="0.25">
      <c r="A1789" s="46" t="s">
        <v>236</v>
      </c>
      <c r="B1789" s="47">
        <v>42506</v>
      </c>
      <c r="C1789" s="46" t="s">
        <v>1307</v>
      </c>
      <c r="D1789" s="46" t="str">
        <f t="shared" si="62"/>
        <v>D-Coffee</v>
      </c>
      <c r="E1789" s="46" t="s">
        <v>215</v>
      </c>
      <c r="F1789" s="46" t="s">
        <v>238</v>
      </c>
      <c r="G1789" s="46">
        <v>-25</v>
      </c>
      <c r="H1789" s="46">
        <f t="shared" si="58"/>
        <v>201605</v>
      </c>
      <c r="I1789" s="46">
        <f>MATCH(D1789,$O:$O,0)</f>
        <v>7</v>
      </c>
      <c r="J1789" s="46" t="s">
        <v>39</v>
      </c>
      <c r="K1789" s="46" t="s">
        <v>649</v>
      </c>
      <c r="L1789" s="46" t="s">
        <v>1309</v>
      </c>
    </row>
    <row r="1790" spans="1:12" s="46" customFormat="1" x14ac:dyDescent="0.25">
      <c r="A1790" s="46" t="s">
        <v>236</v>
      </c>
      <c r="B1790" s="47">
        <v>42506</v>
      </c>
      <c r="C1790" s="46" t="s">
        <v>1307</v>
      </c>
      <c r="D1790" s="46" t="str">
        <f t="shared" si="62"/>
        <v>D-Coffee</v>
      </c>
      <c r="E1790" s="46" t="s">
        <v>215</v>
      </c>
      <c r="F1790" s="46" t="s">
        <v>238</v>
      </c>
      <c r="G1790" s="46">
        <v>-0.38</v>
      </c>
      <c r="H1790" s="46">
        <f t="shared" si="58"/>
        <v>201605</v>
      </c>
      <c r="I1790" s="46">
        <f>MATCH(D1790,$O:$O,0)</f>
        <v>7</v>
      </c>
      <c r="J1790" s="46" t="s">
        <v>39</v>
      </c>
      <c r="K1790" s="46" t="s">
        <v>803</v>
      </c>
      <c r="L1790" s="46" t="s">
        <v>229</v>
      </c>
    </row>
    <row r="1791" spans="1:12" s="46" customFormat="1" x14ac:dyDescent="0.25">
      <c r="A1791" s="46" t="s">
        <v>236</v>
      </c>
      <c r="B1791" s="47">
        <v>42506</v>
      </c>
      <c r="C1791" s="46" t="s">
        <v>1275</v>
      </c>
      <c r="D1791" s="46" t="str">
        <f t="shared" si="62"/>
        <v>D-Restaurant</v>
      </c>
      <c r="E1791" s="46" t="s">
        <v>204</v>
      </c>
      <c r="F1791" s="46" t="s">
        <v>238</v>
      </c>
      <c r="G1791" s="46">
        <v>-55.05</v>
      </c>
      <c r="H1791" s="46">
        <f t="shared" si="58"/>
        <v>201605</v>
      </c>
      <c r="I1791" s="46">
        <f>MATCH(D1791,$O:$O,0)</f>
        <v>9</v>
      </c>
      <c r="J1791" s="46" t="s">
        <v>39</v>
      </c>
      <c r="K1791" s="46" t="s">
        <v>675</v>
      </c>
    </row>
    <row r="1792" spans="1:12" s="46" customFormat="1" x14ac:dyDescent="0.25">
      <c r="A1792" s="46" t="s">
        <v>236</v>
      </c>
      <c r="B1792" s="47">
        <v>42506</v>
      </c>
      <c r="C1792" s="46" t="s">
        <v>961</v>
      </c>
      <c r="D1792" s="46" t="str">
        <f t="shared" si="62"/>
        <v>Home Insurance</v>
      </c>
      <c r="E1792" s="46" t="s">
        <v>199</v>
      </c>
      <c r="F1792" s="46" t="s">
        <v>238</v>
      </c>
      <c r="G1792" s="46">
        <v>-692.33</v>
      </c>
      <c r="H1792" s="46">
        <f t="shared" si="58"/>
        <v>201605</v>
      </c>
      <c r="I1792" s="46">
        <f>MATCH(D1792,$O:$O,0)</f>
        <v>17</v>
      </c>
      <c r="J1792" s="46" t="s">
        <v>39</v>
      </c>
      <c r="K1792" s="46" t="s">
        <v>803</v>
      </c>
      <c r="L1792" s="46" t="s">
        <v>339</v>
      </c>
    </row>
    <row r="1793" spans="1:12" s="46" customFormat="1" x14ac:dyDescent="0.25">
      <c r="A1793" s="46" t="s">
        <v>236</v>
      </c>
      <c r="B1793" s="47">
        <v>42507</v>
      </c>
      <c r="C1793" s="46" t="s">
        <v>1303</v>
      </c>
      <c r="D1793" s="46" t="str">
        <f t="shared" si="62"/>
        <v>Credit Card Payments</v>
      </c>
      <c r="E1793" s="46" t="s">
        <v>242</v>
      </c>
      <c r="F1793" s="46" t="s">
        <v>238</v>
      </c>
      <c r="G1793" s="48">
        <v>-1475.56</v>
      </c>
      <c r="H1793" s="46">
        <f t="shared" si="58"/>
        <v>201605</v>
      </c>
      <c r="I1793" s="46">
        <f>MATCH(D1793,$O:$O,0)</f>
        <v>38</v>
      </c>
      <c r="J1793" s="46" t="s">
        <v>39</v>
      </c>
      <c r="K1793" s="46" t="s">
        <v>630</v>
      </c>
      <c r="L1793" s="46" t="s">
        <v>927</v>
      </c>
    </row>
    <row r="1794" spans="1:12" s="46" customFormat="1" x14ac:dyDescent="0.25">
      <c r="A1794" s="46" t="s">
        <v>236</v>
      </c>
      <c r="B1794" s="47">
        <v>42507</v>
      </c>
      <c r="C1794" s="46" t="s">
        <v>1304</v>
      </c>
      <c r="D1794" s="46" t="str">
        <f t="shared" si="62"/>
        <v>Finance Charges</v>
      </c>
      <c r="E1794" s="46" t="s">
        <v>220</v>
      </c>
      <c r="F1794" s="46" t="s">
        <v>238</v>
      </c>
      <c r="G1794" s="46">
        <v>25</v>
      </c>
      <c r="H1794" s="46">
        <f t="shared" ref="H1794:H1848" si="63">YEAR(B1794)*100+MONTH(B1794)</f>
        <v>201605</v>
      </c>
      <c r="I1794" s="46">
        <f>MATCH(D1794,$O:$O,0)</f>
        <v>35</v>
      </c>
      <c r="J1794" s="46" t="s">
        <v>39</v>
      </c>
      <c r="K1794" s="46" t="s">
        <v>630</v>
      </c>
      <c r="L1794" s="46" t="s">
        <v>207</v>
      </c>
    </row>
    <row r="1795" spans="1:12" s="46" customFormat="1" x14ac:dyDescent="0.25">
      <c r="A1795" s="46" t="s">
        <v>236</v>
      </c>
      <c r="B1795" s="47">
        <v>42507</v>
      </c>
      <c r="C1795" s="46" t="s">
        <v>1306</v>
      </c>
      <c r="D1795" s="46" t="str">
        <f t="shared" si="62"/>
        <v>Interest</v>
      </c>
      <c r="E1795" s="46" t="s">
        <v>200</v>
      </c>
      <c r="F1795" s="46" t="s">
        <v>238</v>
      </c>
      <c r="G1795" s="46">
        <v>4.03</v>
      </c>
      <c r="H1795" s="46">
        <f t="shared" si="63"/>
        <v>201605</v>
      </c>
      <c r="I1795" s="46" t="e">
        <f>MATCH(D1795,$O:$O,0)</f>
        <v>#N/A</v>
      </c>
      <c r="J1795" s="46" t="s">
        <v>39</v>
      </c>
      <c r="K1795" s="46" t="s">
        <v>649</v>
      </c>
      <c r="L1795" s="46" t="s">
        <v>352</v>
      </c>
    </row>
    <row r="1796" spans="1:12" s="46" customFormat="1" x14ac:dyDescent="0.25">
      <c r="A1796" s="46" t="s">
        <v>236</v>
      </c>
      <c r="B1796" s="47">
        <v>42507</v>
      </c>
      <c r="C1796" s="46" t="s">
        <v>557</v>
      </c>
      <c r="D1796" s="46" t="str">
        <f t="shared" si="62"/>
        <v>Credit Card Payments</v>
      </c>
      <c r="E1796" s="46" t="s">
        <v>242</v>
      </c>
      <c r="F1796" s="46" t="s">
        <v>238</v>
      </c>
      <c r="G1796" s="48">
        <v>1475.56</v>
      </c>
      <c r="H1796" s="46">
        <f t="shared" si="63"/>
        <v>201605</v>
      </c>
      <c r="I1796" s="46">
        <f>MATCH(D1796,$O:$O,0)</f>
        <v>38</v>
      </c>
      <c r="J1796" s="46" t="s">
        <v>39</v>
      </c>
      <c r="K1796" s="46" t="s">
        <v>649</v>
      </c>
      <c r="L1796" s="46" t="s">
        <v>816</v>
      </c>
    </row>
    <row r="1797" spans="1:12" s="46" customFormat="1" x14ac:dyDescent="0.25">
      <c r="A1797" s="46" t="s">
        <v>236</v>
      </c>
      <c r="B1797" s="47">
        <v>42507</v>
      </c>
      <c r="C1797" s="46" t="s">
        <v>575</v>
      </c>
      <c r="D1797" s="46" t="str">
        <f t="shared" si="62"/>
        <v>D-Restaurant</v>
      </c>
      <c r="E1797" s="46" t="s">
        <v>204</v>
      </c>
      <c r="F1797" s="46" t="s">
        <v>238</v>
      </c>
      <c r="G1797" s="46">
        <v>-4.55</v>
      </c>
      <c r="H1797" s="46">
        <f t="shared" si="63"/>
        <v>201605</v>
      </c>
      <c r="I1797" s="46">
        <f>MATCH(D1797,$O:$O,0)</f>
        <v>9</v>
      </c>
      <c r="J1797" s="46" t="s">
        <v>39</v>
      </c>
      <c r="K1797" s="46" t="s">
        <v>649</v>
      </c>
      <c r="L1797" s="46" t="s">
        <v>335</v>
      </c>
    </row>
    <row r="1798" spans="1:12" s="46" customFormat="1" x14ac:dyDescent="0.25">
      <c r="A1798" s="46" t="s">
        <v>236</v>
      </c>
      <c r="B1798" s="47">
        <v>42508</v>
      </c>
      <c r="C1798" s="46" t="s">
        <v>1302</v>
      </c>
      <c r="D1798" s="46" t="s">
        <v>129</v>
      </c>
      <c r="E1798" s="46" t="s">
        <v>1169</v>
      </c>
      <c r="F1798" s="46" t="s">
        <v>238</v>
      </c>
      <c r="G1798" s="46">
        <v>-10.36</v>
      </c>
      <c r="H1798" s="46">
        <f t="shared" si="63"/>
        <v>201605</v>
      </c>
      <c r="I1798" s="46">
        <f>MATCH(D1798,$O:$O,0)</f>
        <v>9</v>
      </c>
      <c r="J1798" s="46" t="s">
        <v>39</v>
      </c>
      <c r="K1798" s="46" t="s">
        <v>803</v>
      </c>
      <c r="L1798" s="46" t="s">
        <v>200</v>
      </c>
    </row>
    <row r="1799" spans="1:12" s="46" customFormat="1" x14ac:dyDescent="0.25">
      <c r="A1799" s="46" t="s">
        <v>236</v>
      </c>
      <c r="B1799" s="47">
        <v>42508</v>
      </c>
      <c r="C1799" s="46" t="s">
        <v>911</v>
      </c>
      <c r="D1799" s="46" t="str">
        <f t="shared" ref="D1799:D1830" si="64">IF(ISNA(VLOOKUP(E1799,$L$2:$M$26,2,FALSE)),E1799,VLOOKUP(E1799,$L$2:$M$26,2,FALSE))</f>
        <v>Public Transit</v>
      </c>
      <c r="E1799" s="46" t="s">
        <v>1051</v>
      </c>
      <c r="F1799" s="46" t="s">
        <v>238</v>
      </c>
      <c r="G1799" s="46">
        <v>-20</v>
      </c>
      <c r="H1799" s="46">
        <f t="shared" si="63"/>
        <v>201605</v>
      </c>
      <c r="I1799" s="46">
        <f>MATCH(D1799,$O:$O,0)</f>
        <v>25</v>
      </c>
      <c r="J1799" s="46" t="s">
        <v>39</v>
      </c>
      <c r="K1799" s="46" t="s">
        <v>628</v>
      </c>
      <c r="L1799" s="46" t="s">
        <v>200</v>
      </c>
    </row>
    <row r="1800" spans="1:12" s="46" customFormat="1" x14ac:dyDescent="0.25">
      <c r="A1800" s="46" t="s">
        <v>236</v>
      </c>
      <c r="B1800" s="47">
        <v>42508</v>
      </c>
      <c r="C1800" s="46" t="s">
        <v>1249</v>
      </c>
      <c r="D1800" s="46" t="str">
        <f t="shared" si="64"/>
        <v>D-Restaurant</v>
      </c>
      <c r="E1800" s="46" t="s">
        <v>204</v>
      </c>
      <c r="F1800" s="46" t="s">
        <v>238</v>
      </c>
      <c r="G1800" s="46">
        <v>-12.5</v>
      </c>
      <c r="H1800" s="46">
        <f t="shared" si="63"/>
        <v>201605</v>
      </c>
      <c r="I1800" s="46">
        <f>MATCH(D1800,$O:$O,0)</f>
        <v>9</v>
      </c>
      <c r="J1800" s="46" t="s">
        <v>39</v>
      </c>
      <c r="K1800" s="46" t="s">
        <v>676</v>
      </c>
      <c r="L1800" s="46" t="s">
        <v>200</v>
      </c>
    </row>
    <row r="1801" spans="1:12" s="46" customFormat="1" x14ac:dyDescent="0.25">
      <c r="A1801" s="46" t="s">
        <v>236</v>
      </c>
      <c r="B1801" s="47">
        <v>42508</v>
      </c>
      <c r="C1801" s="46" t="s">
        <v>1063</v>
      </c>
      <c r="D1801" s="46" t="str">
        <f t="shared" si="64"/>
        <v>D-Restaurant</v>
      </c>
      <c r="E1801" s="46" t="s">
        <v>204</v>
      </c>
      <c r="F1801" s="46" t="s">
        <v>238</v>
      </c>
      <c r="G1801" s="46">
        <v>-4.55</v>
      </c>
      <c r="H1801" s="46">
        <f t="shared" si="63"/>
        <v>201605</v>
      </c>
      <c r="I1801" s="46">
        <f>MATCH(D1801,$O:$O,0)</f>
        <v>9</v>
      </c>
      <c r="J1801" s="46" t="s">
        <v>39</v>
      </c>
      <c r="K1801" s="46" t="s">
        <v>675</v>
      </c>
      <c r="L1801" s="46" t="s">
        <v>200</v>
      </c>
    </row>
    <row r="1802" spans="1:12" s="46" customFormat="1" x14ac:dyDescent="0.25">
      <c r="A1802" s="46" t="s">
        <v>236</v>
      </c>
      <c r="B1802" s="47">
        <v>42510</v>
      </c>
      <c r="C1802" s="46" t="s">
        <v>1301</v>
      </c>
      <c r="D1802" s="46" t="str">
        <f t="shared" si="64"/>
        <v>Deposits</v>
      </c>
      <c r="E1802" s="46" t="s">
        <v>271</v>
      </c>
      <c r="F1802" s="46" t="s">
        <v>238</v>
      </c>
      <c r="G1802" s="46">
        <v>0.03</v>
      </c>
      <c r="H1802" s="46">
        <f t="shared" si="63"/>
        <v>201605</v>
      </c>
      <c r="I1802" s="46" t="e">
        <f>MATCH(D1802,$O:$O,0)</f>
        <v>#N/A</v>
      </c>
      <c r="J1802" s="46" t="s">
        <v>39</v>
      </c>
      <c r="K1802" s="46" t="s">
        <v>803</v>
      </c>
    </row>
    <row r="1803" spans="1:12" s="46" customFormat="1" x14ac:dyDescent="0.25">
      <c r="A1803" s="46" t="s">
        <v>236</v>
      </c>
      <c r="B1803" s="47">
        <v>42510</v>
      </c>
      <c r="C1803" s="46" t="s">
        <v>775</v>
      </c>
      <c r="D1803" s="46" t="str">
        <f t="shared" si="64"/>
        <v>Grocery</v>
      </c>
      <c r="E1803" s="46" t="s">
        <v>192</v>
      </c>
      <c r="F1803" s="46" t="s">
        <v>238</v>
      </c>
      <c r="G1803" s="46">
        <v>-26.29</v>
      </c>
      <c r="H1803" s="46">
        <f t="shared" si="63"/>
        <v>201605</v>
      </c>
      <c r="I1803" s="46">
        <f>MATCH(D1803,$O:$O,0)</f>
        <v>12</v>
      </c>
      <c r="J1803" s="46" t="s">
        <v>39</v>
      </c>
      <c r="K1803" s="46" t="s">
        <v>628</v>
      </c>
    </row>
    <row r="1804" spans="1:12" s="46" customFormat="1" x14ac:dyDescent="0.25">
      <c r="A1804" s="46" t="s">
        <v>236</v>
      </c>
      <c r="B1804" s="47">
        <v>42510</v>
      </c>
      <c r="C1804" s="46" t="s">
        <v>904</v>
      </c>
      <c r="D1804" s="46" t="str">
        <f t="shared" si="64"/>
        <v>Utility</v>
      </c>
      <c r="E1804" s="46" t="s">
        <v>19</v>
      </c>
      <c r="F1804" s="46" t="s">
        <v>238</v>
      </c>
      <c r="G1804" s="46">
        <v>-290.68</v>
      </c>
      <c r="H1804" s="46">
        <f t="shared" si="63"/>
        <v>201605</v>
      </c>
      <c r="I1804" s="46">
        <f>MATCH(D1804,$O:$O,0)</f>
        <v>34</v>
      </c>
      <c r="J1804" s="46" t="s">
        <v>39</v>
      </c>
      <c r="K1804" s="46" t="s">
        <v>649</v>
      </c>
      <c r="L1804" s="46" t="s">
        <v>806</v>
      </c>
    </row>
    <row r="1805" spans="1:12" s="46" customFormat="1" x14ac:dyDescent="0.25">
      <c r="A1805" s="46" t="s">
        <v>236</v>
      </c>
      <c r="B1805" s="47">
        <v>42510</v>
      </c>
      <c r="C1805" s="46" t="s">
        <v>1103</v>
      </c>
      <c r="D1805" s="46" t="str">
        <f t="shared" si="64"/>
        <v>Gas</v>
      </c>
      <c r="E1805" s="46" t="s">
        <v>311</v>
      </c>
      <c r="F1805" s="46" t="s">
        <v>238</v>
      </c>
      <c r="G1805" s="46">
        <v>-16.989999999999998</v>
      </c>
      <c r="H1805" s="46">
        <f t="shared" si="63"/>
        <v>201605</v>
      </c>
      <c r="I1805" s="46">
        <f>MATCH(D1805,$O:$O,0)</f>
        <v>30</v>
      </c>
      <c r="J1805" s="46" t="s">
        <v>39</v>
      </c>
      <c r="K1805" s="46" t="s">
        <v>649</v>
      </c>
      <c r="L1805" s="46" t="s">
        <v>806</v>
      </c>
    </row>
    <row r="1806" spans="1:12" s="46" customFormat="1" x14ac:dyDescent="0.25">
      <c r="A1806" s="46" t="s">
        <v>236</v>
      </c>
      <c r="B1806" s="47">
        <v>42511</v>
      </c>
      <c r="C1806" s="46" t="s">
        <v>1159</v>
      </c>
      <c r="D1806" s="46" t="str">
        <f t="shared" si="64"/>
        <v>D-Restaurant</v>
      </c>
      <c r="E1806" s="46" t="s">
        <v>204</v>
      </c>
      <c r="F1806" s="46" t="s">
        <v>238</v>
      </c>
      <c r="G1806" s="46">
        <v>-7.37</v>
      </c>
      <c r="H1806" s="46">
        <f t="shared" si="63"/>
        <v>201605</v>
      </c>
      <c r="I1806" s="46">
        <f>MATCH(D1806,$O:$O,0)</f>
        <v>9</v>
      </c>
      <c r="J1806" s="46" t="s">
        <v>39</v>
      </c>
      <c r="K1806" s="46" t="s">
        <v>649</v>
      </c>
    </row>
    <row r="1807" spans="1:12" s="46" customFormat="1" x14ac:dyDescent="0.25">
      <c r="A1807" s="46" t="s">
        <v>236</v>
      </c>
      <c r="B1807" s="47">
        <v>42511</v>
      </c>
      <c r="C1807" s="46" t="s">
        <v>1300</v>
      </c>
      <c r="D1807" s="46" t="str">
        <f t="shared" si="64"/>
        <v>D-Restaurant</v>
      </c>
      <c r="E1807" s="46" t="s">
        <v>204</v>
      </c>
      <c r="F1807" s="46" t="s">
        <v>238</v>
      </c>
      <c r="G1807" s="46">
        <v>-55.8</v>
      </c>
      <c r="H1807" s="46">
        <f t="shared" si="63"/>
        <v>201605</v>
      </c>
      <c r="I1807" s="46">
        <f>MATCH(D1807,$O:$O,0)</f>
        <v>9</v>
      </c>
      <c r="J1807" s="46" t="s">
        <v>39</v>
      </c>
      <c r="K1807" s="46" t="s">
        <v>649</v>
      </c>
      <c r="L1807" s="46" t="s">
        <v>1315</v>
      </c>
    </row>
    <row r="1808" spans="1:12" s="46" customFormat="1" x14ac:dyDescent="0.25">
      <c r="A1808" s="46" t="s">
        <v>236</v>
      </c>
      <c r="B1808" s="47">
        <v>42511</v>
      </c>
      <c r="C1808" s="46" t="s">
        <v>1103</v>
      </c>
      <c r="D1808" s="46" t="str">
        <f t="shared" si="64"/>
        <v>Gas</v>
      </c>
      <c r="E1808" s="46" t="s">
        <v>311</v>
      </c>
      <c r="F1808" s="46" t="s">
        <v>238</v>
      </c>
      <c r="G1808" s="46">
        <v>-12.99</v>
      </c>
      <c r="H1808" s="46">
        <f t="shared" si="63"/>
        <v>201605</v>
      </c>
      <c r="I1808" s="46">
        <f>MATCH(D1808,$O:$O,0)</f>
        <v>30</v>
      </c>
      <c r="J1808" s="46" t="s">
        <v>39</v>
      </c>
      <c r="K1808" s="46" t="s">
        <v>649</v>
      </c>
      <c r="L1808" s="46" t="s">
        <v>1317</v>
      </c>
    </row>
    <row r="1809" spans="1:12" s="46" customFormat="1" x14ac:dyDescent="0.25">
      <c r="A1809" s="46" t="s">
        <v>236</v>
      </c>
      <c r="B1809" s="47">
        <v>42512</v>
      </c>
      <c r="C1809" s="46" t="s">
        <v>912</v>
      </c>
      <c r="D1809" s="46" t="str">
        <f t="shared" si="64"/>
        <v>Grocery</v>
      </c>
      <c r="E1809" s="46" t="s">
        <v>385</v>
      </c>
      <c r="F1809" s="46" t="s">
        <v>238</v>
      </c>
      <c r="G1809" s="46">
        <v>-84.92</v>
      </c>
      <c r="H1809" s="46">
        <f t="shared" si="63"/>
        <v>201605</v>
      </c>
      <c r="I1809" s="46">
        <f>MATCH(D1809,$O:$O,0)</f>
        <v>12</v>
      </c>
      <c r="J1809" s="46" t="s">
        <v>39</v>
      </c>
      <c r="K1809" s="46" t="s">
        <v>649</v>
      </c>
      <c r="L1809" s="46" t="s">
        <v>252</v>
      </c>
    </row>
    <row r="1810" spans="1:12" s="46" customFormat="1" x14ac:dyDescent="0.25">
      <c r="A1810" s="46" t="s">
        <v>236</v>
      </c>
      <c r="B1810" s="47">
        <v>42512</v>
      </c>
      <c r="C1810" s="46" t="s">
        <v>892</v>
      </c>
      <c r="D1810" s="46" t="str">
        <f t="shared" si="64"/>
        <v>Gas</v>
      </c>
      <c r="E1810" s="46" t="s">
        <v>311</v>
      </c>
      <c r="F1810" s="46" t="s">
        <v>238</v>
      </c>
      <c r="G1810" s="46">
        <v>-27.66</v>
      </c>
      <c r="H1810" s="46">
        <f t="shared" si="63"/>
        <v>201605</v>
      </c>
      <c r="I1810" s="46">
        <f>MATCH(D1810,$O:$O,0)</f>
        <v>30</v>
      </c>
      <c r="J1810" s="46" t="s">
        <v>39</v>
      </c>
      <c r="K1810" s="46" t="s">
        <v>649</v>
      </c>
      <c r="L1810" s="46" t="s">
        <v>252</v>
      </c>
    </row>
    <row r="1811" spans="1:12" s="52" customFormat="1" x14ac:dyDescent="0.25">
      <c r="A1811" s="46" t="s">
        <v>236</v>
      </c>
      <c r="B1811" s="47">
        <v>42513</v>
      </c>
      <c r="C1811" s="46" t="s">
        <v>1298</v>
      </c>
      <c r="D1811" s="46" t="str">
        <f t="shared" si="64"/>
        <v>Gas</v>
      </c>
      <c r="E1811" s="46" t="s">
        <v>311</v>
      </c>
      <c r="F1811" s="46" t="s">
        <v>238</v>
      </c>
      <c r="G1811" s="46">
        <v>-16.36</v>
      </c>
      <c r="H1811" s="46">
        <f t="shared" si="63"/>
        <v>201605</v>
      </c>
      <c r="I1811" s="46">
        <f>MATCH(D1811,$O:$O,0)</f>
        <v>30</v>
      </c>
      <c r="J1811" s="52" t="s">
        <v>39</v>
      </c>
      <c r="K1811" s="52" t="s">
        <v>619</v>
      </c>
      <c r="L1811" s="52" t="s">
        <v>193</v>
      </c>
    </row>
    <row r="1812" spans="1:12" s="46" customFormat="1" x14ac:dyDescent="0.25">
      <c r="A1812" s="46" t="s">
        <v>236</v>
      </c>
      <c r="B1812" s="47">
        <v>42513</v>
      </c>
      <c r="C1812" s="46" t="s">
        <v>565</v>
      </c>
      <c r="D1812" s="46" t="str">
        <f t="shared" si="64"/>
        <v>Grocery</v>
      </c>
      <c r="E1812" s="46" t="s">
        <v>192</v>
      </c>
      <c r="F1812" s="46" t="s">
        <v>238</v>
      </c>
      <c r="G1812" s="46">
        <v>-16.63</v>
      </c>
      <c r="H1812" s="46">
        <f t="shared" si="63"/>
        <v>201605</v>
      </c>
      <c r="I1812" s="46">
        <f>MATCH(D1812,$O:$O,0)</f>
        <v>12</v>
      </c>
      <c r="J1812" s="46" t="s">
        <v>39</v>
      </c>
      <c r="K1812" s="46" t="s">
        <v>675</v>
      </c>
      <c r="L1812" s="46" t="s">
        <v>193</v>
      </c>
    </row>
    <row r="1813" spans="1:12" s="46" customFormat="1" x14ac:dyDescent="0.25">
      <c r="A1813" s="46" t="s">
        <v>236</v>
      </c>
      <c r="B1813" s="47">
        <v>42513</v>
      </c>
      <c r="C1813" s="46" t="s">
        <v>1238</v>
      </c>
      <c r="D1813" s="46" t="str">
        <f t="shared" si="64"/>
        <v>Grocery</v>
      </c>
      <c r="E1813" s="46" t="s">
        <v>192</v>
      </c>
      <c r="F1813" s="46" t="s">
        <v>238</v>
      </c>
      <c r="G1813" s="46">
        <v>-7.28</v>
      </c>
      <c r="H1813" s="46">
        <f t="shared" si="63"/>
        <v>201605</v>
      </c>
      <c r="I1813" s="46">
        <f>MATCH(D1813,$O:$O,0)</f>
        <v>12</v>
      </c>
      <c r="J1813" s="46" t="s">
        <v>39</v>
      </c>
      <c r="K1813" s="46" t="s">
        <v>675</v>
      </c>
      <c r="L1813" s="46" t="s">
        <v>310</v>
      </c>
    </row>
    <row r="1814" spans="1:12" s="46" customFormat="1" x14ac:dyDescent="0.25">
      <c r="A1814" s="46" t="s">
        <v>236</v>
      </c>
      <c r="B1814" s="47">
        <v>42513</v>
      </c>
      <c r="C1814" s="46" t="s">
        <v>565</v>
      </c>
      <c r="D1814" s="46" t="str">
        <f t="shared" si="64"/>
        <v>Grocery</v>
      </c>
      <c r="E1814" s="46" t="s">
        <v>192</v>
      </c>
      <c r="F1814" s="46" t="s">
        <v>238</v>
      </c>
      <c r="G1814" s="46">
        <v>-9.25</v>
      </c>
      <c r="H1814" s="46">
        <f t="shared" si="63"/>
        <v>201605</v>
      </c>
      <c r="I1814" s="46">
        <f>MATCH(D1814,$O:$O,0)</f>
        <v>12</v>
      </c>
      <c r="J1814" s="46" t="s">
        <v>39</v>
      </c>
      <c r="K1814" s="46" t="s">
        <v>630</v>
      </c>
    </row>
    <row r="1815" spans="1:12" s="46" customFormat="1" x14ac:dyDescent="0.25">
      <c r="A1815" s="46" t="s">
        <v>236</v>
      </c>
      <c r="B1815" s="47">
        <v>42513</v>
      </c>
      <c r="C1815" s="46" t="s">
        <v>1299</v>
      </c>
      <c r="D1815" s="46" t="str">
        <f t="shared" si="64"/>
        <v>Gas</v>
      </c>
      <c r="E1815" s="46" t="s">
        <v>311</v>
      </c>
      <c r="F1815" s="46" t="s">
        <v>238</v>
      </c>
      <c r="G1815" s="46">
        <v>-19.27</v>
      </c>
      <c r="H1815" s="46">
        <f t="shared" si="63"/>
        <v>201605</v>
      </c>
      <c r="I1815" s="46">
        <f>MATCH(D1815,$O:$O,0)</f>
        <v>30</v>
      </c>
      <c r="J1815" s="46" t="s">
        <v>39</v>
      </c>
      <c r="K1815" s="46" t="s">
        <v>649</v>
      </c>
      <c r="L1815" s="46" t="s">
        <v>252</v>
      </c>
    </row>
    <row r="1816" spans="1:12" s="46" customFormat="1" x14ac:dyDescent="0.25">
      <c r="A1816" s="46" t="s">
        <v>236</v>
      </c>
      <c r="B1816" s="47">
        <v>42513</v>
      </c>
      <c r="C1816" s="46" t="s">
        <v>990</v>
      </c>
      <c r="D1816" s="46" t="str">
        <f t="shared" si="64"/>
        <v>Postage and Shipping</v>
      </c>
      <c r="E1816" s="46" t="s">
        <v>468</v>
      </c>
      <c r="F1816" s="46" t="s">
        <v>238</v>
      </c>
      <c r="G1816" s="46">
        <v>-1.1499999999999999</v>
      </c>
      <c r="H1816" s="46">
        <f t="shared" si="63"/>
        <v>201605</v>
      </c>
      <c r="I1816" s="46" t="e">
        <f>MATCH(D1816,$O:$O,0)</f>
        <v>#N/A</v>
      </c>
      <c r="J1816" s="46" t="s">
        <v>39</v>
      </c>
      <c r="K1816" s="46" t="s">
        <v>649</v>
      </c>
      <c r="L1816" s="46" t="s">
        <v>810</v>
      </c>
    </row>
    <row r="1817" spans="1:12" s="46" customFormat="1" x14ac:dyDescent="0.25">
      <c r="A1817" s="46" t="s">
        <v>236</v>
      </c>
      <c r="B1817" s="47">
        <v>42514</v>
      </c>
      <c r="C1817" s="46" t="s">
        <v>1291</v>
      </c>
      <c r="D1817" s="46" t="str">
        <f t="shared" si="64"/>
        <v>Grocery</v>
      </c>
      <c r="E1817" s="46" t="s">
        <v>385</v>
      </c>
      <c r="F1817" s="46" t="s">
        <v>238</v>
      </c>
      <c r="G1817" s="46">
        <v>-14.31</v>
      </c>
      <c r="H1817" s="46">
        <f t="shared" si="63"/>
        <v>201605</v>
      </c>
      <c r="I1817" s="46">
        <f>MATCH(D1817,$O:$O,0)</f>
        <v>12</v>
      </c>
      <c r="J1817" s="46" t="s">
        <v>39</v>
      </c>
      <c r="K1817" s="46" t="s">
        <v>619</v>
      </c>
    </row>
    <row r="1818" spans="1:12" s="46" customFormat="1" x14ac:dyDescent="0.25">
      <c r="A1818" s="46" t="s">
        <v>236</v>
      </c>
      <c r="B1818" s="47">
        <v>42514</v>
      </c>
      <c r="C1818" s="46" t="s">
        <v>1292</v>
      </c>
      <c r="D1818" s="46" t="str">
        <f t="shared" si="64"/>
        <v>Grocery</v>
      </c>
      <c r="E1818" s="46" t="s">
        <v>385</v>
      </c>
      <c r="F1818" s="46" t="s">
        <v>238</v>
      </c>
      <c r="G1818" s="46">
        <v>-269.45999999999998</v>
      </c>
      <c r="H1818" s="46">
        <f t="shared" si="63"/>
        <v>201605</v>
      </c>
      <c r="I1818" s="46">
        <f>MATCH(D1818,$O:$O,0)</f>
        <v>12</v>
      </c>
      <c r="J1818" s="46" t="s">
        <v>39</v>
      </c>
      <c r="K1818" s="46" t="s">
        <v>619</v>
      </c>
      <c r="L1818" s="46" t="s">
        <v>193</v>
      </c>
    </row>
    <row r="1819" spans="1:12" s="46" customFormat="1" x14ac:dyDescent="0.25">
      <c r="A1819" s="46" t="s">
        <v>236</v>
      </c>
      <c r="B1819" s="47">
        <v>42514</v>
      </c>
      <c r="C1819" s="46" t="s">
        <v>626</v>
      </c>
      <c r="D1819" s="46" t="str">
        <f t="shared" si="64"/>
        <v>Other Income</v>
      </c>
      <c r="E1819" s="46" t="s">
        <v>250</v>
      </c>
      <c r="F1819" s="46" t="s">
        <v>238</v>
      </c>
      <c r="G1819" s="46">
        <v>0</v>
      </c>
      <c r="H1819" s="46">
        <f t="shared" si="63"/>
        <v>201605</v>
      </c>
      <c r="I1819" s="46" t="e">
        <f>MATCH(D1819,$O:$O,0)</f>
        <v>#N/A</v>
      </c>
      <c r="J1819" s="46" t="s">
        <v>39</v>
      </c>
      <c r="K1819" s="46" t="s">
        <v>630</v>
      </c>
      <c r="L1819" s="46" t="s">
        <v>200</v>
      </c>
    </row>
    <row r="1820" spans="1:12" s="46" customFormat="1" x14ac:dyDescent="0.25">
      <c r="A1820" s="46" t="s">
        <v>236</v>
      </c>
      <c r="B1820" s="47">
        <v>42514</v>
      </c>
      <c r="C1820" s="46" t="s">
        <v>1293</v>
      </c>
      <c r="D1820" s="46" t="str">
        <f t="shared" si="64"/>
        <v>Gas</v>
      </c>
      <c r="E1820" s="46" t="s">
        <v>311</v>
      </c>
      <c r="F1820" s="46" t="s">
        <v>238</v>
      </c>
      <c r="G1820" s="46">
        <v>-32.380000000000003</v>
      </c>
      <c r="H1820" s="46">
        <f t="shared" si="63"/>
        <v>201605</v>
      </c>
      <c r="I1820" s="46">
        <f>MATCH(D1820,$O:$O,0)</f>
        <v>30</v>
      </c>
      <c r="J1820" s="46" t="s">
        <v>39</v>
      </c>
      <c r="K1820" s="46" t="s">
        <v>649</v>
      </c>
      <c r="L1820" s="46" t="s">
        <v>1323</v>
      </c>
    </row>
    <row r="1821" spans="1:12" s="46" customFormat="1" x14ac:dyDescent="0.25">
      <c r="A1821" s="52" t="s">
        <v>236</v>
      </c>
      <c r="B1821" s="53">
        <v>42514</v>
      </c>
      <c r="C1821" s="52" t="s">
        <v>1294</v>
      </c>
      <c r="D1821" s="52" t="str">
        <f t="shared" si="64"/>
        <v>Other Expenses</v>
      </c>
      <c r="E1821" s="52" t="s">
        <v>1295</v>
      </c>
      <c r="F1821" s="52" t="s">
        <v>238</v>
      </c>
      <c r="G1821" s="54">
        <v>19985</v>
      </c>
      <c r="H1821" s="52">
        <f t="shared" si="63"/>
        <v>201605</v>
      </c>
      <c r="I1821" s="52" t="e">
        <f>MATCH(D1821,$O:$O,0)</f>
        <v>#N/A</v>
      </c>
      <c r="J1821" s="46" t="s">
        <v>39</v>
      </c>
      <c r="K1821" s="46" t="s">
        <v>649</v>
      </c>
    </row>
    <row r="1822" spans="1:12" s="46" customFormat="1" x14ac:dyDescent="0.25">
      <c r="A1822" s="46" t="s">
        <v>236</v>
      </c>
      <c r="B1822" s="47">
        <v>42514</v>
      </c>
      <c r="C1822" s="46" t="s">
        <v>1296</v>
      </c>
      <c r="D1822" s="46" t="str">
        <f t="shared" si="64"/>
        <v>D-Restaurant</v>
      </c>
      <c r="E1822" s="46" t="s">
        <v>204</v>
      </c>
      <c r="F1822" s="46" t="s">
        <v>238</v>
      </c>
      <c r="G1822" s="46">
        <v>-11.15</v>
      </c>
      <c r="H1822" s="46">
        <f t="shared" si="63"/>
        <v>201605</v>
      </c>
      <c r="I1822" s="46">
        <f>MATCH(D1822,$O:$O,0)</f>
        <v>9</v>
      </c>
      <c r="J1822" s="46" t="s">
        <v>39</v>
      </c>
      <c r="K1822" s="46" t="s">
        <v>649</v>
      </c>
      <c r="L1822" s="46" t="s">
        <v>252</v>
      </c>
    </row>
    <row r="1823" spans="1:12" s="46" customFormat="1" x14ac:dyDescent="0.25">
      <c r="A1823" s="46" t="s">
        <v>236</v>
      </c>
      <c r="B1823" s="47">
        <v>42514</v>
      </c>
      <c r="C1823" s="46" t="s">
        <v>585</v>
      </c>
      <c r="D1823" s="46" t="str">
        <f t="shared" si="64"/>
        <v>D-Travel</v>
      </c>
      <c r="E1823" s="46" t="s">
        <v>161</v>
      </c>
      <c r="F1823" s="46" t="s">
        <v>238</v>
      </c>
      <c r="G1823" s="46">
        <v>-3</v>
      </c>
      <c r="H1823" s="46">
        <f t="shared" si="63"/>
        <v>201605</v>
      </c>
      <c r="I1823" s="46">
        <f>MATCH(D1823,$O:$O,0)</f>
        <v>10</v>
      </c>
      <c r="J1823" s="46" t="s">
        <v>39</v>
      </c>
      <c r="K1823" s="46" t="s">
        <v>649</v>
      </c>
      <c r="L1823" s="46" t="s">
        <v>816</v>
      </c>
    </row>
    <row r="1824" spans="1:12" s="46" customFormat="1" x14ac:dyDescent="0.25">
      <c r="A1824" s="46" t="s">
        <v>236</v>
      </c>
      <c r="B1824" s="47">
        <v>42514</v>
      </c>
      <c r="C1824" s="46" t="s">
        <v>894</v>
      </c>
      <c r="D1824" s="46" t="str">
        <f t="shared" si="64"/>
        <v>Newspapers</v>
      </c>
      <c r="E1824" s="46" t="s">
        <v>1205</v>
      </c>
      <c r="F1824" s="46" t="s">
        <v>238</v>
      </c>
      <c r="G1824" s="46">
        <v>-7.99</v>
      </c>
      <c r="H1824" s="46">
        <f t="shared" si="63"/>
        <v>201605</v>
      </c>
      <c r="I1824" s="46">
        <f>MATCH(D1824,$O:$O,0)</f>
        <v>23</v>
      </c>
      <c r="J1824" s="46" t="s">
        <v>39</v>
      </c>
      <c r="K1824" s="46" t="s">
        <v>649</v>
      </c>
    </row>
    <row r="1825" spans="1:12" s="52" customFormat="1" x14ac:dyDescent="0.25">
      <c r="A1825" s="46" t="s">
        <v>236</v>
      </c>
      <c r="B1825" s="47">
        <v>42514</v>
      </c>
      <c r="C1825" s="46" t="s">
        <v>1063</v>
      </c>
      <c r="D1825" s="46" t="str">
        <f t="shared" si="64"/>
        <v>D-Restaurant</v>
      </c>
      <c r="E1825" s="46" t="s">
        <v>204</v>
      </c>
      <c r="F1825" s="46" t="s">
        <v>238</v>
      </c>
      <c r="G1825" s="46">
        <v>-8.1999999999999993</v>
      </c>
      <c r="H1825" s="46">
        <f t="shared" si="63"/>
        <v>201605</v>
      </c>
      <c r="I1825" s="46">
        <f>MATCH(D1825,$O:$O,0)</f>
        <v>9</v>
      </c>
      <c r="J1825" s="52" t="s">
        <v>39</v>
      </c>
      <c r="K1825" s="52" t="s">
        <v>649</v>
      </c>
      <c r="L1825" s="52" t="s">
        <v>333</v>
      </c>
    </row>
    <row r="1826" spans="1:12" s="46" customFormat="1" x14ac:dyDescent="0.25">
      <c r="A1826" s="46" t="s">
        <v>236</v>
      </c>
      <c r="B1826" s="47">
        <v>42515</v>
      </c>
      <c r="C1826" s="46" t="s">
        <v>975</v>
      </c>
      <c r="D1826" s="46" t="str">
        <f t="shared" si="64"/>
        <v>Postage and Shipping</v>
      </c>
      <c r="E1826" s="46" t="s">
        <v>468</v>
      </c>
      <c r="F1826" s="46" t="s">
        <v>238</v>
      </c>
      <c r="G1826" s="46">
        <v>-1.1499999999999999</v>
      </c>
      <c r="H1826" s="46">
        <f t="shared" si="63"/>
        <v>201605</v>
      </c>
      <c r="I1826" s="46" t="e">
        <f>MATCH(D1826,$O:$O,0)</f>
        <v>#N/A</v>
      </c>
      <c r="J1826" s="46" t="s">
        <v>39</v>
      </c>
      <c r="K1826" s="46" t="s">
        <v>675</v>
      </c>
      <c r="L1826" s="46" t="s">
        <v>193</v>
      </c>
    </row>
    <row r="1827" spans="1:12" s="46" customFormat="1" x14ac:dyDescent="0.25">
      <c r="A1827" s="46" t="s">
        <v>236</v>
      </c>
      <c r="B1827" s="47">
        <v>42515</v>
      </c>
      <c r="C1827" s="46" t="s">
        <v>747</v>
      </c>
      <c r="D1827" s="46" t="str">
        <f t="shared" si="64"/>
        <v>Cell Phone</v>
      </c>
      <c r="E1827" s="46" t="s">
        <v>224</v>
      </c>
      <c r="F1827" s="46" t="s">
        <v>238</v>
      </c>
      <c r="G1827" s="46">
        <v>-77.489999999999995</v>
      </c>
      <c r="H1827" s="46">
        <f t="shared" si="63"/>
        <v>201605</v>
      </c>
      <c r="I1827" s="46">
        <f>MATCH(D1827,$O:$O,0)</f>
        <v>4</v>
      </c>
      <c r="J1827" s="46" t="s">
        <v>39</v>
      </c>
      <c r="K1827" s="46" t="s">
        <v>675</v>
      </c>
      <c r="L1827" s="46" t="s">
        <v>310</v>
      </c>
    </row>
    <row r="1828" spans="1:12" s="46" customFormat="1" x14ac:dyDescent="0.25">
      <c r="A1828" s="46" t="s">
        <v>236</v>
      </c>
      <c r="B1828" s="47">
        <v>42515</v>
      </c>
      <c r="C1828" s="46" t="s">
        <v>1063</v>
      </c>
      <c r="D1828" s="46" t="str">
        <f t="shared" si="64"/>
        <v>D-Restaurant</v>
      </c>
      <c r="E1828" s="46" t="s">
        <v>204</v>
      </c>
      <c r="F1828" s="46" t="s">
        <v>238</v>
      </c>
      <c r="G1828" s="46">
        <v>-8.1999999999999993</v>
      </c>
      <c r="H1828" s="46">
        <f t="shared" si="63"/>
        <v>201605</v>
      </c>
      <c r="I1828" s="46">
        <f>MATCH(D1828,$O:$O,0)</f>
        <v>9</v>
      </c>
      <c r="J1828" s="46" t="s">
        <v>39</v>
      </c>
      <c r="K1828" s="46" t="s">
        <v>649</v>
      </c>
      <c r="L1828" s="46" t="s">
        <v>252</v>
      </c>
    </row>
    <row r="1829" spans="1:12" s="46" customFormat="1" x14ac:dyDescent="0.25">
      <c r="A1829" s="46" t="s">
        <v>236</v>
      </c>
      <c r="B1829" s="47">
        <v>42515</v>
      </c>
      <c r="C1829" s="46" t="s">
        <v>1288</v>
      </c>
      <c r="D1829" s="46" t="str">
        <f t="shared" si="64"/>
        <v>D-Travel</v>
      </c>
      <c r="E1829" s="46" t="s">
        <v>161</v>
      </c>
      <c r="F1829" s="46" t="s">
        <v>238</v>
      </c>
      <c r="G1829" s="48">
        <v>1096.8900000000001</v>
      </c>
      <c r="H1829" s="46">
        <f t="shared" si="63"/>
        <v>201605</v>
      </c>
      <c r="I1829" s="46">
        <f>MATCH(D1829,$O:$O,0)</f>
        <v>10</v>
      </c>
      <c r="J1829" s="46" t="s">
        <v>39</v>
      </c>
      <c r="K1829" s="46" t="s">
        <v>675</v>
      </c>
      <c r="L1829" s="46" t="s">
        <v>1156</v>
      </c>
    </row>
    <row r="1830" spans="1:12" s="46" customFormat="1" x14ac:dyDescent="0.25">
      <c r="A1830" s="46" t="s">
        <v>236</v>
      </c>
      <c r="B1830" s="47">
        <v>42515</v>
      </c>
      <c r="C1830" s="46" t="s">
        <v>1290</v>
      </c>
      <c r="D1830" s="46" t="str">
        <f t="shared" si="64"/>
        <v>D-Travel</v>
      </c>
      <c r="E1830" s="46" t="s">
        <v>161</v>
      </c>
      <c r="F1830" s="46" t="s">
        <v>238</v>
      </c>
      <c r="G1830" s="46">
        <v>29.61</v>
      </c>
      <c r="H1830" s="46">
        <f t="shared" si="63"/>
        <v>201605</v>
      </c>
      <c r="I1830" s="46">
        <f>MATCH(D1830,$O:$O,0)</f>
        <v>10</v>
      </c>
      <c r="J1830" s="46" t="s">
        <v>39</v>
      </c>
      <c r="K1830" s="46" t="s">
        <v>630</v>
      </c>
    </row>
    <row r="1831" spans="1:12" s="46" customFormat="1" x14ac:dyDescent="0.25">
      <c r="A1831" s="46" t="s">
        <v>236</v>
      </c>
      <c r="B1831" s="47">
        <v>42516</v>
      </c>
      <c r="C1831" s="46" t="s">
        <v>1285</v>
      </c>
      <c r="D1831" s="46" t="str">
        <f t="shared" ref="D1831:D1848" si="65">IF(ISNA(VLOOKUP(E1831,$L$2:$M$26,2,FALSE)),E1831,VLOOKUP(E1831,$L$2:$M$26,2,FALSE))</f>
        <v>Mortgage/Rent</v>
      </c>
      <c r="E1831" s="46" t="s">
        <v>202</v>
      </c>
      <c r="F1831" s="46" t="s">
        <v>238</v>
      </c>
      <c r="G1831" s="48">
        <v>-1955.41</v>
      </c>
      <c r="H1831" s="46">
        <f t="shared" si="63"/>
        <v>201605</v>
      </c>
      <c r="I1831" s="46">
        <f>MATCH(D1831,$O:$O,0)</f>
        <v>21</v>
      </c>
      <c r="J1831" s="46" t="s">
        <v>39</v>
      </c>
      <c r="K1831" s="46" t="s">
        <v>619</v>
      </c>
      <c r="L1831" s="46" t="s">
        <v>297</v>
      </c>
    </row>
    <row r="1832" spans="1:12" s="46" customFormat="1" x14ac:dyDescent="0.25">
      <c r="A1832" s="46" t="s">
        <v>236</v>
      </c>
      <c r="B1832" s="47">
        <v>42516</v>
      </c>
      <c r="C1832" s="46" t="s">
        <v>1286</v>
      </c>
      <c r="D1832" s="46" t="str">
        <f t="shared" si="65"/>
        <v>Credit Card Payments</v>
      </c>
      <c r="E1832" s="46" t="s">
        <v>242</v>
      </c>
      <c r="F1832" s="46" t="s">
        <v>238</v>
      </c>
      <c r="G1832" s="48">
        <v>-1924.48</v>
      </c>
      <c r="H1832" s="46">
        <f t="shared" si="63"/>
        <v>201605</v>
      </c>
      <c r="I1832" s="46">
        <f>MATCH(D1832,$O:$O,0)</f>
        <v>38</v>
      </c>
      <c r="J1832" s="46" t="s">
        <v>39</v>
      </c>
      <c r="K1832" s="46" t="s">
        <v>803</v>
      </c>
      <c r="L1832" s="46" t="s">
        <v>239</v>
      </c>
    </row>
    <row r="1833" spans="1:12" s="46" customFormat="1" x14ac:dyDescent="0.25">
      <c r="A1833" s="46" t="s">
        <v>236</v>
      </c>
      <c r="B1833" s="47">
        <v>42516</v>
      </c>
      <c r="C1833" s="46" t="s">
        <v>1287</v>
      </c>
      <c r="D1833" s="46" t="str">
        <f t="shared" si="65"/>
        <v>Transfers</v>
      </c>
      <c r="E1833" s="46" t="s">
        <v>226</v>
      </c>
      <c r="F1833" s="46" t="s">
        <v>238</v>
      </c>
      <c r="G1833" s="48">
        <v>-19985</v>
      </c>
      <c r="H1833" s="46">
        <f t="shared" si="63"/>
        <v>201605</v>
      </c>
      <c r="I1833" s="46">
        <f>MATCH(D1833,$O:$O,0)</f>
        <v>37</v>
      </c>
      <c r="J1833" s="46" t="s">
        <v>39</v>
      </c>
      <c r="K1833" s="46" t="s">
        <v>628</v>
      </c>
      <c r="L1833" s="46" t="s">
        <v>239</v>
      </c>
    </row>
    <row r="1834" spans="1:12" s="46" customFormat="1" x14ac:dyDescent="0.25">
      <c r="A1834" s="46" t="s">
        <v>236</v>
      </c>
      <c r="B1834" s="47">
        <v>42516</v>
      </c>
      <c r="C1834" s="46" t="s">
        <v>483</v>
      </c>
      <c r="D1834" s="46" t="str">
        <f t="shared" si="65"/>
        <v>D-Restaurant</v>
      </c>
      <c r="E1834" s="46" t="s">
        <v>204</v>
      </c>
      <c r="F1834" s="46" t="s">
        <v>238</v>
      </c>
      <c r="G1834" s="46">
        <v>-5.09</v>
      </c>
      <c r="H1834" s="46">
        <f t="shared" si="63"/>
        <v>201605</v>
      </c>
      <c r="I1834" s="46">
        <f>MATCH(D1834,$O:$O,0)</f>
        <v>9</v>
      </c>
      <c r="J1834" s="46" t="s">
        <v>39</v>
      </c>
      <c r="K1834" s="46" t="s">
        <v>649</v>
      </c>
    </row>
    <row r="1835" spans="1:12" s="46" customFormat="1" x14ac:dyDescent="0.25">
      <c r="A1835" s="46" t="s">
        <v>236</v>
      </c>
      <c r="B1835" s="47">
        <v>42516</v>
      </c>
      <c r="C1835" s="46" t="s">
        <v>557</v>
      </c>
      <c r="D1835" s="46" t="str">
        <f t="shared" si="65"/>
        <v>Credit Card Payments</v>
      </c>
      <c r="E1835" s="46" t="s">
        <v>242</v>
      </c>
      <c r="F1835" s="46" t="s">
        <v>238</v>
      </c>
      <c r="G1835" s="48">
        <v>1924.48</v>
      </c>
      <c r="H1835" s="46">
        <f t="shared" si="63"/>
        <v>201605</v>
      </c>
      <c r="I1835" s="46">
        <f>MATCH(D1835,$O:$O,0)</f>
        <v>38</v>
      </c>
      <c r="J1835" s="46" t="s">
        <v>39</v>
      </c>
      <c r="K1835" s="46" t="s">
        <v>649</v>
      </c>
      <c r="L1835" s="46" t="s">
        <v>1331</v>
      </c>
    </row>
    <row r="1836" spans="1:12" s="46" customFormat="1" x14ac:dyDescent="0.25">
      <c r="A1836" s="46" t="s">
        <v>236</v>
      </c>
      <c r="B1836" s="47">
        <v>42517</v>
      </c>
      <c r="C1836" s="46" t="s">
        <v>565</v>
      </c>
      <c r="D1836" s="46" t="str">
        <f t="shared" si="65"/>
        <v>Grocery</v>
      </c>
      <c r="E1836" s="46" t="s">
        <v>192</v>
      </c>
      <c r="F1836" s="46" t="s">
        <v>238</v>
      </c>
      <c r="G1836" s="46">
        <v>-33.19</v>
      </c>
      <c r="H1836" s="46">
        <f t="shared" si="63"/>
        <v>201605</v>
      </c>
      <c r="I1836" s="46">
        <f>MATCH(D1836,$O:$O,0)</f>
        <v>12</v>
      </c>
      <c r="J1836" s="46" t="s">
        <v>39</v>
      </c>
      <c r="K1836" s="46" t="s">
        <v>803</v>
      </c>
      <c r="L1836" s="46" t="s">
        <v>241</v>
      </c>
    </row>
    <row r="1837" spans="1:12" s="46" customFormat="1" x14ac:dyDescent="0.25">
      <c r="A1837" s="46" t="s">
        <v>236</v>
      </c>
      <c r="B1837" s="47">
        <v>42517</v>
      </c>
      <c r="C1837" s="46" t="s">
        <v>1275</v>
      </c>
      <c r="D1837" s="46" t="str">
        <f t="shared" si="65"/>
        <v>D-Restaurant</v>
      </c>
      <c r="E1837" s="46" t="s">
        <v>204</v>
      </c>
      <c r="F1837" s="46" t="s">
        <v>238</v>
      </c>
      <c r="G1837" s="46">
        <v>-47.96</v>
      </c>
      <c r="H1837" s="46">
        <f t="shared" si="63"/>
        <v>201605</v>
      </c>
      <c r="I1837" s="46">
        <f>MATCH(D1837,$O:$O,0)</f>
        <v>9</v>
      </c>
      <c r="J1837" s="46" t="s">
        <v>39</v>
      </c>
      <c r="K1837" s="46" t="s">
        <v>803</v>
      </c>
      <c r="L1837" s="46" t="s">
        <v>723</v>
      </c>
    </row>
    <row r="1838" spans="1:12" s="46" customFormat="1" x14ac:dyDescent="0.25">
      <c r="A1838" s="46" t="s">
        <v>236</v>
      </c>
      <c r="B1838" s="47">
        <v>42517</v>
      </c>
      <c r="C1838" s="46" t="s">
        <v>1282</v>
      </c>
      <c r="D1838" s="46" t="str">
        <f t="shared" si="65"/>
        <v>D-Travel</v>
      </c>
      <c r="E1838" s="46" t="s">
        <v>161</v>
      </c>
      <c r="F1838" s="46" t="s">
        <v>238</v>
      </c>
      <c r="G1838" s="46">
        <v>-30.32</v>
      </c>
      <c r="H1838" s="46">
        <f t="shared" si="63"/>
        <v>201605</v>
      </c>
      <c r="I1838" s="46">
        <f>MATCH(D1838,$O:$O,0)</f>
        <v>10</v>
      </c>
      <c r="J1838" s="46" t="s">
        <v>39</v>
      </c>
      <c r="K1838" s="46" t="s">
        <v>649</v>
      </c>
      <c r="L1838" s="46" t="s">
        <v>351</v>
      </c>
    </row>
    <row r="1839" spans="1:12" s="46" customFormat="1" x14ac:dyDescent="0.25">
      <c r="A1839" s="46" t="s">
        <v>236</v>
      </c>
      <c r="B1839" s="47">
        <v>42517</v>
      </c>
      <c r="C1839" s="46" t="s">
        <v>1282</v>
      </c>
      <c r="D1839" s="46" t="str">
        <f t="shared" si="65"/>
        <v>D-Travel</v>
      </c>
      <c r="E1839" s="46" t="s">
        <v>161</v>
      </c>
      <c r="F1839" s="46" t="s">
        <v>238</v>
      </c>
      <c r="G1839" s="46">
        <v>-1.36</v>
      </c>
      <c r="H1839" s="46">
        <f t="shared" si="63"/>
        <v>201605</v>
      </c>
      <c r="I1839" s="46">
        <f>MATCH(D1839,$O:$O,0)</f>
        <v>10</v>
      </c>
      <c r="J1839" s="46" t="s">
        <v>39</v>
      </c>
      <c r="K1839" s="46" t="s">
        <v>649</v>
      </c>
      <c r="L1839" s="46" t="s">
        <v>252</v>
      </c>
    </row>
    <row r="1840" spans="1:12" s="46" customFormat="1" x14ac:dyDescent="0.25">
      <c r="A1840" s="46" t="s">
        <v>236</v>
      </c>
      <c r="B1840" s="47">
        <v>42517</v>
      </c>
      <c r="C1840" s="46" t="s">
        <v>1284</v>
      </c>
      <c r="D1840" s="46" t="str">
        <f t="shared" si="65"/>
        <v>Home Maintainence/Improvement</v>
      </c>
      <c r="E1840" s="46" t="s">
        <v>342</v>
      </c>
      <c r="F1840" s="46" t="s">
        <v>238</v>
      </c>
      <c r="G1840" s="46">
        <v>-10.9</v>
      </c>
      <c r="H1840" s="46">
        <f t="shared" si="63"/>
        <v>201605</v>
      </c>
      <c r="I1840" s="46">
        <f>MATCH(D1840,$O:$O,0)</f>
        <v>16</v>
      </c>
      <c r="J1840" s="46" t="s">
        <v>39</v>
      </c>
      <c r="K1840" s="46" t="s">
        <v>649</v>
      </c>
      <c r="L1840" s="46" t="s">
        <v>1335</v>
      </c>
    </row>
    <row r="1841" spans="1:12" s="46" customFormat="1" x14ac:dyDescent="0.25">
      <c r="A1841" s="46" t="s">
        <v>236</v>
      </c>
      <c r="B1841" s="47">
        <v>42518</v>
      </c>
      <c r="C1841" s="46" t="s">
        <v>775</v>
      </c>
      <c r="D1841" s="46" t="str">
        <f t="shared" si="65"/>
        <v>Grocery</v>
      </c>
      <c r="E1841" s="46" t="s">
        <v>192</v>
      </c>
      <c r="F1841" s="46" t="s">
        <v>238</v>
      </c>
      <c r="G1841" s="46">
        <v>-38.65</v>
      </c>
      <c r="H1841" s="46">
        <f t="shared" si="63"/>
        <v>201605</v>
      </c>
      <c r="I1841" s="46">
        <f>MATCH(D1841,$O:$O,0)</f>
        <v>12</v>
      </c>
      <c r="J1841" s="46" t="s">
        <v>39</v>
      </c>
      <c r="K1841" s="46" t="s">
        <v>649</v>
      </c>
      <c r="L1841" s="46" t="s">
        <v>1337</v>
      </c>
    </row>
    <row r="1842" spans="1:12" s="46" customFormat="1" x14ac:dyDescent="0.25">
      <c r="A1842" s="46" t="s">
        <v>236</v>
      </c>
      <c r="B1842" s="47">
        <v>42518</v>
      </c>
      <c r="C1842" s="46" t="s">
        <v>1279</v>
      </c>
      <c r="D1842" s="46" t="str">
        <f t="shared" si="65"/>
        <v>Home Maintainence/Improvement</v>
      </c>
      <c r="E1842" s="46" t="s">
        <v>342</v>
      </c>
      <c r="F1842" s="46" t="s">
        <v>238</v>
      </c>
      <c r="G1842" s="46">
        <v>-20.82</v>
      </c>
      <c r="H1842" s="46">
        <f t="shared" si="63"/>
        <v>201605</v>
      </c>
      <c r="I1842" s="46">
        <f>MATCH(D1842,$O:$O,0)</f>
        <v>16</v>
      </c>
      <c r="J1842" s="46" t="s">
        <v>39</v>
      </c>
      <c r="K1842" s="46" t="s">
        <v>649</v>
      </c>
      <c r="L1842" s="46" t="s">
        <v>252</v>
      </c>
    </row>
    <row r="1843" spans="1:12" s="52" customFormat="1" x14ac:dyDescent="0.25">
      <c r="A1843" s="46" t="s">
        <v>236</v>
      </c>
      <c r="B1843" s="47">
        <v>42518</v>
      </c>
      <c r="C1843" s="46" t="s">
        <v>1280</v>
      </c>
      <c r="D1843" s="46" t="str">
        <f t="shared" si="65"/>
        <v>D-Restaurant</v>
      </c>
      <c r="E1843" s="46" t="s">
        <v>204</v>
      </c>
      <c r="F1843" s="46" t="s">
        <v>238</v>
      </c>
      <c r="G1843" s="46">
        <v>-10.4</v>
      </c>
      <c r="H1843" s="46">
        <f t="shared" si="63"/>
        <v>201605</v>
      </c>
      <c r="I1843" s="46">
        <f>MATCH(D1843,$O:$O,0)</f>
        <v>9</v>
      </c>
      <c r="J1843" s="52" t="s">
        <v>39</v>
      </c>
      <c r="K1843" s="52" t="s">
        <v>649</v>
      </c>
      <c r="L1843" s="52" t="s">
        <v>326</v>
      </c>
    </row>
    <row r="1844" spans="1:12" s="46" customFormat="1" x14ac:dyDescent="0.25">
      <c r="A1844" s="46" t="s">
        <v>236</v>
      </c>
      <c r="B1844" s="47">
        <v>42520</v>
      </c>
      <c r="C1844" s="46" t="s">
        <v>687</v>
      </c>
      <c r="D1844" s="46" t="str">
        <f t="shared" si="65"/>
        <v>Home Maintainence/Improvement</v>
      </c>
      <c r="E1844" s="46" t="s">
        <v>342</v>
      </c>
      <c r="F1844" s="46" t="s">
        <v>238</v>
      </c>
      <c r="G1844" s="46">
        <v>-107.91</v>
      </c>
      <c r="H1844" s="46">
        <f t="shared" si="63"/>
        <v>201605</v>
      </c>
      <c r="I1844" s="46">
        <f>MATCH(D1844,$O:$O,0)</f>
        <v>16</v>
      </c>
      <c r="J1844" s="46" t="s">
        <v>39</v>
      </c>
      <c r="K1844" s="46" t="s">
        <v>619</v>
      </c>
      <c r="L1844" s="46" t="s">
        <v>310</v>
      </c>
    </row>
    <row r="1845" spans="1:12" s="46" customFormat="1" x14ac:dyDescent="0.25">
      <c r="A1845" s="46" t="s">
        <v>236</v>
      </c>
      <c r="B1845" s="47">
        <v>42521</v>
      </c>
      <c r="C1845" s="46" t="s">
        <v>1277</v>
      </c>
      <c r="D1845" s="46" t="str">
        <f t="shared" si="65"/>
        <v>Gas</v>
      </c>
      <c r="E1845" s="46" t="s">
        <v>311</v>
      </c>
      <c r="F1845" s="46" t="s">
        <v>238</v>
      </c>
      <c r="G1845" s="46">
        <v>-32.979999999999997</v>
      </c>
      <c r="H1845" s="46">
        <f t="shared" si="63"/>
        <v>201605</v>
      </c>
      <c r="I1845" s="46">
        <f>MATCH(D1845,$O:$O,0)</f>
        <v>30</v>
      </c>
      <c r="J1845" s="46" t="s">
        <v>39</v>
      </c>
      <c r="K1845" s="46" t="s">
        <v>619</v>
      </c>
      <c r="L1845" s="46" t="s">
        <v>193</v>
      </c>
    </row>
    <row r="1846" spans="1:12" s="46" customFormat="1" x14ac:dyDescent="0.25">
      <c r="A1846" s="46" t="s">
        <v>236</v>
      </c>
      <c r="B1846" s="47">
        <v>42521</v>
      </c>
      <c r="C1846" s="46" t="s">
        <v>1078</v>
      </c>
      <c r="D1846" s="46" t="str">
        <f t="shared" si="65"/>
        <v>Paychecks/Salary</v>
      </c>
      <c r="E1846" s="46" t="s">
        <v>261</v>
      </c>
      <c r="F1846" s="46" t="s">
        <v>238</v>
      </c>
      <c r="G1846" s="46">
        <v>706.94</v>
      </c>
      <c r="H1846" s="46">
        <f t="shared" si="63"/>
        <v>201605</v>
      </c>
      <c r="I1846" s="46">
        <f>MATCH(D1846,$O:$O,0)</f>
        <v>40</v>
      </c>
      <c r="J1846" s="46" t="s">
        <v>39</v>
      </c>
      <c r="K1846" s="46" t="s">
        <v>619</v>
      </c>
      <c r="L1846" s="46" t="s">
        <v>193</v>
      </c>
    </row>
    <row r="1847" spans="1:12" s="46" customFormat="1" x14ac:dyDescent="0.25">
      <c r="A1847" s="46" t="s">
        <v>236</v>
      </c>
      <c r="B1847" s="47">
        <v>42521</v>
      </c>
      <c r="C1847" s="46" t="s">
        <v>1278</v>
      </c>
      <c r="D1847" s="46" t="str">
        <f t="shared" si="65"/>
        <v>Paychecks/Salary</v>
      </c>
      <c r="E1847" s="46" t="s">
        <v>375</v>
      </c>
      <c r="F1847" s="46" t="s">
        <v>238</v>
      </c>
      <c r="G1847" s="48">
        <v>3583.81</v>
      </c>
      <c r="H1847" s="46">
        <f t="shared" si="63"/>
        <v>201605</v>
      </c>
      <c r="I1847" s="46">
        <f>MATCH(D1847,$O:$O,0)</f>
        <v>40</v>
      </c>
      <c r="J1847" s="46" t="s">
        <v>39</v>
      </c>
      <c r="K1847" s="46" t="s">
        <v>619</v>
      </c>
      <c r="L1847" s="46" t="s">
        <v>248</v>
      </c>
    </row>
    <row r="1848" spans="1:12" s="46" customFormat="1" x14ac:dyDescent="0.25">
      <c r="A1848" s="46" t="s">
        <v>236</v>
      </c>
      <c r="B1848" s="47">
        <v>42521</v>
      </c>
      <c r="C1848" s="46" t="s">
        <v>1208</v>
      </c>
      <c r="D1848" s="46" t="str">
        <f t="shared" si="65"/>
        <v>Cell Phone</v>
      </c>
      <c r="E1848" s="46" t="s">
        <v>224</v>
      </c>
      <c r="F1848" s="46" t="s">
        <v>238</v>
      </c>
      <c r="G1848" s="46">
        <v>-177.85</v>
      </c>
      <c r="H1848" s="46">
        <f t="shared" si="63"/>
        <v>201605</v>
      </c>
      <c r="I1848" s="46">
        <f>MATCH(D1848,$O:$O,0)</f>
        <v>4</v>
      </c>
      <c r="J1848" s="46" t="s">
        <v>39</v>
      </c>
      <c r="K1848" s="46" t="s">
        <v>632</v>
      </c>
    </row>
    <row r="1849" spans="1:12" x14ac:dyDescent="0.25">
      <c r="A1849" s="55" t="s">
        <v>236</v>
      </c>
      <c r="B1849" s="56">
        <v>42527</v>
      </c>
      <c r="C1849" s="55" t="s">
        <v>1155</v>
      </c>
      <c r="D1849" s="55" t="str">
        <f t="shared" ref="D1849:D1880" si="66">IF(ISNA(VLOOKUP(E1849,$L$2:$M$26,2,FALSE)),E1849,VLOOKUP(E1849,$L$2:$M$26,2,FALSE))</f>
        <v>Car Related</v>
      </c>
      <c r="E1849" s="55" t="s">
        <v>185</v>
      </c>
      <c r="F1849" s="55" t="s">
        <v>238</v>
      </c>
      <c r="G1849" s="55">
        <v>-321.52</v>
      </c>
      <c r="H1849" s="55">
        <f t="shared" ref="H1849:H1880" si="67">YEAR(B1849)*100+MONTH(B1849)</f>
        <v>201606</v>
      </c>
      <c r="I1849" s="55">
        <f>MATCH(D1849,$O:$O,0)</f>
        <v>31</v>
      </c>
      <c r="J1849" s="55" t="s">
        <v>39</v>
      </c>
      <c r="K1849" s="55" t="s">
        <v>675</v>
      </c>
    </row>
    <row r="1850" spans="1:12" x14ac:dyDescent="0.25">
      <c r="A1850" s="55" t="s">
        <v>236</v>
      </c>
      <c r="B1850" s="56">
        <v>42543</v>
      </c>
      <c r="C1850" s="55" t="s">
        <v>1354</v>
      </c>
      <c r="D1850" s="55" t="str">
        <f t="shared" si="66"/>
        <v>Credit Card Payments</v>
      </c>
      <c r="E1850" s="55" t="s">
        <v>242</v>
      </c>
      <c r="F1850" s="55" t="s">
        <v>238</v>
      </c>
      <c r="G1850" s="55">
        <v>-148.82</v>
      </c>
      <c r="H1850" s="55">
        <f t="shared" si="67"/>
        <v>201606</v>
      </c>
      <c r="I1850" s="55">
        <f>MATCH(D1850,$O:$O,0)</f>
        <v>38</v>
      </c>
      <c r="J1850" s="55" t="s">
        <v>39</v>
      </c>
      <c r="K1850" s="55" t="s">
        <v>675</v>
      </c>
    </row>
    <row r="1851" spans="1:12" x14ac:dyDescent="0.25">
      <c r="A1851" s="55" t="s">
        <v>236</v>
      </c>
      <c r="B1851" s="56">
        <v>42543</v>
      </c>
      <c r="C1851" s="55" t="s">
        <v>1356</v>
      </c>
      <c r="D1851" s="55" t="str">
        <f t="shared" si="66"/>
        <v>Credit Card Payments</v>
      </c>
      <c r="E1851" s="55" t="s">
        <v>242</v>
      </c>
      <c r="F1851" s="55" t="s">
        <v>238</v>
      </c>
      <c r="G1851" s="57">
        <v>-3604.5</v>
      </c>
      <c r="H1851" s="55">
        <f t="shared" si="67"/>
        <v>201606</v>
      </c>
      <c r="I1851" s="55">
        <f>MATCH(D1851,$O:$O,0)</f>
        <v>38</v>
      </c>
      <c r="J1851" s="55" t="s">
        <v>39</v>
      </c>
      <c r="K1851" s="55" t="s">
        <v>675</v>
      </c>
    </row>
    <row r="1852" spans="1:12" x14ac:dyDescent="0.25">
      <c r="A1852" s="55" t="s">
        <v>236</v>
      </c>
      <c r="B1852" s="56">
        <v>42543</v>
      </c>
      <c r="C1852" s="55" t="s">
        <v>1357</v>
      </c>
      <c r="D1852" s="55" t="str">
        <f t="shared" si="66"/>
        <v>Credit Card Payments</v>
      </c>
      <c r="E1852" s="55" t="s">
        <v>242</v>
      </c>
      <c r="F1852" s="55" t="s">
        <v>238</v>
      </c>
      <c r="G1852" s="57">
        <v>-5000</v>
      </c>
      <c r="H1852" s="55">
        <f t="shared" si="67"/>
        <v>201606</v>
      </c>
      <c r="I1852" s="55">
        <f>MATCH(D1852,$O:$O,0)</f>
        <v>38</v>
      </c>
      <c r="J1852" s="55" t="s">
        <v>39</v>
      </c>
      <c r="K1852" s="55" t="s">
        <v>803</v>
      </c>
    </row>
    <row r="1853" spans="1:12" x14ac:dyDescent="0.25">
      <c r="A1853" s="55" t="s">
        <v>236</v>
      </c>
      <c r="B1853" s="56">
        <v>42543</v>
      </c>
      <c r="C1853" s="55" t="s">
        <v>845</v>
      </c>
      <c r="D1853" s="55" t="str">
        <f t="shared" si="66"/>
        <v>Credit Card Payments</v>
      </c>
      <c r="E1853" s="55" t="s">
        <v>242</v>
      </c>
      <c r="F1853" s="55" t="s">
        <v>238</v>
      </c>
      <c r="G1853" s="55">
        <v>148.82</v>
      </c>
      <c r="H1853" s="55">
        <f t="shared" si="67"/>
        <v>201606</v>
      </c>
      <c r="I1853" s="55">
        <f>MATCH(D1853,$O:$O,0)</f>
        <v>38</v>
      </c>
      <c r="J1853" s="55" t="s">
        <v>39</v>
      </c>
      <c r="K1853" s="55" t="s">
        <v>630</v>
      </c>
    </row>
    <row r="1854" spans="1:12" x14ac:dyDescent="0.25">
      <c r="A1854" s="55" t="s">
        <v>236</v>
      </c>
      <c r="B1854" s="56">
        <v>42543</v>
      </c>
      <c r="C1854" s="55" t="s">
        <v>557</v>
      </c>
      <c r="D1854" s="55" t="str">
        <f t="shared" si="66"/>
        <v>Credit Card Payments</v>
      </c>
      <c r="E1854" s="55" t="s">
        <v>242</v>
      </c>
      <c r="F1854" s="55" t="s">
        <v>238</v>
      </c>
      <c r="G1854" s="57">
        <v>5000</v>
      </c>
      <c r="H1854" s="55">
        <f t="shared" si="67"/>
        <v>201606</v>
      </c>
      <c r="I1854" s="55">
        <f>MATCH(D1854,$O:$O,0)</f>
        <v>38</v>
      </c>
      <c r="J1854" s="55" t="s">
        <v>39</v>
      </c>
      <c r="K1854" s="55" t="s">
        <v>649</v>
      </c>
    </row>
    <row r="1855" spans="1:12" x14ac:dyDescent="0.25">
      <c r="A1855" s="55" t="s">
        <v>236</v>
      </c>
      <c r="B1855" s="56">
        <v>42543</v>
      </c>
      <c r="C1855" s="55" t="s">
        <v>845</v>
      </c>
      <c r="D1855" s="55" t="str">
        <f t="shared" si="66"/>
        <v>Credit Card Payments</v>
      </c>
      <c r="E1855" s="55" t="s">
        <v>242</v>
      </c>
      <c r="F1855" s="55" t="s">
        <v>238</v>
      </c>
      <c r="G1855" s="57">
        <v>3604.5</v>
      </c>
      <c r="H1855" s="55">
        <f t="shared" si="67"/>
        <v>201606</v>
      </c>
      <c r="I1855" s="55">
        <f>MATCH(D1855,$O:$O,0)</f>
        <v>38</v>
      </c>
      <c r="J1855" s="55" t="s">
        <v>39</v>
      </c>
      <c r="K1855" s="55" t="s">
        <v>649</v>
      </c>
    </row>
    <row r="1856" spans="1:12" x14ac:dyDescent="0.25">
      <c r="A1856" s="55" t="s">
        <v>236</v>
      </c>
      <c r="B1856" s="56">
        <v>42523</v>
      </c>
      <c r="C1856" s="55" t="s">
        <v>1392</v>
      </c>
      <c r="D1856" s="55" t="str">
        <f t="shared" si="66"/>
        <v>Credit Card Payments</v>
      </c>
      <c r="E1856" s="55" t="s">
        <v>242</v>
      </c>
      <c r="F1856" s="55" t="s">
        <v>238</v>
      </c>
      <c r="G1856" s="55">
        <v>-511.34</v>
      </c>
      <c r="H1856" s="55">
        <f t="shared" si="67"/>
        <v>201606</v>
      </c>
      <c r="I1856" s="55">
        <f>MATCH(D1856,$O:$O,0)</f>
        <v>38</v>
      </c>
      <c r="J1856" s="55" t="s">
        <v>39</v>
      </c>
      <c r="K1856" s="55" t="s">
        <v>803</v>
      </c>
    </row>
    <row r="1857" spans="1:11" x14ac:dyDescent="0.25">
      <c r="A1857" s="55" t="s">
        <v>236</v>
      </c>
      <c r="B1857" s="56">
        <v>42523</v>
      </c>
      <c r="C1857" s="55" t="s">
        <v>435</v>
      </c>
      <c r="D1857" s="55" t="str">
        <f t="shared" si="66"/>
        <v>Credit Card Payments</v>
      </c>
      <c r="E1857" s="55" t="s">
        <v>242</v>
      </c>
      <c r="F1857" s="55" t="s">
        <v>238</v>
      </c>
      <c r="G1857" s="55">
        <v>511.34</v>
      </c>
      <c r="H1857" s="55">
        <f t="shared" si="67"/>
        <v>201606</v>
      </c>
      <c r="I1857" s="55">
        <f>MATCH(D1857,$O:$O,0)</f>
        <v>38</v>
      </c>
      <c r="J1857" s="55" t="s">
        <v>39</v>
      </c>
      <c r="K1857" s="55" t="s">
        <v>1347</v>
      </c>
    </row>
    <row r="1858" spans="1:11" x14ac:dyDescent="0.25">
      <c r="A1858" s="55" t="s">
        <v>236</v>
      </c>
      <c r="B1858" s="56">
        <v>42523</v>
      </c>
      <c r="C1858" s="55" t="s">
        <v>435</v>
      </c>
      <c r="D1858" s="55" t="str">
        <f t="shared" si="66"/>
        <v>Credit Card Payments</v>
      </c>
      <c r="E1858" s="55" t="s">
        <v>242</v>
      </c>
      <c r="F1858" s="55" t="s">
        <v>238</v>
      </c>
      <c r="G1858" s="55">
        <v>511.34</v>
      </c>
      <c r="H1858" s="55">
        <f t="shared" si="67"/>
        <v>201606</v>
      </c>
      <c r="I1858" s="55">
        <f>MATCH(D1858,$O:$O,0)</f>
        <v>38</v>
      </c>
      <c r="J1858" s="55" t="s">
        <v>39</v>
      </c>
      <c r="K1858" s="55" t="s">
        <v>619</v>
      </c>
    </row>
    <row r="1859" spans="1:11" x14ac:dyDescent="0.25">
      <c r="A1859" s="55" t="s">
        <v>236</v>
      </c>
      <c r="B1859" s="56">
        <v>42541</v>
      </c>
      <c r="C1859" s="55" t="s">
        <v>1363</v>
      </c>
      <c r="D1859" s="55" t="str">
        <f t="shared" si="66"/>
        <v>D-Activities</v>
      </c>
      <c r="E1859" s="55" t="s">
        <v>126</v>
      </c>
      <c r="F1859" s="55" t="s">
        <v>238</v>
      </c>
      <c r="G1859" s="55">
        <v>-80</v>
      </c>
      <c r="H1859" s="55">
        <f t="shared" si="67"/>
        <v>201606</v>
      </c>
      <c r="I1859" s="55">
        <f>MATCH(D1859,$O:$O,0)</f>
        <v>6</v>
      </c>
      <c r="J1859" s="55" t="s">
        <v>39</v>
      </c>
      <c r="K1859" s="55" t="s">
        <v>649</v>
      </c>
    </row>
    <row r="1860" spans="1:11" x14ac:dyDescent="0.25">
      <c r="A1860" s="55" t="s">
        <v>236</v>
      </c>
      <c r="B1860" s="56">
        <v>42544</v>
      </c>
      <c r="C1860" s="55" t="s">
        <v>509</v>
      </c>
      <c r="D1860" s="55" t="str">
        <f t="shared" si="66"/>
        <v>D-Coffee</v>
      </c>
      <c r="E1860" s="55" t="s">
        <v>215</v>
      </c>
      <c r="F1860" s="55" t="s">
        <v>238</v>
      </c>
      <c r="G1860" s="55">
        <v>-6.6</v>
      </c>
      <c r="H1860" s="55">
        <f t="shared" si="67"/>
        <v>201606</v>
      </c>
      <c r="I1860" s="55">
        <f>MATCH(D1860,$O:$O,0)</f>
        <v>7</v>
      </c>
      <c r="J1860" s="55" t="s">
        <v>39</v>
      </c>
      <c r="K1860" s="55" t="s">
        <v>649</v>
      </c>
    </row>
    <row r="1861" spans="1:11" x14ac:dyDescent="0.25">
      <c r="A1861" s="55" t="s">
        <v>236</v>
      </c>
      <c r="B1861" s="56">
        <v>42537</v>
      </c>
      <c r="C1861" s="55" t="s">
        <v>1376</v>
      </c>
      <c r="D1861" s="55" t="str">
        <f t="shared" si="66"/>
        <v>D-Coffee</v>
      </c>
      <c r="E1861" s="55" t="s">
        <v>215</v>
      </c>
      <c r="F1861" s="55" t="s">
        <v>238</v>
      </c>
      <c r="G1861" s="55">
        <v>-5.59</v>
      </c>
      <c r="H1861" s="55">
        <f t="shared" si="67"/>
        <v>201606</v>
      </c>
      <c r="I1861" s="55">
        <f>MATCH(D1861,$O:$O,0)</f>
        <v>7</v>
      </c>
      <c r="J1861" s="55" t="s">
        <v>39</v>
      </c>
      <c r="K1861" s="55" t="s">
        <v>649</v>
      </c>
    </row>
    <row r="1862" spans="1:11" x14ac:dyDescent="0.25">
      <c r="A1862" s="55" t="s">
        <v>1345</v>
      </c>
      <c r="B1862" s="56">
        <v>42551</v>
      </c>
      <c r="C1862" s="55" t="s">
        <v>1346</v>
      </c>
      <c r="D1862" s="55" t="str">
        <f t="shared" si="66"/>
        <v>D-Restaurant</v>
      </c>
      <c r="E1862" s="55" t="s">
        <v>204</v>
      </c>
      <c r="F1862" s="55" t="s">
        <v>238</v>
      </c>
      <c r="G1862" s="55">
        <v>-8.27</v>
      </c>
      <c r="H1862" s="55">
        <f t="shared" si="67"/>
        <v>201606</v>
      </c>
      <c r="I1862" s="55">
        <f>MATCH(D1862,$O:$O,0)</f>
        <v>9</v>
      </c>
      <c r="J1862" s="55" t="s">
        <v>39</v>
      </c>
      <c r="K1862" s="55" t="s">
        <v>1347</v>
      </c>
    </row>
    <row r="1863" spans="1:11" x14ac:dyDescent="0.25">
      <c r="A1863" s="55" t="s">
        <v>236</v>
      </c>
      <c r="B1863" s="56">
        <v>42550</v>
      </c>
      <c r="C1863" s="55" t="s">
        <v>1349</v>
      </c>
      <c r="D1863" s="55" t="str">
        <f t="shared" si="66"/>
        <v>D-Restaurant</v>
      </c>
      <c r="E1863" s="55" t="s">
        <v>204</v>
      </c>
      <c r="F1863" s="55" t="s">
        <v>238</v>
      </c>
      <c r="G1863" s="55">
        <v>-4.6500000000000004</v>
      </c>
      <c r="H1863" s="55">
        <f t="shared" si="67"/>
        <v>201606</v>
      </c>
      <c r="I1863" s="55">
        <f>MATCH(D1863,$O:$O,0)</f>
        <v>9</v>
      </c>
      <c r="J1863" s="55" t="s">
        <v>39</v>
      </c>
      <c r="K1863" s="55" t="s">
        <v>1347</v>
      </c>
    </row>
    <row r="1864" spans="1:11" x14ac:dyDescent="0.25">
      <c r="A1864" s="55" t="s">
        <v>236</v>
      </c>
      <c r="B1864" s="56">
        <v>42545</v>
      </c>
      <c r="C1864" s="55" t="s">
        <v>1349</v>
      </c>
      <c r="D1864" s="55" t="str">
        <f t="shared" si="66"/>
        <v>D-Restaurant</v>
      </c>
      <c r="E1864" s="55" t="s">
        <v>204</v>
      </c>
      <c r="F1864" s="55" t="s">
        <v>238</v>
      </c>
      <c r="G1864" s="55">
        <v>-4.3499999999999996</v>
      </c>
      <c r="H1864" s="55">
        <f t="shared" si="67"/>
        <v>201606</v>
      </c>
      <c r="I1864" s="55">
        <f>MATCH(D1864,$O:$O,0)</f>
        <v>9</v>
      </c>
      <c r="J1864" s="55" t="s">
        <v>39</v>
      </c>
      <c r="K1864" s="55" t="s">
        <v>1347</v>
      </c>
    </row>
    <row r="1865" spans="1:11" x14ac:dyDescent="0.25">
      <c r="A1865" s="55" t="s">
        <v>236</v>
      </c>
      <c r="B1865" s="56">
        <v>42545</v>
      </c>
      <c r="C1865" s="55" t="s">
        <v>1063</v>
      </c>
      <c r="D1865" s="55" t="str">
        <f t="shared" si="66"/>
        <v>D-Restaurant</v>
      </c>
      <c r="E1865" s="55" t="s">
        <v>204</v>
      </c>
      <c r="F1865" s="55" t="s">
        <v>238</v>
      </c>
      <c r="G1865" s="55">
        <v>-4.55</v>
      </c>
      <c r="H1865" s="55">
        <f t="shared" si="67"/>
        <v>201606</v>
      </c>
      <c r="I1865" s="55">
        <f>MATCH(D1865,$O:$O,0)</f>
        <v>9</v>
      </c>
      <c r="J1865" s="55" t="s">
        <v>39</v>
      </c>
      <c r="K1865" s="55" t="s">
        <v>649</v>
      </c>
    </row>
    <row r="1866" spans="1:11" x14ac:dyDescent="0.25">
      <c r="A1866" s="55" t="s">
        <v>236</v>
      </c>
      <c r="B1866" s="56">
        <v>42541</v>
      </c>
      <c r="C1866" s="55" t="s">
        <v>1368</v>
      </c>
      <c r="D1866" s="55" t="str">
        <f t="shared" si="66"/>
        <v>D-Restaurant</v>
      </c>
      <c r="E1866" s="55" t="s">
        <v>204</v>
      </c>
      <c r="F1866" s="55" t="s">
        <v>238</v>
      </c>
      <c r="G1866" s="55">
        <v>-30.34</v>
      </c>
      <c r="H1866" s="55">
        <f t="shared" si="67"/>
        <v>201606</v>
      </c>
      <c r="I1866" s="55">
        <f>MATCH(D1866,$O:$O,0)</f>
        <v>9</v>
      </c>
      <c r="J1866" s="55" t="s">
        <v>39</v>
      </c>
      <c r="K1866" s="55" t="s">
        <v>649</v>
      </c>
    </row>
    <row r="1867" spans="1:11" x14ac:dyDescent="0.25">
      <c r="A1867" s="55" t="s">
        <v>236</v>
      </c>
      <c r="B1867" s="56">
        <v>42539</v>
      </c>
      <c r="C1867" s="55" t="s">
        <v>1370</v>
      </c>
      <c r="D1867" s="55" t="str">
        <f t="shared" si="66"/>
        <v>D-Restaurant</v>
      </c>
      <c r="E1867" s="55" t="s">
        <v>204</v>
      </c>
      <c r="F1867" s="55" t="s">
        <v>238</v>
      </c>
      <c r="G1867" s="55">
        <v>-105</v>
      </c>
      <c r="H1867" s="55">
        <f t="shared" si="67"/>
        <v>201606</v>
      </c>
      <c r="I1867" s="55">
        <f>MATCH(D1867,$O:$O,0)</f>
        <v>9</v>
      </c>
      <c r="J1867" s="55" t="s">
        <v>39</v>
      </c>
      <c r="K1867" s="55" t="s">
        <v>649</v>
      </c>
    </row>
    <row r="1868" spans="1:11" x14ac:dyDescent="0.25">
      <c r="A1868" s="55" t="s">
        <v>236</v>
      </c>
      <c r="B1868" s="56">
        <v>42539</v>
      </c>
      <c r="C1868" s="55" t="s">
        <v>1371</v>
      </c>
      <c r="D1868" s="55" t="str">
        <f t="shared" si="66"/>
        <v>D-Restaurant</v>
      </c>
      <c r="E1868" s="55" t="s">
        <v>204</v>
      </c>
      <c r="F1868" s="55" t="s">
        <v>238</v>
      </c>
      <c r="G1868" s="55">
        <v>-110</v>
      </c>
      <c r="H1868" s="55">
        <f t="shared" si="67"/>
        <v>201606</v>
      </c>
      <c r="I1868" s="55">
        <f>MATCH(D1868,$O:$O,0)</f>
        <v>9</v>
      </c>
      <c r="J1868" s="55" t="s">
        <v>39</v>
      </c>
      <c r="K1868" s="55" t="s">
        <v>649</v>
      </c>
    </row>
    <row r="1869" spans="1:11" x14ac:dyDescent="0.25">
      <c r="A1869" s="55" t="s">
        <v>236</v>
      </c>
      <c r="B1869" s="56">
        <v>42536</v>
      </c>
      <c r="C1869" s="55" t="s">
        <v>681</v>
      </c>
      <c r="D1869" s="55" t="str">
        <f t="shared" si="66"/>
        <v>D-Restaurant</v>
      </c>
      <c r="E1869" s="55" t="s">
        <v>204</v>
      </c>
      <c r="F1869" s="55" t="s">
        <v>238</v>
      </c>
      <c r="G1869" s="55">
        <v>-9.7899999999999991</v>
      </c>
      <c r="H1869" s="55">
        <f t="shared" si="67"/>
        <v>201606</v>
      </c>
      <c r="I1869" s="55">
        <f>MATCH(D1869,$O:$O,0)</f>
        <v>9</v>
      </c>
      <c r="J1869" s="55" t="s">
        <v>39</v>
      </c>
      <c r="K1869" s="55" t="s">
        <v>649</v>
      </c>
    </row>
    <row r="1870" spans="1:11" x14ac:dyDescent="0.25">
      <c r="A1870" s="55" t="s">
        <v>236</v>
      </c>
      <c r="B1870" s="56">
        <v>42535</v>
      </c>
      <c r="C1870" s="55" t="s">
        <v>1380</v>
      </c>
      <c r="D1870" s="55" t="str">
        <f t="shared" si="66"/>
        <v>D-Restaurant</v>
      </c>
      <c r="E1870" s="55" t="s">
        <v>204</v>
      </c>
      <c r="F1870" s="55" t="s">
        <v>238</v>
      </c>
      <c r="G1870" s="55">
        <v>-8.3800000000000008</v>
      </c>
      <c r="H1870" s="55">
        <f t="shared" si="67"/>
        <v>201606</v>
      </c>
      <c r="I1870" s="55">
        <f>MATCH(D1870,$O:$O,0)</f>
        <v>9</v>
      </c>
      <c r="J1870" s="55" t="s">
        <v>39</v>
      </c>
      <c r="K1870" s="55" t="s">
        <v>649</v>
      </c>
    </row>
    <row r="1871" spans="1:11" x14ac:dyDescent="0.25">
      <c r="A1871" s="55" t="s">
        <v>236</v>
      </c>
      <c r="B1871" s="56">
        <v>42535</v>
      </c>
      <c r="C1871" s="55" t="s">
        <v>1381</v>
      </c>
      <c r="D1871" s="55" t="str">
        <f t="shared" si="66"/>
        <v>D-Restaurant</v>
      </c>
      <c r="E1871" s="55" t="s">
        <v>204</v>
      </c>
      <c r="F1871" s="55" t="s">
        <v>238</v>
      </c>
      <c r="G1871" s="55">
        <v>-95</v>
      </c>
      <c r="H1871" s="55">
        <f t="shared" si="67"/>
        <v>201606</v>
      </c>
      <c r="I1871" s="55">
        <f>MATCH(D1871,$O:$O,0)</f>
        <v>9</v>
      </c>
      <c r="J1871" s="55" t="s">
        <v>39</v>
      </c>
      <c r="K1871" s="55" t="s">
        <v>649</v>
      </c>
    </row>
    <row r="1872" spans="1:11" x14ac:dyDescent="0.25">
      <c r="A1872" s="55" t="s">
        <v>236</v>
      </c>
      <c r="B1872" s="56">
        <v>42534</v>
      </c>
      <c r="C1872" s="55" t="s">
        <v>1383</v>
      </c>
      <c r="D1872" s="55" t="str">
        <f t="shared" si="66"/>
        <v>D-Restaurant</v>
      </c>
      <c r="E1872" s="55" t="s">
        <v>204</v>
      </c>
      <c r="F1872" s="55" t="s">
        <v>238</v>
      </c>
      <c r="G1872" s="55">
        <v>-6.22</v>
      </c>
      <c r="H1872" s="55">
        <f t="shared" si="67"/>
        <v>201606</v>
      </c>
      <c r="I1872" s="55">
        <f>MATCH(D1872,$O:$O,0)</f>
        <v>9</v>
      </c>
      <c r="J1872" s="55" t="s">
        <v>39</v>
      </c>
      <c r="K1872" s="55" t="s">
        <v>649</v>
      </c>
    </row>
    <row r="1873" spans="1:11" x14ac:dyDescent="0.25">
      <c r="A1873" s="55" t="s">
        <v>236</v>
      </c>
      <c r="B1873" s="56">
        <v>42532</v>
      </c>
      <c r="C1873" s="55" t="s">
        <v>1387</v>
      </c>
      <c r="D1873" s="55" t="str">
        <f t="shared" si="66"/>
        <v>D-Restaurant</v>
      </c>
      <c r="E1873" s="55" t="s">
        <v>204</v>
      </c>
      <c r="F1873" s="55" t="s">
        <v>238</v>
      </c>
      <c r="G1873" s="55">
        <v>-9.18</v>
      </c>
      <c r="H1873" s="55">
        <f t="shared" si="67"/>
        <v>201606</v>
      </c>
      <c r="I1873" s="55">
        <f>MATCH(D1873,$O:$O,0)</f>
        <v>9</v>
      </c>
      <c r="J1873" s="55" t="s">
        <v>39</v>
      </c>
      <c r="K1873" s="55" t="s">
        <v>649</v>
      </c>
    </row>
    <row r="1874" spans="1:11" x14ac:dyDescent="0.25">
      <c r="A1874" s="55" t="s">
        <v>236</v>
      </c>
      <c r="B1874" s="56">
        <v>42530</v>
      </c>
      <c r="C1874" s="55" t="s">
        <v>1063</v>
      </c>
      <c r="D1874" s="55" t="str">
        <f t="shared" si="66"/>
        <v>D-Restaurant</v>
      </c>
      <c r="E1874" s="55" t="s">
        <v>204</v>
      </c>
      <c r="F1874" s="55" t="s">
        <v>238</v>
      </c>
      <c r="G1874" s="55">
        <v>-8.1999999999999993</v>
      </c>
      <c r="H1874" s="55">
        <f t="shared" si="67"/>
        <v>201606</v>
      </c>
      <c r="I1874" s="55">
        <f>MATCH(D1874,$O:$O,0)</f>
        <v>9</v>
      </c>
      <c r="J1874" s="55" t="s">
        <v>39</v>
      </c>
      <c r="K1874" s="55" t="s">
        <v>649</v>
      </c>
    </row>
    <row r="1875" spans="1:11" x14ac:dyDescent="0.25">
      <c r="A1875" s="55" t="s">
        <v>236</v>
      </c>
      <c r="B1875" s="56">
        <v>42529</v>
      </c>
      <c r="C1875" s="55" t="s">
        <v>685</v>
      </c>
      <c r="D1875" s="55" t="str">
        <f t="shared" si="66"/>
        <v>D-Restaurant</v>
      </c>
      <c r="E1875" s="55" t="s">
        <v>204</v>
      </c>
      <c r="F1875" s="55" t="s">
        <v>238</v>
      </c>
      <c r="G1875" s="55">
        <v>-7.18</v>
      </c>
      <c r="H1875" s="55">
        <f t="shared" si="67"/>
        <v>201606</v>
      </c>
      <c r="I1875" s="55">
        <f>MATCH(D1875,$O:$O,0)</f>
        <v>9</v>
      </c>
      <c r="J1875" s="55" t="s">
        <v>39</v>
      </c>
      <c r="K1875" s="55" t="s">
        <v>649</v>
      </c>
    </row>
    <row r="1876" spans="1:11" x14ac:dyDescent="0.25">
      <c r="A1876" s="55" t="s">
        <v>236</v>
      </c>
      <c r="B1876" s="56">
        <v>42529</v>
      </c>
      <c r="C1876" s="55" t="s">
        <v>1063</v>
      </c>
      <c r="D1876" s="55" t="str">
        <f t="shared" si="66"/>
        <v>D-Restaurant</v>
      </c>
      <c r="E1876" s="55" t="s">
        <v>204</v>
      </c>
      <c r="F1876" s="55" t="s">
        <v>238</v>
      </c>
      <c r="G1876" s="55">
        <v>-8.1999999999999993</v>
      </c>
      <c r="H1876" s="55">
        <f t="shared" si="67"/>
        <v>201606</v>
      </c>
      <c r="I1876" s="55">
        <f>MATCH(D1876,$O:$O,0)</f>
        <v>9</v>
      </c>
      <c r="J1876" s="55" t="s">
        <v>39</v>
      </c>
      <c r="K1876" s="55" t="s">
        <v>649</v>
      </c>
    </row>
    <row r="1877" spans="1:11" x14ac:dyDescent="0.25">
      <c r="A1877" s="55" t="s">
        <v>236</v>
      </c>
      <c r="B1877" s="56">
        <v>42527</v>
      </c>
      <c r="C1877" s="55" t="s">
        <v>685</v>
      </c>
      <c r="D1877" s="55" t="str">
        <f t="shared" si="66"/>
        <v>D-Restaurant</v>
      </c>
      <c r="E1877" s="55" t="s">
        <v>204</v>
      </c>
      <c r="F1877" s="55" t="s">
        <v>238</v>
      </c>
      <c r="G1877" s="55">
        <v>-7.18</v>
      </c>
      <c r="H1877" s="55">
        <f t="shared" si="67"/>
        <v>201606</v>
      </c>
      <c r="I1877" s="55">
        <f>MATCH(D1877,$O:$O,0)</f>
        <v>9</v>
      </c>
      <c r="J1877" s="55" t="s">
        <v>39</v>
      </c>
      <c r="K1877" s="55" t="s">
        <v>649</v>
      </c>
    </row>
    <row r="1878" spans="1:11" x14ac:dyDescent="0.25">
      <c r="A1878" s="55" t="s">
        <v>236</v>
      </c>
      <c r="B1878" s="56">
        <v>42527</v>
      </c>
      <c r="C1878" s="55" t="s">
        <v>1391</v>
      </c>
      <c r="D1878" s="55" t="str">
        <f t="shared" si="66"/>
        <v>D-Restaurant</v>
      </c>
      <c r="E1878" s="55" t="s">
        <v>204</v>
      </c>
      <c r="F1878" s="55" t="s">
        <v>238</v>
      </c>
      <c r="G1878" s="55">
        <v>-27.48</v>
      </c>
      <c r="H1878" s="55">
        <f t="shared" si="67"/>
        <v>201606</v>
      </c>
      <c r="I1878" s="55">
        <f>MATCH(D1878,$O:$O,0)</f>
        <v>9</v>
      </c>
      <c r="J1878" s="55" t="s">
        <v>39</v>
      </c>
      <c r="K1878" s="55" t="s">
        <v>649</v>
      </c>
    </row>
    <row r="1879" spans="1:11" x14ac:dyDescent="0.25">
      <c r="A1879" s="55" t="s">
        <v>236</v>
      </c>
      <c r="B1879" s="56">
        <v>42524</v>
      </c>
      <c r="C1879" s="55" t="s">
        <v>1063</v>
      </c>
      <c r="D1879" s="55" t="str">
        <f t="shared" si="66"/>
        <v>D-Restaurant</v>
      </c>
      <c r="E1879" s="55" t="s">
        <v>204</v>
      </c>
      <c r="F1879" s="55" t="s">
        <v>238</v>
      </c>
      <c r="G1879" s="55">
        <v>-8.1999999999999993</v>
      </c>
      <c r="H1879" s="55">
        <f t="shared" si="67"/>
        <v>201606</v>
      </c>
      <c r="I1879" s="55">
        <f>MATCH(D1879,$O:$O,0)</f>
        <v>9</v>
      </c>
      <c r="J1879" s="55" t="s">
        <v>39</v>
      </c>
      <c r="K1879" s="55" t="s">
        <v>649</v>
      </c>
    </row>
    <row r="1880" spans="1:11" x14ac:dyDescent="0.25">
      <c r="A1880" s="55" t="s">
        <v>236</v>
      </c>
      <c r="B1880" s="56">
        <v>42522</v>
      </c>
      <c r="C1880" s="55" t="s">
        <v>1393</v>
      </c>
      <c r="D1880" s="55" t="str">
        <f t="shared" si="66"/>
        <v>D-Restaurant</v>
      </c>
      <c r="E1880" s="55" t="s">
        <v>204</v>
      </c>
      <c r="F1880" s="55" t="s">
        <v>238</v>
      </c>
      <c r="G1880" s="55">
        <v>-2.72</v>
      </c>
      <c r="H1880" s="55">
        <f t="shared" si="67"/>
        <v>201606</v>
      </c>
      <c r="I1880" s="55">
        <f>MATCH(D1880,$O:$O,0)</f>
        <v>9</v>
      </c>
      <c r="J1880" s="55" t="s">
        <v>39</v>
      </c>
      <c r="K1880" s="55" t="s">
        <v>649</v>
      </c>
    </row>
    <row r="1881" spans="1:11" x14ac:dyDescent="0.25">
      <c r="A1881" s="55" t="s">
        <v>236</v>
      </c>
      <c r="B1881" s="56">
        <v>42522</v>
      </c>
      <c r="C1881" s="55" t="s">
        <v>479</v>
      </c>
      <c r="D1881" s="55" t="str">
        <f t="shared" ref="D1881:D1912" si="68">IF(ISNA(VLOOKUP(E1881,$L$2:$M$26,2,FALSE)),E1881,VLOOKUP(E1881,$L$2:$M$26,2,FALSE))</f>
        <v>D-Restaurant</v>
      </c>
      <c r="E1881" s="55" t="s">
        <v>204</v>
      </c>
      <c r="F1881" s="55" t="s">
        <v>238</v>
      </c>
      <c r="G1881" s="55">
        <v>-53.87</v>
      </c>
      <c r="H1881" s="55">
        <f t="shared" ref="H1881:H1912" si="69">YEAR(B1881)*100+MONTH(B1881)</f>
        <v>201606</v>
      </c>
      <c r="I1881" s="55">
        <f>MATCH(D1881,$O:$O,0)</f>
        <v>9</v>
      </c>
      <c r="J1881" s="55" t="s">
        <v>39</v>
      </c>
      <c r="K1881" s="55" t="s">
        <v>649</v>
      </c>
    </row>
    <row r="1882" spans="1:11" x14ac:dyDescent="0.25">
      <c r="A1882" s="55" t="s">
        <v>236</v>
      </c>
      <c r="B1882" s="56">
        <v>42522</v>
      </c>
      <c r="C1882" s="55" t="s">
        <v>575</v>
      </c>
      <c r="D1882" s="55" t="str">
        <f t="shared" si="68"/>
        <v>D-Restaurant</v>
      </c>
      <c r="E1882" s="55" t="s">
        <v>204</v>
      </c>
      <c r="F1882" s="55" t="s">
        <v>238</v>
      </c>
      <c r="G1882" s="55">
        <v>-8.1999999999999993</v>
      </c>
      <c r="H1882" s="55">
        <f t="shared" si="69"/>
        <v>201606</v>
      </c>
      <c r="I1882" s="55">
        <f>MATCH(D1882,$O:$O,0)</f>
        <v>9</v>
      </c>
      <c r="J1882" s="55" t="s">
        <v>39</v>
      </c>
      <c r="K1882" s="55" t="s">
        <v>649</v>
      </c>
    </row>
    <row r="1883" spans="1:11" x14ac:dyDescent="0.25">
      <c r="A1883" s="55" t="s">
        <v>236</v>
      </c>
      <c r="B1883" s="56">
        <v>42537</v>
      </c>
      <c r="C1883" s="55" t="s">
        <v>1375</v>
      </c>
      <c r="D1883" s="55" t="str">
        <f t="shared" si="68"/>
        <v>D-Travel</v>
      </c>
      <c r="E1883" s="55" t="s">
        <v>161</v>
      </c>
      <c r="F1883" s="55" t="s">
        <v>238</v>
      </c>
      <c r="G1883" s="55">
        <v>-30</v>
      </c>
      <c r="H1883" s="55">
        <f t="shared" si="69"/>
        <v>201606</v>
      </c>
      <c r="I1883" s="55">
        <f>MATCH(D1883,$O:$O,0)</f>
        <v>10</v>
      </c>
      <c r="J1883" s="55" t="s">
        <v>39</v>
      </c>
      <c r="K1883" s="55" t="s">
        <v>649</v>
      </c>
    </row>
    <row r="1884" spans="1:11" x14ac:dyDescent="0.25">
      <c r="A1884" s="55" t="s">
        <v>236</v>
      </c>
      <c r="B1884" s="56">
        <v>42534</v>
      </c>
      <c r="C1884" s="55" t="s">
        <v>1382</v>
      </c>
      <c r="D1884" s="55" t="str">
        <f t="shared" si="68"/>
        <v>D-Travel</v>
      </c>
      <c r="E1884" s="55" t="s">
        <v>161</v>
      </c>
      <c r="F1884" s="55" t="s">
        <v>238</v>
      </c>
      <c r="G1884" s="55">
        <v>-15</v>
      </c>
      <c r="H1884" s="55">
        <f t="shared" si="69"/>
        <v>201606</v>
      </c>
      <c r="I1884" s="55">
        <f>MATCH(D1884,$O:$O,0)</f>
        <v>10</v>
      </c>
      <c r="J1884" s="55" t="s">
        <v>39</v>
      </c>
      <c r="K1884" s="55" t="s">
        <v>649</v>
      </c>
    </row>
    <row r="1885" spans="1:11" x14ac:dyDescent="0.25">
      <c r="A1885" s="55" t="s">
        <v>236</v>
      </c>
      <c r="B1885" s="56">
        <v>42550</v>
      </c>
      <c r="C1885" s="55" t="s">
        <v>1348</v>
      </c>
      <c r="D1885" s="55" t="str">
        <f t="shared" si="68"/>
        <v>Gas</v>
      </c>
      <c r="E1885" s="55" t="s">
        <v>311</v>
      </c>
      <c r="F1885" s="55" t="s">
        <v>238</v>
      </c>
      <c r="G1885" s="55">
        <v>-29.19</v>
      </c>
      <c r="H1885" s="55">
        <f t="shared" si="69"/>
        <v>201606</v>
      </c>
      <c r="I1885" s="55">
        <f>MATCH(D1885,$O:$O,0)</f>
        <v>30</v>
      </c>
      <c r="J1885" s="55" t="s">
        <v>39</v>
      </c>
      <c r="K1885" s="55" t="s">
        <v>1347</v>
      </c>
    </row>
    <row r="1886" spans="1:11" x14ac:dyDescent="0.25">
      <c r="A1886" s="55" t="s">
        <v>236</v>
      </c>
      <c r="B1886" s="56">
        <v>42545</v>
      </c>
      <c r="C1886" s="55" t="s">
        <v>1348</v>
      </c>
      <c r="D1886" s="55" t="str">
        <f t="shared" si="68"/>
        <v>Gas</v>
      </c>
      <c r="E1886" s="55" t="s">
        <v>311</v>
      </c>
      <c r="F1886" s="55" t="s">
        <v>238</v>
      </c>
      <c r="G1886" s="55">
        <v>-35.07</v>
      </c>
      <c r="H1886" s="55">
        <f t="shared" si="69"/>
        <v>201606</v>
      </c>
      <c r="I1886" s="55">
        <f>MATCH(D1886,$O:$O,0)</f>
        <v>30</v>
      </c>
      <c r="J1886" s="55" t="s">
        <v>39</v>
      </c>
      <c r="K1886" s="55" t="s">
        <v>1347</v>
      </c>
    </row>
    <row r="1887" spans="1:11" x14ac:dyDescent="0.25">
      <c r="A1887" s="55" t="s">
        <v>236</v>
      </c>
      <c r="B1887" s="56">
        <v>42544</v>
      </c>
      <c r="C1887" s="55" t="s">
        <v>1352</v>
      </c>
      <c r="D1887" s="55" t="str">
        <f t="shared" si="68"/>
        <v>Gas</v>
      </c>
      <c r="E1887" s="55" t="s">
        <v>311</v>
      </c>
      <c r="F1887" s="55" t="s">
        <v>238</v>
      </c>
      <c r="G1887" s="55">
        <v>-32.99</v>
      </c>
      <c r="H1887" s="55">
        <f t="shared" si="69"/>
        <v>201606</v>
      </c>
      <c r="I1887" s="55">
        <f>MATCH(D1887,$O:$O,0)</f>
        <v>30</v>
      </c>
      <c r="J1887" s="55" t="s">
        <v>39</v>
      </c>
      <c r="K1887" s="55" t="s">
        <v>649</v>
      </c>
    </row>
    <row r="1888" spans="1:11" x14ac:dyDescent="0.25">
      <c r="A1888" s="55" t="s">
        <v>236</v>
      </c>
      <c r="B1888" s="56">
        <v>42543</v>
      </c>
      <c r="C1888" s="55" t="s">
        <v>1359</v>
      </c>
      <c r="D1888" s="55" t="str">
        <f t="shared" si="68"/>
        <v>Gas</v>
      </c>
      <c r="E1888" s="55" t="s">
        <v>311</v>
      </c>
      <c r="F1888" s="55" t="s">
        <v>238</v>
      </c>
      <c r="G1888" s="55">
        <v>-21.04</v>
      </c>
      <c r="H1888" s="55">
        <f t="shared" si="69"/>
        <v>201606</v>
      </c>
      <c r="I1888" s="55">
        <f>MATCH(D1888,$O:$O,0)</f>
        <v>30</v>
      </c>
      <c r="J1888" s="55" t="s">
        <v>39</v>
      </c>
      <c r="K1888" s="55" t="s">
        <v>649</v>
      </c>
    </row>
    <row r="1889" spans="1:11" x14ac:dyDescent="0.25">
      <c r="A1889" s="55" t="s">
        <v>236</v>
      </c>
      <c r="B1889" s="56">
        <v>42541</v>
      </c>
      <c r="C1889" s="55" t="s">
        <v>1362</v>
      </c>
      <c r="D1889" s="55" t="str">
        <f t="shared" si="68"/>
        <v>Gas</v>
      </c>
      <c r="E1889" s="55" t="s">
        <v>311</v>
      </c>
      <c r="F1889" s="55" t="s">
        <v>238</v>
      </c>
      <c r="G1889" s="55">
        <v>-39.76</v>
      </c>
      <c r="H1889" s="55">
        <f t="shared" si="69"/>
        <v>201606</v>
      </c>
      <c r="I1889" s="55">
        <f>MATCH(D1889,$O:$O,0)</f>
        <v>30</v>
      </c>
      <c r="J1889" s="55" t="s">
        <v>39</v>
      </c>
      <c r="K1889" s="55" t="s">
        <v>675</v>
      </c>
    </row>
    <row r="1890" spans="1:11" x14ac:dyDescent="0.25">
      <c r="A1890" s="55" t="s">
        <v>236</v>
      </c>
      <c r="B1890" s="56">
        <v>42541</v>
      </c>
      <c r="C1890" s="55" t="s">
        <v>1364</v>
      </c>
      <c r="D1890" s="55" t="str">
        <f t="shared" si="68"/>
        <v>Gas</v>
      </c>
      <c r="E1890" s="55" t="s">
        <v>311</v>
      </c>
      <c r="F1890" s="55" t="s">
        <v>238</v>
      </c>
      <c r="G1890" s="55">
        <v>-8.85</v>
      </c>
      <c r="H1890" s="55">
        <f t="shared" si="69"/>
        <v>201606</v>
      </c>
      <c r="I1890" s="55">
        <f>MATCH(D1890,$O:$O,0)</f>
        <v>30</v>
      </c>
      <c r="J1890" s="55" t="s">
        <v>39</v>
      </c>
      <c r="K1890" s="55" t="s">
        <v>649</v>
      </c>
    </row>
    <row r="1891" spans="1:11" x14ac:dyDescent="0.25">
      <c r="A1891" s="55" t="s">
        <v>236</v>
      </c>
      <c r="B1891" s="56">
        <v>42541</v>
      </c>
      <c r="C1891" s="55" t="s">
        <v>1364</v>
      </c>
      <c r="D1891" s="55" t="str">
        <f t="shared" si="68"/>
        <v>Gas</v>
      </c>
      <c r="E1891" s="55" t="s">
        <v>311</v>
      </c>
      <c r="F1891" s="55" t="s">
        <v>238</v>
      </c>
      <c r="G1891" s="55">
        <v>-1.0900000000000001</v>
      </c>
      <c r="H1891" s="55">
        <f t="shared" si="69"/>
        <v>201606</v>
      </c>
      <c r="I1891" s="55">
        <f>MATCH(D1891,$O:$O,0)</f>
        <v>30</v>
      </c>
      <c r="J1891" s="55" t="s">
        <v>39</v>
      </c>
      <c r="K1891" s="55" t="s">
        <v>649</v>
      </c>
    </row>
    <row r="1892" spans="1:11" x14ac:dyDescent="0.25">
      <c r="A1892" s="55" t="s">
        <v>236</v>
      </c>
      <c r="B1892" s="56">
        <v>42533</v>
      </c>
      <c r="C1892" s="55" t="s">
        <v>1384</v>
      </c>
      <c r="D1892" s="55" t="str">
        <f t="shared" si="68"/>
        <v>Gas</v>
      </c>
      <c r="E1892" s="55" t="s">
        <v>311</v>
      </c>
      <c r="F1892" s="55" t="s">
        <v>238</v>
      </c>
      <c r="G1892" s="55">
        <v>-17.12</v>
      </c>
      <c r="H1892" s="55">
        <f t="shared" si="69"/>
        <v>201606</v>
      </c>
      <c r="I1892" s="55">
        <f>MATCH(D1892,$O:$O,0)</f>
        <v>30</v>
      </c>
      <c r="J1892" s="55" t="s">
        <v>39</v>
      </c>
      <c r="K1892" s="55" t="s">
        <v>1347</v>
      </c>
    </row>
    <row r="1893" spans="1:11" x14ac:dyDescent="0.25">
      <c r="A1893" s="55" t="s">
        <v>236</v>
      </c>
      <c r="B1893" s="56">
        <v>42532</v>
      </c>
      <c r="C1893" s="55" t="s">
        <v>1385</v>
      </c>
      <c r="D1893" s="55" t="str">
        <f t="shared" si="68"/>
        <v>Gas</v>
      </c>
      <c r="E1893" s="55" t="s">
        <v>311</v>
      </c>
      <c r="F1893" s="55" t="s">
        <v>238</v>
      </c>
      <c r="G1893" s="55">
        <v>-27.45</v>
      </c>
      <c r="H1893" s="55">
        <f t="shared" si="69"/>
        <v>201606</v>
      </c>
      <c r="I1893" s="55">
        <f>MATCH(D1893,$O:$O,0)</f>
        <v>30</v>
      </c>
      <c r="J1893" s="55" t="s">
        <v>39</v>
      </c>
      <c r="K1893" s="55" t="s">
        <v>619</v>
      </c>
    </row>
    <row r="1894" spans="1:11" x14ac:dyDescent="0.25">
      <c r="A1894" s="55" t="s">
        <v>236</v>
      </c>
      <c r="B1894" s="56">
        <v>42530</v>
      </c>
      <c r="C1894" s="55" t="s">
        <v>1384</v>
      </c>
      <c r="D1894" s="55" t="str">
        <f t="shared" si="68"/>
        <v>Gas</v>
      </c>
      <c r="E1894" s="55" t="s">
        <v>311</v>
      </c>
      <c r="F1894" s="55" t="s">
        <v>238</v>
      </c>
      <c r="G1894" s="55">
        <v>-27.72</v>
      </c>
      <c r="H1894" s="55">
        <f t="shared" si="69"/>
        <v>201606</v>
      </c>
      <c r="I1894" s="55">
        <f>MATCH(D1894,$O:$O,0)</f>
        <v>30</v>
      </c>
      <c r="J1894" s="55" t="s">
        <v>39</v>
      </c>
      <c r="K1894" s="55" t="s">
        <v>1347</v>
      </c>
    </row>
    <row r="1895" spans="1:11" x14ac:dyDescent="0.25">
      <c r="A1895" s="55" t="s">
        <v>236</v>
      </c>
      <c r="B1895" s="56">
        <v>42523</v>
      </c>
      <c r="C1895" s="55" t="s">
        <v>915</v>
      </c>
      <c r="D1895" s="55" t="str">
        <f t="shared" si="68"/>
        <v>Gifts</v>
      </c>
      <c r="E1895" s="55" t="s">
        <v>40</v>
      </c>
      <c r="F1895" s="55" t="s">
        <v>238</v>
      </c>
      <c r="G1895" s="55">
        <v>-100</v>
      </c>
      <c r="H1895" s="55">
        <f t="shared" si="69"/>
        <v>201606</v>
      </c>
      <c r="I1895" s="55">
        <f>MATCH(D1895,$O:$O,0)</f>
        <v>11</v>
      </c>
      <c r="J1895" s="55" t="s">
        <v>39</v>
      </c>
      <c r="K1895" s="55" t="s">
        <v>649</v>
      </c>
    </row>
    <row r="1896" spans="1:11" x14ac:dyDescent="0.25">
      <c r="A1896" s="55" t="s">
        <v>236</v>
      </c>
      <c r="B1896" s="56">
        <v>42550</v>
      </c>
      <c r="C1896" s="55" t="s">
        <v>1350</v>
      </c>
      <c r="D1896" s="55" t="str">
        <f t="shared" si="68"/>
        <v>Grocery</v>
      </c>
      <c r="E1896" s="55" t="s">
        <v>385</v>
      </c>
      <c r="F1896" s="55" t="s">
        <v>238</v>
      </c>
      <c r="G1896" s="55">
        <v>-120.58</v>
      </c>
      <c r="H1896" s="55">
        <f t="shared" si="69"/>
        <v>201606</v>
      </c>
      <c r="I1896" s="55">
        <f>MATCH(D1896,$O:$O,0)</f>
        <v>12</v>
      </c>
      <c r="J1896" s="55" t="s">
        <v>39</v>
      </c>
      <c r="K1896" s="55" t="s">
        <v>1347</v>
      </c>
    </row>
    <row r="1897" spans="1:11" x14ac:dyDescent="0.25">
      <c r="A1897" s="55" t="s">
        <v>236</v>
      </c>
      <c r="B1897" s="56">
        <v>42548</v>
      </c>
      <c r="C1897" s="55" t="s">
        <v>1350</v>
      </c>
      <c r="D1897" s="55" t="str">
        <f t="shared" si="68"/>
        <v>Grocery</v>
      </c>
      <c r="E1897" s="55" t="s">
        <v>385</v>
      </c>
      <c r="F1897" s="55" t="s">
        <v>238</v>
      </c>
      <c r="G1897" s="55">
        <v>-46.54</v>
      </c>
      <c r="H1897" s="55">
        <f t="shared" si="69"/>
        <v>201606</v>
      </c>
      <c r="I1897" s="55">
        <f>MATCH(D1897,$O:$O,0)</f>
        <v>12</v>
      </c>
      <c r="J1897" s="55" t="s">
        <v>39</v>
      </c>
      <c r="K1897" s="55" t="s">
        <v>1347</v>
      </c>
    </row>
    <row r="1898" spans="1:11" x14ac:dyDescent="0.25">
      <c r="A1898" s="55" t="s">
        <v>236</v>
      </c>
      <c r="B1898" s="56">
        <v>42544</v>
      </c>
      <c r="C1898" s="55" t="s">
        <v>1351</v>
      </c>
      <c r="D1898" s="55" t="str">
        <f t="shared" si="68"/>
        <v>Grocery</v>
      </c>
      <c r="E1898" s="55" t="s">
        <v>385</v>
      </c>
      <c r="F1898" s="55" t="s">
        <v>238</v>
      </c>
      <c r="G1898" s="55">
        <v>-102.86</v>
      </c>
      <c r="H1898" s="55">
        <f t="shared" si="69"/>
        <v>201606</v>
      </c>
      <c r="I1898" s="55">
        <f>MATCH(D1898,$O:$O,0)</f>
        <v>12</v>
      </c>
      <c r="J1898" s="55" t="s">
        <v>39</v>
      </c>
      <c r="K1898" s="55" t="s">
        <v>649</v>
      </c>
    </row>
    <row r="1899" spans="1:11" x14ac:dyDescent="0.25">
      <c r="A1899" s="55" t="s">
        <v>236</v>
      </c>
      <c r="B1899" s="56">
        <v>42542</v>
      </c>
      <c r="C1899" s="55" t="s">
        <v>1361</v>
      </c>
      <c r="D1899" s="55" t="str">
        <f t="shared" si="68"/>
        <v>Grocery</v>
      </c>
      <c r="E1899" s="55" t="s">
        <v>192</v>
      </c>
      <c r="F1899" s="55" t="s">
        <v>238</v>
      </c>
      <c r="G1899" s="55">
        <v>-11.49</v>
      </c>
      <c r="H1899" s="55">
        <f t="shared" si="69"/>
        <v>201606</v>
      </c>
      <c r="I1899" s="55">
        <f>MATCH(D1899,$O:$O,0)</f>
        <v>12</v>
      </c>
      <c r="J1899" s="55" t="s">
        <v>39</v>
      </c>
      <c r="K1899" s="55" t="s">
        <v>649</v>
      </c>
    </row>
    <row r="1900" spans="1:11" x14ac:dyDescent="0.25">
      <c r="A1900" s="55" t="s">
        <v>236</v>
      </c>
      <c r="B1900" s="56">
        <v>42541</v>
      </c>
      <c r="C1900" s="55" t="s">
        <v>1365</v>
      </c>
      <c r="D1900" s="55" t="str">
        <f t="shared" si="68"/>
        <v>Grocery</v>
      </c>
      <c r="E1900" s="55" t="s">
        <v>192</v>
      </c>
      <c r="F1900" s="55" t="s">
        <v>238</v>
      </c>
      <c r="G1900" s="55">
        <v>-2.95</v>
      </c>
      <c r="H1900" s="55">
        <f t="shared" si="69"/>
        <v>201606</v>
      </c>
      <c r="I1900" s="55">
        <f>MATCH(D1900,$O:$O,0)</f>
        <v>12</v>
      </c>
      <c r="J1900" s="55" t="s">
        <v>39</v>
      </c>
      <c r="K1900" s="55" t="s">
        <v>649</v>
      </c>
    </row>
    <row r="1901" spans="1:11" x14ac:dyDescent="0.25">
      <c r="A1901" s="55" t="s">
        <v>236</v>
      </c>
      <c r="B1901" s="56">
        <v>42541</v>
      </c>
      <c r="C1901" s="55" t="s">
        <v>1367</v>
      </c>
      <c r="D1901" s="55" t="str">
        <f t="shared" si="68"/>
        <v>Grocery</v>
      </c>
      <c r="E1901" s="55" t="s">
        <v>192</v>
      </c>
      <c r="F1901" s="55" t="s">
        <v>238</v>
      </c>
      <c r="G1901" s="55">
        <v>-15.3</v>
      </c>
      <c r="H1901" s="55">
        <f t="shared" si="69"/>
        <v>201606</v>
      </c>
      <c r="I1901" s="55">
        <f>MATCH(D1901,$O:$O,0)</f>
        <v>12</v>
      </c>
      <c r="J1901" s="55" t="s">
        <v>39</v>
      </c>
      <c r="K1901" s="55" t="s">
        <v>649</v>
      </c>
    </row>
    <row r="1902" spans="1:11" x14ac:dyDescent="0.25">
      <c r="A1902" s="55" t="s">
        <v>236</v>
      </c>
      <c r="B1902" s="56">
        <v>42540</v>
      </c>
      <c r="C1902" s="55" t="s">
        <v>1369</v>
      </c>
      <c r="D1902" s="55" t="str">
        <f t="shared" si="68"/>
        <v>Grocery</v>
      </c>
      <c r="E1902" s="55" t="s">
        <v>192</v>
      </c>
      <c r="F1902" s="55" t="s">
        <v>238</v>
      </c>
      <c r="G1902" s="55">
        <v>-3.29</v>
      </c>
      <c r="H1902" s="55">
        <f t="shared" si="69"/>
        <v>201606</v>
      </c>
      <c r="I1902" s="55">
        <f>MATCH(D1902,$O:$O,0)</f>
        <v>12</v>
      </c>
      <c r="J1902" s="55" t="s">
        <v>39</v>
      </c>
      <c r="K1902" s="55" t="s">
        <v>1347</v>
      </c>
    </row>
    <row r="1903" spans="1:11" x14ac:dyDescent="0.25">
      <c r="A1903" s="55" t="s">
        <v>236</v>
      </c>
      <c r="B1903" s="56">
        <v>42539</v>
      </c>
      <c r="C1903" s="55" t="s">
        <v>514</v>
      </c>
      <c r="D1903" s="55" t="str">
        <f t="shared" si="68"/>
        <v>Grocery</v>
      </c>
      <c r="E1903" s="55" t="s">
        <v>192</v>
      </c>
      <c r="F1903" s="55" t="s">
        <v>238</v>
      </c>
      <c r="G1903" s="55">
        <v>-7.61</v>
      </c>
      <c r="H1903" s="55">
        <f t="shared" si="69"/>
        <v>201606</v>
      </c>
      <c r="I1903" s="55">
        <f>MATCH(D1903,$O:$O,0)</f>
        <v>12</v>
      </c>
      <c r="J1903" s="55" t="s">
        <v>39</v>
      </c>
      <c r="K1903" s="55" t="s">
        <v>649</v>
      </c>
    </row>
    <row r="1904" spans="1:11" x14ac:dyDescent="0.25">
      <c r="A1904" s="55" t="s">
        <v>236</v>
      </c>
      <c r="B1904" s="56">
        <v>42538</v>
      </c>
      <c r="C1904" s="55" t="s">
        <v>1374</v>
      </c>
      <c r="D1904" s="55" t="str">
        <f t="shared" si="68"/>
        <v>Grocery</v>
      </c>
      <c r="E1904" s="55" t="s">
        <v>385</v>
      </c>
      <c r="F1904" s="55" t="s">
        <v>238</v>
      </c>
      <c r="G1904" s="55">
        <v>-1.64</v>
      </c>
      <c r="H1904" s="55">
        <f t="shared" si="69"/>
        <v>201606</v>
      </c>
      <c r="I1904" s="55">
        <f>MATCH(D1904,$O:$O,0)</f>
        <v>12</v>
      </c>
      <c r="J1904" s="55" t="s">
        <v>39</v>
      </c>
      <c r="K1904" s="55" t="s">
        <v>1347</v>
      </c>
    </row>
    <row r="1905" spans="1:15" x14ac:dyDescent="0.25">
      <c r="A1905" s="55" t="s">
        <v>236</v>
      </c>
      <c r="B1905" s="56">
        <v>42537</v>
      </c>
      <c r="C1905" s="55" t="s">
        <v>565</v>
      </c>
      <c r="D1905" s="55" t="str">
        <f t="shared" si="68"/>
        <v>Grocery</v>
      </c>
      <c r="E1905" s="55" t="s">
        <v>192</v>
      </c>
      <c r="F1905" s="55" t="s">
        <v>238</v>
      </c>
      <c r="G1905" s="55">
        <v>-27.94</v>
      </c>
      <c r="H1905" s="55">
        <f t="shared" si="69"/>
        <v>201606</v>
      </c>
      <c r="I1905" s="55">
        <f>MATCH(D1905,$O:$O,0)</f>
        <v>12</v>
      </c>
      <c r="J1905" s="55" t="s">
        <v>39</v>
      </c>
      <c r="K1905" s="55" t="s">
        <v>649</v>
      </c>
    </row>
    <row r="1906" spans="1:15" x14ac:dyDescent="0.25">
      <c r="A1906" s="55" t="s">
        <v>236</v>
      </c>
      <c r="B1906" s="56">
        <v>42535</v>
      </c>
      <c r="C1906" s="55" t="s">
        <v>775</v>
      </c>
      <c r="D1906" s="55" t="str">
        <f t="shared" si="68"/>
        <v>Grocery</v>
      </c>
      <c r="E1906" s="55" t="s">
        <v>192</v>
      </c>
      <c r="F1906" s="55" t="s">
        <v>238</v>
      </c>
      <c r="G1906" s="55">
        <v>-28.82</v>
      </c>
      <c r="H1906" s="55">
        <f t="shared" si="69"/>
        <v>201606</v>
      </c>
      <c r="I1906" s="55">
        <f>MATCH(D1906,$O:$O,0)</f>
        <v>12</v>
      </c>
      <c r="J1906" s="55" t="s">
        <v>39</v>
      </c>
      <c r="K1906" s="55" t="s">
        <v>649</v>
      </c>
    </row>
    <row r="1907" spans="1:15" x14ac:dyDescent="0.25">
      <c r="A1907" s="55" t="s">
        <v>236</v>
      </c>
      <c r="B1907" s="56">
        <v>42532</v>
      </c>
      <c r="C1907" s="55" t="s">
        <v>1386</v>
      </c>
      <c r="D1907" s="55" t="str">
        <f t="shared" si="68"/>
        <v>Grocery</v>
      </c>
      <c r="E1907" s="55" t="s">
        <v>385</v>
      </c>
      <c r="F1907" s="55" t="s">
        <v>238</v>
      </c>
      <c r="G1907" s="55">
        <v>-23.72</v>
      </c>
      <c r="H1907" s="55">
        <f t="shared" si="69"/>
        <v>201606</v>
      </c>
      <c r="I1907" s="55">
        <f>MATCH(D1907,$O:$O,0)</f>
        <v>12</v>
      </c>
      <c r="J1907" s="55" t="s">
        <v>39</v>
      </c>
      <c r="K1907" s="55" t="s">
        <v>619</v>
      </c>
    </row>
    <row r="1908" spans="1:15" x14ac:dyDescent="0.25">
      <c r="A1908" s="55" t="s">
        <v>236</v>
      </c>
      <c r="B1908" s="56">
        <v>42531</v>
      </c>
      <c r="C1908" s="55" t="s">
        <v>565</v>
      </c>
      <c r="D1908" s="55" t="str">
        <f t="shared" si="68"/>
        <v>Grocery</v>
      </c>
      <c r="E1908" s="55" t="s">
        <v>192</v>
      </c>
      <c r="F1908" s="55" t="s">
        <v>238</v>
      </c>
      <c r="G1908" s="55">
        <v>-11</v>
      </c>
      <c r="H1908" s="55">
        <f t="shared" si="69"/>
        <v>201606</v>
      </c>
      <c r="I1908" s="55">
        <f>MATCH(D1908,$O:$O,0)</f>
        <v>12</v>
      </c>
      <c r="J1908" s="55" t="s">
        <v>39</v>
      </c>
      <c r="K1908" s="55" t="s">
        <v>649</v>
      </c>
    </row>
    <row r="1909" spans="1:15" x14ac:dyDescent="0.25">
      <c r="A1909" s="55" t="s">
        <v>236</v>
      </c>
      <c r="B1909" s="56">
        <v>42527</v>
      </c>
      <c r="C1909" s="55" t="s">
        <v>775</v>
      </c>
      <c r="D1909" s="55" t="str">
        <f t="shared" si="68"/>
        <v>Grocery</v>
      </c>
      <c r="E1909" s="55" t="s">
        <v>192</v>
      </c>
      <c r="F1909" s="55" t="s">
        <v>238</v>
      </c>
      <c r="G1909" s="55">
        <v>-1.77</v>
      </c>
      <c r="H1909" s="55">
        <f t="shared" si="69"/>
        <v>201606</v>
      </c>
      <c r="I1909" s="55">
        <f>MATCH(D1909,$O:$O,0)</f>
        <v>12</v>
      </c>
      <c r="J1909" s="55" t="s">
        <v>39</v>
      </c>
      <c r="K1909" s="55" t="s">
        <v>649</v>
      </c>
    </row>
    <row r="1910" spans="1:15" x14ac:dyDescent="0.25">
      <c r="A1910" s="55" t="s">
        <v>236</v>
      </c>
      <c r="B1910" s="56">
        <v>42527</v>
      </c>
      <c r="C1910" s="55" t="s">
        <v>842</v>
      </c>
      <c r="D1910" s="55" t="str">
        <f t="shared" si="68"/>
        <v>Grocery</v>
      </c>
      <c r="E1910" s="55" t="s">
        <v>192</v>
      </c>
      <c r="F1910" s="55" t="s">
        <v>238</v>
      </c>
      <c r="G1910" s="55">
        <v>-6.53</v>
      </c>
      <c r="H1910" s="55">
        <f t="shared" si="69"/>
        <v>201606</v>
      </c>
      <c r="I1910" s="55">
        <f>MATCH(D1910,$O:$O,0)</f>
        <v>12</v>
      </c>
      <c r="J1910" s="55" t="s">
        <v>39</v>
      </c>
      <c r="K1910" s="55" t="s">
        <v>649</v>
      </c>
    </row>
    <row r="1911" spans="1:15" x14ac:dyDescent="0.25">
      <c r="A1911" s="55" t="s">
        <v>236</v>
      </c>
      <c r="B1911" s="56">
        <v>42526</v>
      </c>
      <c r="C1911" s="55" t="s">
        <v>1374</v>
      </c>
      <c r="D1911" s="55" t="str">
        <f t="shared" si="68"/>
        <v>Grocery</v>
      </c>
      <c r="E1911" s="55" t="s">
        <v>385</v>
      </c>
      <c r="F1911" s="55" t="s">
        <v>238</v>
      </c>
      <c r="G1911" s="55">
        <v>-3.12</v>
      </c>
      <c r="H1911" s="55">
        <f t="shared" si="69"/>
        <v>201606</v>
      </c>
      <c r="I1911" s="55">
        <f>MATCH(D1911,$O:$O,0)</f>
        <v>12</v>
      </c>
      <c r="J1911" s="55" t="s">
        <v>39</v>
      </c>
      <c r="K1911" s="55" t="s">
        <v>1347</v>
      </c>
    </row>
    <row r="1912" spans="1:15" x14ac:dyDescent="0.25">
      <c r="A1912" s="55" t="s">
        <v>236</v>
      </c>
      <c r="B1912" s="56">
        <v>42525</v>
      </c>
      <c r="C1912" s="55" t="s">
        <v>1374</v>
      </c>
      <c r="D1912" s="55" t="str">
        <f t="shared" si="68"/>
        <v>Grocery</v>
      </c>
      <c r="E1912" s="55" t="s">
        <v>385</v>
      </c>
      <c r="F1912" s="55" t="s">
        <v>238</v>
      </c>
      <c r="G1912" s="55">
        <v>-5.39</v>
      </c>
      <c r="H1912" s="55">
        <f t="shared" si="69"/>
        <v>201606</v>
      </c>
      <c r="I1912" s="55">
        <f>MATCH(D1912,$O:$O,0)</f>
        <v>12</v>
      </c>
      <c r="J1912" s="55" t="s">
        <v>39</v>
      </c>
      <c r="K1912" s="55" t="s">
        <v>1347</v>
      </c>
    </row>
    <row r="1913" spans="1:15" x14ac:dyDescent="0.25">
      <c r="A1913" s="55" t="s">
        <v>236</v>
      </c>
      <c r="B1913" s="56">
        <v>42525</v>
      </c>
      <c r="C1913" s="55" t="s">
        <v>1374</v>
      </c>
      <c r="D1913" s="55" t="str">
        <f t="shared" ref="D1913:D1944" si="70">IF(ISNA(VLOOKUP(E1913,$L$2:$M$26,2,FALSE)),E1913,VLOOKUP(E1913,$L$2:$M$26,2,FALSE))</f>
        <v>Grocery</v>
      </c>
      <c r="E1913" s="55" t="s">
        <v>385</v>
      </c>
      <c r="F1913" s="55" t="s">
        <v>238</v>
      </c>
      <c r="G1913" s="55">
        <v>-101.29</v>
      </c>
      <c r="H1913" s="55">
        <f t="shared" ref="H1913:H1976" si="71">YEAR(B1913)*100+MONTH(B1913)</f>
        <v>201606</v>
      </c>
      <c r="I1913" s="55">
        <f>MATCH(D1913,$O:$O,0)</f>
        <v>12</v>
      </c>
      <c r="J1913" s="55" t="s">
        <v>39</v>
      </c>
      <c r="K1913" s="55" t="s">
        <v>1347</v>
      </c>
    </row>
    <row r="1914" spans="1:15" x14ac:dyDescent="0.25">
      <c r="A1914" s="55" t="s">
        <v>236</v>
      </c>
      <c r="B1914" s="56">
        <v>42525</v>
      </c>
      <c r="C1914" s="55" t="s">
        <v>847</v>
      </c>
      <c r="D1914" s="55" t="str">
        <f t="shared" si="70"/>
        <v>Grocery</v>
      </c>
      <c r="E1914" s="55" t="s">
        <v>192</v>
      </c>
      <c r="F1914" s="55" t="s">
        <v>238</v>
      </c>
      <c r="G1914" s="55">
        <v>-2.17</v>
      </c>
      <c r="H1914" s="55">
        <f t="shared" si="71"/>
        <v>201606</v>
      </c>
      <c r="I1914" s="55">
        <f>MATCH(D1914,$O:$O,0)</f>
        <v>12</v>
      </c>
      <c r="J1914" s="55" t="s">
        <v>39</v>
      </c>
      <c r="K1914" s="55" t="s">
        <v>649</v>
      </c>
    </row>
    <row r="1915" spans="1:15" x14ac:dyDescent="0.25">
      <c r="A1915" s="55" t="s">
        <v>236</v>
      </c>
      <c r="B1915" s="56">
        <v>42523</v>
      </c>
      <c r="C1915" s="55" t="s">
        <v>775</v>
      </c>
      <c r="D1915" s="55" t="str">
        <f t="shared" si="70"/>
        <v>Grocery</v>
      </c>
      <c r="E1915" s="55" t="s">
        <v>192</v>
      </c>
      <c r="F1915" s="55" t="s">
        <v>238</v>
      </c>
      <c r="G1915" s="55">
        <v>-15.4</v>
      </c>
      <c r="H1915" s="55">
        <f t="shared" si="71"/>
        <v>201606</v>
      </c>
      <c r="I1915" s="55">
        <f>MATCH(D1915,$O:$O,0)</f>
        <v>12</v>
      </c>
      <c r="J1915" s="55" t="s">
        <v>39</v>
      </c>
      <c r="K1915" s="55" t="s">
        <v>649</v>
      </c>
    </row>
    <row r="1916" spans="1:15" x14ac:dyDescent="0.25">
      <c r="A1916" s="55" t="s">
        <v>236</v>
      </c>
      <c r="B1916" s="56">
        <v>42522</v>
      </c>
      <c r="C1916" s="55" t="s">
        <v>917</v>
      </c>
      <c r="D1916" s="55" t="str">
        <f t="shared" si="70"/>
        <v>Grocery</v>
      </c>
      <c r="E1916" s="55" t="s">
        <v>385</v>
      </c>
      <c r="F1916" s="55" t="s">
        <v>238</v>
      </c>
      <c r="G1916" s="55">
        <v>-25.97</v>
      </c>
      <c r="H1916" s="55">
        <f t="shared" si="71"/>
        <v>201606</v>
      </c>
      <c r="I1916" s="55">
        <f>MATCH(D1916,$O:$O,0)</f>
        <v>12</v>
      </c>
      <c r="J1916" s="55" t="s">
        <v>39</v>
      </c>
      <c r="K1916" s="55" t="s">
        <v>619</v>
      </c>
    </row>
    <row r="1917" spans="1:15" x14ac:dyDescent="0.25">
      <c r="A1917" s="55" t="s">
        <v>236</v>
      </c>
      <c r="B1917" s="56">
        <v>42536</v>
      </c>
      <c r="C1917" s="55" t="s">
        <v>1378</v>
      </c>
      <c r="D1917" s="55" t="str">
        <f t="shared" si="70"/>
        <v>Home Maintainence/Improvement</v>
      </c>
      <c r="E1917" s="55" t="s">
        <v>342</v>
      </c>
      <c r="F1917" s="55" t="s">
        <v>238</v>
      </c>
      <c r="G1917" s="55">
        <v>-141.35</v>
      </c>
      <c r="H1917" s="55">
        <f t="shared" si="71"/>
        <v>201606</v>
      </c>
      <c r="I1917" s="55">
        <f>MATCH(D1917,$O:$O,0)</f>
        <v>16</v>
      </c>
      <c r="J1917" s="55" t="s">
        <v>39</v>
      </c>
      <c r="K1917" s="55" t="s">
        <v>649</v>
      </c>
      <c r="O1917">
        <v>1</v>
      </c>
    </row>
    <row r="1918" spans="1:15" x14ac:dyDescent="0.25">
      <c r="A1918" s="55" t="s">
        <v>236</v>
      </c>
      <c r="B1918" s="56">
        <v>42527</v>
      </c>
      <c r="C1918" s="55" t="s">
        <v>849</v>
      </c>
      <c r="D1918" s="55" t="str">
        <f t="shared" si="70"/>
        <v>Home Maintainence/Improvement</v>
      </c>
      <c r="E1918" s="55" t="s">
        <v>342</v>
      </c>
      <c r="F1918" s="55" t="s">
        <v>238</v>
      </c>
      <c r="G1918" s="55">
        <v>-10.9</v>
      </c>
      <c r="H1918" s="55">
        <f t="shared" si="71"/>
        <v>201606</v>
      </c>
      <c r="I1918" s="55">
        <f>MATCH(D1918,$O:$O,0)</f>
        <v>16</v>
      </c>
      <c r="J1918" s="55" t="s">
        <v>39</v>
      </c>
      <c r="K1918" s="55" t="s">
        <v>649</v>
      </c>
    </row>
    <row r="1919" spans="1:15" x14ac:dyDescent="0.25">
      <c r="A1919" s="55" t="s">
        <v>236</v>
      </c>
      <c r="B1919" s="56">
        <v>42535</v>
      </c>
      <c r="C1919" s="55" t="s">
        <v>412</v>
      </c>
      <c r="D1919" s="55" t="str">
        <f t="shared" si="70"/>
        <v>Interest</v>
      </c>
      <c r="E1919" s="55" t="s">
        <v>200</v>
      </c>
      <c r="F1919" s="55" t="s">
        <v>238</v>
      </c>
      <c r="G1919" s="55">
        <v>0.18</v>
      </c>
      <c r="H1919" s="55">
        <f t="shared" si="71"/>
        <v>201606</v>
      </c>
      <c r="I1919" s="55" t="e">
        <f>MATCH(D1919,$O:$O,0)</f>
        <v>#N/A</v>
      </c>
      <c r="J1919" s="55" t="s">
        <v>39</v>
      </c>
      <c r="K1919" s="55" t="s">
        <v>803</v>
      </c>
    </row>
    <row r="1920" spans="1:15" x14ac:dyDescent="0.25">
      <c r="A1920" s="55" t="s">
        <v>236</v>
      </c>
      <c r="B1920" s="56">
        <v>42535</v>
      </c>
      <c r="C1920" s="55" t="s">
        <v>412</v>
      </c>
      <c r="D1920" s="55" t="str">
        <f t="shared" si="70"/>
        <v>Interest</v>
      </c>
      <c r="E1920" s="55" t="s">
        <v>200</v>
      </c>
      <c r="F1920" s="55" t="s">
        <v>238</v>
      </c>
      <c r="G1920" s="55">
        <v>0.23</v>
      </c>
      <c r="H1920" s="55">
        <f t="shared" si="71"/>
        <v>201606</v>
      </c>
      <c r="I1920" s="55" t="e">
        <f>MATCH(D1920,$O:$O,0)</f>
        <v>#N/A</v>
      </c>
      <c r="J1920" s="55" t="s">
        <v>39</v>
      </c>
      <c r="K1920" s="55" t="s">
        <v>628</v>
      </c>
    </row>
    <row r="1921" spans="1:15" x14ac:dyDescent="0.25">
      <c r="A1921" s="55" t="s">
        <v>236</v>
      </c>
      <c r="B1921" s="56">
        <v>42535</v>
      </c>
      <c r="C1921" s="55" t="s">
        <v>412</v>
      </c>
      <c r="D1921" s="55" t="str">
        <f t="shared" si="70"/>
        <v>Interest</v>
      </c>
      <c r="E1921" s="55" t="s">
        <v>200</v>
      </c>
      <c r="F1921" s="55" t="s">
        <v>238</v>
      </c>
      <c r="G1921" s="55">
        <v>0.43</v>
      </c>
      <c r="H1921" s="55">
        <f t="shared" si="71"/>
        <v>201606</v>
      </c>
      <c r="I1921" s="55" t="e">
        <f>MATCH(D1921,$O:$O,0)</f>
        <v>#N/A</v>
      </c>
      <c r="J1921" s="55" t="s">
        <v>39</v>
      </c>
      <c r="K1921" s="55" t="s">
        <v>676</v>
      </c>
    </row>
    <row r="1922" spans="1:15" x14ac:dyDescent="0.25">
      <c r="A1922" s="55" t="s">
        <v>236</v>
      </c>
      <c r="B1922" s="56">
        <v>42535</v>
      </c>
      <c r="C1922" s="55" t="s">
        <v>412</v>
      </c>
      <c r="D1922" s="55" t="str">
        <f t="shared" si="70"/>
        <v>Interest</v>
      </c>
      <c r="E1922" s="55" t="s">
        <v>200</v>
      </c>
      <c r="F1922" s="55" t="s">
        <v>238</v>
      </c>
      <c r="G1922" s="55">
        <v>0.04</v>
      </c>
      <c r="H1922" s="55">
        <f t="shared" si="71"/>
        <v>201606</v>
      </c>
      <c r="I1922" s="55" t="e">
        <f>MATCH(D1922,$O:$O,0)</f>
        <v>#N/A</v>
      </c>
      <c r="J1922" s="55" t="s">
        <v>39</v>
      </c>
      <c r="K1922" s="55" t="s">
        <v>675</v>
      </c>
    </row>
    <row r="1923" spans="1:15" x14ac:dyDescent="0.25">
      <c r="A1923" s="55" t="s">
        <v>236</v>
      </c>
      <c r="B1923" s="56">
        <v>42527</v>
      </c>
      <c r="C1923" s="55" t="s">
        <v>837</v>
      </c>
      <c r="D1923" s="55" t="str">
        <f t="shared" si="70"/>
        <v>Laundry</v>
      </c>
      <c r="E1923" s="55" t="s">
        <v>112</v>
      </c>
      <c r="F1923" s="55" t="s">
        <v>238</v>
      </c>
      <c r="G1923" s="55">
        <v>-13.5</v>
      </c>
      <c r="H1923" s="55">
        <f t="shared" si="71"/>
        <v>201606</v>
      </c>
      <c r="I1923" s="55">
        <f>MATCH(D1923,$O:$O,0)</f>
        <v>19</v>
      </c>
      <c r="J1923" s="55" t="s">
        <v>39</v>
      </c>
      <c r="K1923" s="55" t="s">
        <v>649</v>
      </c>
    </row>
    <row r="1924" spans="1:15" x14ac:dyDescent="0.25">
      <c r="A1924" s="55" t="s">
        <v>236</v>
      </c>
      <c r="B1924" s="56">
        <v>42522</v>
      </c>
      <c r="C1924" s="55" t="s">
        <v>591</v>
      </c>
      <c r="D1924" s="55" t="str">
        <f t="shared" si="70"/>
        <v>Mortgage/Rent</v>
      </c>
      <c r="E1924" s="55" t="s">
        <v>202</v>
      </c>
      <c r="F1924" s="55" t="s">
        <v>238</v>
      </c>
      <c r="G1924" s="57">
        <v>-3116.77</v>
      </c>
      <c r="H1924" s="55">
        <f t="shared" si="71"/>
        <v>201606</v>
      </c>
      <c r="I1924" s="55">
        <f>MATCH(D1924,$O:$O,0)</f>
        <v>21</v>
      </c>
      <c r="J1924" s="55" t="s">
        <v>39</v>
      </c>
      <c r="K1924" s="55" t="s">
        <v>803</v>
      </c>
      <c r="O1924">
        <v>1</v>
      </c>
    </row>
    <row r="1925" spans="1:15" x14ac:dyDescent="0.25">
      <c r="A1925" s="55" t="s">
        <v>236</v>
      </c>
      <c r="B1925" s="56">
        <v>42545</v>
      </c>
      <c r="C1925" s="55" t="s">
        <v>894</v>
      </c>
      <c r="D1925" s="55" t="str">
        <f t="shared" si="70"/>
        <v>Movies/Software/Online Service</v>
      </c>
      <c r="E1925" s="55" t="s">
        <v>167</v>
      </c>
      <c r="F1925" s="55" t="s">
        <v>238</v>
      </c>
      <c r="G1925" s="55">
        <v>-7.99</v>
      </c>
      <c r="H1925" s="55">
        <f t="shared" si="71"/>
        <v>201606</v>
      </c>
      <c r="I1925" s="55">
        <f>MATCH(D1925,$O:$O,0)</f>
        <v>22</v>
      </c>
      <c r="J1925" s="55" t="s">
        <v>39</v>
      </c>
      <c r="K1925" s="55" t="s">
        <v>649</v>
      </c>
    </row>
    <row r="1926" spans="1:15" x14ac:dyDescent="0.25">
      <c r="A1926" s="55" t="s">
        <v>236</v>
      </c>
      <c r="B1926" s="56">
        <v>42530</v>
      </c>
      <c r="C1926" s="55" t="s">
        <v>1389</v>
      </c>
      <c r="D1926" s="55" t="str">
        <f t="shared" si="70"/>
        <v>Movies/Software/Online Service</v>
      </c>
      <c r="E1926" s="55" t="s">
        <v>167</v>
      </c>
      <c r="F1926" s="55" t="s">
        <v>238</v>
      </c>
      <c r="G1926" s="55">
        <v>-5.99</v>
      </c>
      <c r="H1926" s="55">
        <f t="shared" si="71"/>
        <v>201606</v>
      </c>
      <c r="I1926" s="55">
        <f>MATCH(D1926,$O:$O,0)</f>
        <v>22</v>
      </c>
      <c r="J1926" s="55" t="s">
        <v>39</v>
      </c>
      <c r="K1926" s="55" t="s">
        <v>1347</v>
      </c>
    </row>
    <row r="1927" spans="1:15" x14ac:dyDescent="0.25">
      <c r="A1927" s="55" t="s">
        <v>236</v>
      </c>
      <c r="B1927" s="56">
        <v>42530</v>
      </c>
      <c r="C1927" s="55" t="s">
        <v>1390</v>
      </c>
      <c r="D1927" s="55" t="str">
        <f t="shared" si="70"/>
        <v>Newspapers</v>
      </c>
      <c r="E1927" s="55" t="s">
        <v>1205</v>
      </c>
      <c r="F1927" s="55" t="s">
        <v>238</v>
      </c>
      <c r="G1927" s="55">
        <v>-14.99</v>
      </c>
      <c r="H1927" s="55">
        <f t="shared" si="71"/>
        <v>201606</v>
      </c>
      <c r="I1927" s="55">
        <f>MATCH(D1927,$O:$O,0)</f>
        <v>23</v>
      </c>
      <c r="J1927" s="55" t="s">
        <v>39</v>
      </c>
      <c r="K1927" s="55" t="s">
        <v>619</v>
      </c>
    </row>
    <row r="1928" spans="1:15" x14ac:dyDescent="0.25">
      <c r="A1928" s="55" t="s">
        <v>236</v>
      </c>
      <c r="B1928" s="56">
        <v>42543</v>
      </c>
      <c r="C1928" s="55" t="s">
        <v>1355</v>
      </c>
      <c r="D1928" s="55" t="str">
        <f t="shared" si="70"/>
        <v>Parent Support</v>
      </c>
      <c r="E1928" s="55" t="s">
        <v>61</v>
      </c>
      <c r="F1928" s="55" t="s">
        <v>238</v>
      </c>
      <c r="G1928" s="57">
        <v>-10356.299999999999</v>
      </c>
      <c r="H1928" s="55">
        <f t="shared" si="71"/>
        <v>201606</v>
      </c>
      <c r="I1928" s="55">
        <f>MATCH(D1928,$O:$O,0)</f>
        <v>24</v>
      </c>
      <c r="J1928" s="55" t="s">
        <v>39</v>
      </c>
      <c r="K1928" s="55" t="s">
        <v>803</v>
      </c>
    </row>
    <row r="1929" spans="1:15" x14ac:dyDescent="0.25">
      <c r="A1929" s="55" t="s">
        <v>236</v>
      </c>
      <c r="B1929" s="56">
        <v>42539</v>
      </c>
      <c r="C1929" s="55" t="s">
        <v>1372</v>
      </c>
      <c r="D1929" s="55" t="str">
        <f t="shared" si="70"/>
        <v>Parent Support</v>
      </c>
      <c r="E1929" s="55" t="s">
        <v>61</v>
      </c>
      <c r="F1929" s="55" t="s">
        <v>238</v>
      </c>
      <c r="G1929" s="57">
        <v>-5000</v>
      </c>
      <c r="H1929" s="55">
        <f t="shared" si="71"/>
        <v>201606</v>
      </c>
      <c r="I1929" s="55">
        <f>MATCH(D1929,$O:$O,0)</f>
        <v>24</v>
      </c>
      <c r="J1929" s="55" t="s">
        <v>39</v>
      </c>
      <c r="K1929" s="55" t="s">
        <v>649</v>
      </c>
    </row>
    <row r="1930" spans="1:15" x14ac:dyDescent="0.25">
      <c r="A1930" s="55" t="s">
        <v>236</v>
      </c>
      <c r="B1930" s="56">
        <v>42545</v>
      </c>
      <c r="C1930" s="55" t="s">
        <v>682</v>
      </c>
      <c r="D1930" s="55" t="str">
        <f t="shared" si="70"/>
        <v>Parking</v>
      </c>
      <c r="E1930" s="55" t="s">
        <v>170</v>
      </c>
      <c r="F1930" s="55" t="s">
        <v>238</v>
      </c>
      <c r="G1930" s="55">
        <v>-8</v>
      </c>
      <c r="H1930" s="55">
        <f t="shared" si="71"/>
        <v>201606</v>
      </c>
      <c r="I1930" s="55">
        <f>MATCH(D1930,$O:$O,0)</f>
        <v>32</v>
      </c>
      <c r="J1930" s="55" t="s">
        <v>39</v>
      </c>
      <c r="K1930" s="55" t="s">
        <v>649</v>
      </c>
    </row>
    <row r="1931" spans="1:15" x14ac:dyDescent="0.25">
      <c r="A1931" s="55" t="s">
        <v>236</v>
      </c>
      <c r="B1931" s="56">
        <v>42544</v>
      </c>
      <c r="C1931" s="55" t="s">
        <v>1353</v>
      </c>
      <c r="D1931" s="55" t="str">
        <f t="shared" si="70"/>
        <v>Parking</v>
      </c>
      <c r="E1931" s="55" t="s">
        <v>170</v>
      </c>
      <c r="F1931" s="55" t="s">
        <v>238</v>
      </c>
      <c r="G1931" s="55">
        <v>-6</v>
      </c>
      <c r="H1931" s="55">
        <f t="shared" si="71"/>
        <v>201606</v>
      </c>
      <c r="I1931" s="55">
        <f>MATCH(D1931,$O:$O,0)</f>
        <v>32</v>
      </c>
      <c r="J1931" s="55" t="s">
        <v>39</v>
      </c>
      <c r="K1931" s="55" t="s">
        <v>649</v>
      </c>
    </row>
    <row r="1932" spans="1:15" x14ac:dyDescent="0.25">
      <c r="A1932" s="55" t="s">
        <v>236</v>
      </c>
      <c r="B1932" s="56">
        <v>42543</v>
      </c>
      <c r="C1932" s="55" t="s">
        <v>1358</v>
      </c>
      <c r="D1932" s="55" t="str">
        <f t="shared" si="70"/>
        <v>Parking</v>
      </c>
      <c r="E1932" s="55" t="s">
        <v>170</v>
      </c>
      <c r="F1932" s="55" t="s">
        <v>238</v>
      </c>
      <c r="G1932" s="55">
        <v>-16</v>
      </c>
      <c r="H1932" s="55">
        <f t="shared" si="71"/>
        <v>201606</v>
      </c>
      <c r="I1932" s="55">
        <f>MATCH(D1932,$O:$O,0)</f>
        <v>32</v>
      </c>
      <c r="J1932" s="55" t="s">
        <v>39</v>
      </c>
      <c r="K1932" s="55" t="s">
        <v>649</v>
      </c>
    </row>
    <row r="1933" spans="1:15" x14ac:dyDescent="0.25">
      <c r="A1933" s="55" t="s">
        <v>236</v>
      </c>
      <c r="B1933" s="56">
        <v>42532</v>
      </c>
      <c r="C1933" s="55" t="s">
        <v>1388</v>
      </c>
      <c r="D1933" s="55" t="str">
        <f t="shared" si="70"/>
        <v>Parking</v>
      </c>
      <c r="E1933" s="55" t="s">
        <v>170</v>
      </c>
      <c r="F1933" s="55" t="s">
        <v>238</v>
      </c>
      <c r="G1933" s="55">
        <v>-3</v>
      </c>
      <c r="H1933" s="55">
        <f t="shared" si="71"/>
        <v>201606</v>
      </c>
      <c r="I1933" s="55">
        <f>MATCH(D1933,$O:$O,0)</f>
        <v>32</v>
      </c>
      <c r="J1933" s="55" t="s">
        <v>39</v>
      </c>
      <c r="K1933" s="55" t="s">
        <v>649</v>
      </c>
    </row>
    <row r="1934" spans="1:15" x14ac:dyDescent="0.25">
      <c r="A1934" s="55" t="s">
        <v>236</v>
      </c>
      <c r="B1934" s="56">
        <v>42538</v>
      </c>
      <c r="C1934" s="55" t="s">
        <v>364</v>
      </c>
      <c r="D1934" s="55" t="str">
        <f t="shared" si="70"/>
        <v>Paychecks/Salary</v>
      </c>
      <c r="E1934" s="55" t="s">
        <v>261</v>
      </c>
      <c r="F1934" s="55" t="s">
        <v>238</v>
      </c>
      <c r="G1934" s="55">
        <v>81.41</v>
      </c>
      <c r="H1934" s="55">
        <f t="shared" si="71"/>
        <v>201606</v>
      </c>
      <c r="I1934" s="55">
        <f>MATCH(D1934,$O:$O,0)</f>
        <v>40</v>
      </c>
      <c r="J1934" s="55" t="s">
        <v>39</v>
      </c>
      <c r="K1934" s="55" t="s">
        <v>803</v>
      </c>
    </row>
    <row r="1935" spans="1:15" x14ac:dyDescent="0.25">
      <c r="A1935" s="55" t="s">
        <v>236</v>
      </c>
      <c r="B1935" s="56">
        <v>42536</v>
      </c>
      <c r="C1935" s="55" t="s">
        <v>1078</v>
      </c>
      <c r="D1935" s="55" t="str">
        <f t="shared" si="70"/>
        <v>Paychecks/Salary</v>
      </c>
      <c r="E1935" s="55" t="s">
        <v>261</v>
      </c>
      <c r="F1935" s="55" t="s">
        <v>238</v>
      </c>
      <c r="G1935" s="55">
        <v>706.94</v>
      </c>
      <c r="H1935" s="55">
        <f t="shared" si="71"/>
        <v>201606</v>
      </c>
      <c r="I1935" s="55">
        <f>MATCH(D1935,$O:$O,0)</f>
        <v>40</v>
      </c>
      <c r="J1935" s="55" t="s">
        <v>39</v>
      </c>
      <c r="K1935" s="55" t="s">
        <v>675</v>
      </c>
    </row>
    <row r="1936" spans="1:15" s="55" customFormat="1" x14ac:dyDescent="0.25">
      <c r="A1936" s="55" t="s">
        <v>236</v>
      </c>
      <c r="B1936" s="56">
        <v>42551</v>
      </c>
      <c r="C1936" s="55" t="s">
        <v>1078</v>
      </c>
      <c r="D1936" s="55" t="str">
        <f t="shared" si="70"/>
        <v>Paychecks/Salary</v>
      </c>
      <c r="E1936" s="55" t="s">
        <v>261</v>
      </c>
      <c r="F1936" s="55" t="s">
        <v>238</v>
      </c>
      <c r="G1936" s="55">
        <v>1491.75</v>
      </c>
      <c r="H1936" s="55">
        <f t="shared" si="71"/>
        <v>201606</v>
      </c>
      <c r="I1936" s="55">
        <f>MATCH(D1936,$O:$O,0)</f>
        <v>40</v>
      </c>
      <c r="J1936" s="55" t="s">
        <v>39</v>
      </c>
      <c r="K1936" s="55" t="s">
        <v>675</v>
      </c>
    </row>
    <row r="1937" spans="1:12" s="55" customFormat="1" x14ac:dyDescent="0.25">
      <c r="A1937" s="55" t="s">
        <v>236</v>
      </c>
      <c r="B1937" s="56">
        <v>42551</v>
      </c>
      <c r="C1937" s="55" t="s">
        <v>1377</v>
      </c>
      <c r="D1937" s="55" t="str">
        <f t="shared" si="70"/>
        <v>Paychecks/Salary</v>
      </c>
      <c r="E1937" s="55" t="s">
        <v>375</v>
      </c>
      <c r="F1937" s="55" t="s">
        <v>238</v>
      </c>
      <c r="G1937" s="55">
        <v>3921.22</v>
      </c>
      <c r="H1937" s="55">
        <f t="shared" si="71"/>
        <v>201606</v>
      </c>
      <c r="I1937" s="55">
        <f>MATCH(D1937,$O:$O,0)</f>
        <v>40</v>
      </c>
      <c r="J1937" s="55" t="s">
        <v>39</v>
      </c>
      <c r="K1937" s="55" t="s">
        <v>803</v>
      </c>
    </row>
    <row r="1938" spans="1:12" x14ac:dyDescent="0.25">
      <c r="A1938" s="55" t="s">
        <v>236</v>
      </c>
      <c r="B1938" s="56">
        <v>42536</v>
      </c>
      <c r="C1938" s="55" t="s">
        <v>1377</v>
      </c>
      <c r="D1938" s="55" t="str">
        <f t="shared" si="70"/>
        <v>Paychecks/Salary</v>
      </c>
      <c r="E1938" s="55" t="s">
        <v>375</v>
      </c>
      <c r="F1938" s="55" t="s">
        <v>238</v>
      </c>
      <c r="G1938" s="57">
        <v>3529.63</v>
      </c>
      <c r="H1938" s="55">
        <f t="shared" si="71"/>
        <v>201606</v>
      </c>
      <c r="I1938" s="55">
        <f>MATCH(D1938,$O:$O,0)</f>
        <v>40</v>
      </c>
      <c r="J1938" s="55" t="s">
        <v>39</v>
      </c>
      <c r="K1938" s="55" t="s">
        <v>803</v>
      </c>
    </row>
    <row r="1939" spans="1:12" x14ac:dyDescent="0.25">
      <c r="A1939" s="55" t="s">
        <v>236</v>
      </c>
      <c r="B1939" s="56">
        <v>42524</v>
      </c>
      <c r="C1939" s="55" t="s">
        <v>1158</v>
      </c>
      <c r="D1939" s="55" t="str">
        <f t="shared" si="70"/>
        <v>Paychecks/Salary</v>
      </c>
      <c r="E1939" s="55" t="s">
        <v>261</v>
      </c>
      <c r="F1939" s="55" t="s">
        <v>238</v>
      </c>
      <c r="G1939" s="55">
        <v>47.66</v>
      </c>
      <c r="H1939" s="55">
        <f t="shared" si="71"/>
        <v>201606</v>
      </c>
      <c r="I1939" s="55">
        <f>MATCH(D1939,$O:$O,0)</f>
        <v>40</v>
      </c>
      <c r="J1939" s="55" t="s">
        <v>39</v>
      </c>
      <c r="K1939" s="55" t="s">
        <v>803</v>
      </c>
    </row>
    <row r="1940" spans="1:12" x14ac:dyDescent="0.25">
      <c r="A1940" s="55" t="s">
        <v>236</v>
      </c>
      <c r="B1940" s="56">
        <v>42535</v>
      </c>
      <c r="C1940" s="55" t="s">
        <v>911</v>
      </c>
      <c r="D1940" s="55" t="str">
        <f t="shared" si="70"/>
        <v>Public Transit</v>
      </c>
      <c r="E1940" s="55" t="s">
        <v>1169</v>
      </c>
      <c r="F1940" s="55" t="s">
        <v>238</v>
      </c>
      <c r="G1940" s="55">
        <v>-20</v>
      </c>
      <c r="H1940" s="55">
        <f t="shared" si="71"/>
        <v>201606</v>
      </c>
      <c r="I1940" s="55">
        <f>MATCH(D1940,$O:$O,0)</f>
        <v>25</v>
      </c>
      <c r="J1940" s="55" t="s">
        <v>39</v>
      </c>
      <c r="K1940" s="55" t="s">
        <v>649</v>
      </c>
    </row>
    <row r="1941" spans="1:12" x14ac:dyDescent="0.25">
      <c r="A1941" s="55" t="s">
        <v>236</v>
      </c>
      <c r="B1941" s="56">
        <v>42535</v>
      </c>
      <c r="C1941" s="55" t="s">
        <v>221</v>
      </c>
      <c r="D1941" s="55" t="str">
        <f t="shared" si="70"/>
        <v>Tax</v>
      </c>
      <c r="E1941" s="55" t="s">
        <v>222</v>
      </c>
      <c r="F1941" s="55" t="s">
        <v>238</v>
      </c>
      <c r="G1941" s="55">
        <v>-0.05</v>
      </c>
      <c r="H1941" s="55">
        <f t="shared" si="71"/>
        <v>201606</v>
      </c>
      <c r="I1941" s="55">
        <f>MATCH(D1941,$O:$O,0)</f>
        <v>29</v>
      </c>
      <c r="J1941" s="55" t="s">
        <v>39</v>
      </c>
      <c r="K1941" s="55" t="s">
        <v>803</v>
      </c>
    </row>
    <row r="1942" spans="1:12" x14ac:dyDescent="0.25">
      <c r="A1942" s="55" t="s">
        <v>236</v>
      </c>
      <c r="B1942" s="56">
        <v>42535</v>
      </c>
      <c r="C1942" s="55" t="s">
        <v>221</v>
      </c>
      <c r="D1942" s="55" t="str">
        <f t="shared" si="70"/>
        <v>Tax</v>
      </c>
      <c r="E1942" s="55" t="s">
        <v>222</v>
      </c>
      <c r="F1942" s="55" t="s">
        <v>238</v>
      </c>
      <c r="G1942" s="55">
        <v>-0.06</v>
      </c>
      <c r="H1942" s="55">
        <f t="shared" si="71"/>
        <v>201606</v>
      </c>
      <c r="I1942" s="55">
        <f>MATCH(D1942,$O:$O,0)</f>
        <v>29</v>
      </c>
      <c r="J1942" s="55" t="s">
        <v>39</v>
      </c>
      <c r="K1942" s="55" t="s">
        <v>628</v>
      </c>
    </row>
    <row r="1943" spans="1:12" x14ac:dyDescent="0.25">
      <c r="A1943" s="55" t="s">
        <v>236</v>
      </c>
      <c r="B1943" s="56">
        <v>42543</v>
      </c>
      <c r="C1943" s="55" t="s">
        <v>1360</v>
      </c>
      <c r="D1943" s="55" t="str">
        <f t="shared" si="70"/>
        <v>Taxi and rental</v>
      </c>
      <c r="E1943" s="55" t="s">
        <v>92</v>
      </c>
      <c r="F1943" s="55" t="s">
        <v>238</v>
      </c>
      <c r="G1943" s="55">
        <v>-14.07</v>
      </c>
      <c r="H1943" s="55">
        <f t="shared" si="71"/>
        <v>201606</v>
      </c>
      <c r="I1943" s="55">
        <f>MATCH(D1943,$O:$O,0)</f>
        <v>28</v>
      </c>
      <c r="J1943" s="55" t="s">
        <v>39</v>
      </c>
      <c r="K1943" s="55" t="s">
        <v>649</v>
      </c>
    </row>
    <row r="1944" spans="1:12" x14ac:dyDescent="0.25">
      <c r="A1944" s="55" t="s">
        <v>236</v>
      </c>
      <c r="B1944" s="56">
        <v>42541</v>
      </c>
      <c r="C1944" s="55" t="s">
        <v>1257</v>
      </c>
      <c r="D1944" s="55" t="str">
        <f t="shared" si="70"/>
        <v>Taxi and rental</v>
      </c>
      <c r="E1944" s="55" t="s">
        <v>92</v>
      </c>
      <c r="F1944" s="55" t="s">
        <v>238</v>
      </c>
      <c r="G1944" s="55">
        <v>-16.64</v>
      </c>
      <c r="H1944" s="55">
        <f t="shared" si="71"/>
        <v>201606</v>
      </c>
      <c r="I1944" s="55">
        <f>MATCH(D1944,$O:$O,0)</f>
        <v>28</v>
      </c>
      <c r="J1944" s="55" t="s">
        <v>39</v>
      </c>
      <c r="K1944" s="55" t="s">
        <v>649</v>
      </c>
    </row>
    <row r="1945" spans="1:12" x14ac:dyDescent="0.25">
      <c r="A1945" s="55" t="s">
        <v>236</v>
      </c>
      <c r="B1945" s="56">
        <v>42541</v>
      </c>
      <c r="C1945" s="55" t="s">
        <v>1366</v>
      </c>
      <c r="D1945" s="55" t="str">
        <f t="shared" ref="D1945:D2007" si="72">IF(ISNA(VLOOKUP(E1945,$L$2:$M$26,2,FALSE)),E1945,VLOOKUP(E1945,$L$2:$M$26,2,FALSE))</f>
        <v>Taxi and rental</v>
      </c>
      <c r="E1945" s="55" t="s">
        <v>92</v>
      </c>
      <c r="F1945" s="55" t="s">
        <v>238</v>
      </c>
      <c r="G1945" s="55">
        <v>-17.920000000000002</v>
      </c>
      <c r="H1945" s="55">
        <f t="shared" si="71"/>
        <v>201606</v>
      </c>
      <c r="I1945" s="55">
        <f>MATCH(D1945,$O:$O,0)</f>
        <v>28</v>
      </c>
      <c r="J1945" s="55" t="s">
        <v>39</v>
      </c>
      <c r="K1945" s="55" t="s">
        <v>649</v>
      </c>
    </row>
    <row r="1946" spans="1:12" x14ac:dyDescent="0.25">
      <c r="A1946" s="55" t="s">
        <v>236</v>
      </c>
      <c r="B1946" s="56">
        <v>42539</v>
      </c>
      <c r="C1946" s="55" t="s">
        <v>1373</v>
      </c>
      <c r="D1946" s="55" t="str">
        <f t="shared" si="72"/>
        <v>Taxi and rental</v>
      </c>
      <c r="E1946" s="55" t="s">
        <v>92</v>
      </c>
      <c r="F1946" s="55" t="s">
        <v>238</v>
      </c>
      <c r="G1946" s="55">
        <v>-13.01</v>
      </c>
      <c r="H1946" s="55">
        <f t="shared" si="71"/>
        <v>201606</v>
      </c>
      <c r="I1946" s="55">
        <f>MATCH(D1946,$O:$O,0)</f>
        <v>28</v>
      </c>
      <c r="J1946" s="55" t="s">
        <v>39</v>
      </c>
      <c r="K1946" s="55" t="s">
        <v>649</v>
      </c>
    </row>
    <row r="1947" spans="1:12" x14ac:dyDescent="0.25">
      <c r="A1947" s="55" t="s">
        <v>236</v>
      </c>
      <c r="B1947" s="56">
        <v>42535</v>
      </c>
      <c r="C1947" s="55" t="s">
        <v>1379</v>
      </c>
      <c r="D1947" s="55" t="str">
        <f t="shared" si="72"/>
        <v>Utility</v>
      </c>
      <c r="E1947" s="55" t="s">
        <v>19</v>
      </c>
      <c r="F1947" s="55" t="s">
        <v>238</v>
      </c>
      <c r="G1947" s="55">
        <v>-37.119999999999997</v>
      </c>
      <c r="H1947" s="55">
        <f t="shared" si="71"/>
        <v>201606</v>
      </c>
      <c r="I1947" s="55">
        <f>MATCH(D1947,$O:$O,0)</f>
        <v>34</v>
      </c>
      <c r="J1947" s="55" t="s">
        <v>39</v>
      </c>
      <c r="K1947" s="55" t="s">
        <v>803</v>
      </c>
    </row>
    <row r="1948" spans="1:12" x14ac:dyDescent="0.25">
      <c r="A1948" s="55" t="s">
        <v>236</v>
      </c>
      <c r="B1948" s="56">
        <v>42582</v>
      </c>
      <c r="C1948" s="55" t="s">
        <v>1350</v>
      </c>
      <c r="D1948" s="55" t="str">
        <f t="shared" si="72"/>
        <v>Grocery</v>
      </c>
      <c r="E1948" s="55" t="s">
        <v>385</v>
      </c>
      <c r="F1948" s="55" t="s">
        <v>238</v>
      </c>
      <c r="G1948" s="55">
        <v>-66.64</v>
      </c>
      <c r="H1948" s="55">
        <f t="shared" si="71"/>
        <v>201607</v>
      </c>
      <c r="I1948" s="55">
        <f>MATCH(D1948,$O:$O,0)</f>
        <v>12</v>
      </c>
      <c r="J1948" s="55" t="s">
        <v>39</v>
      </c>
      <c r="K1948" s="55" t="s">
        <v>1394</v>
      </c>
      <c r="L1948" s="55" t="s">
        <v>193</v>
      </c>
    </row>
    <row r="1949" spans="1:12" x14ac:dyDescent="0.25">
      <c r="A1949" s="55" t="s">
        <v>236</v>
      </c>
      <c r="B1949" s="56">
        <v>42581</v>
      </c>
      <c r="C1949" s="55" t="s">
        <v>1395</v>
      </c>
      <c r="D1949" s="55" t="str">
        <f t="shared" si="72"/>
        <v>Grocery</v>
      </c>
      <c r="E1949" s="55" t="s">
        <v>192</v>
      </c>
      <c r="F1949" s="55" t="s">
        <v>238</v>
      </c>
      <c r="G1949" s="55">
        <v>-13.69</v>
      </c>
      <c r="H1949" s="55">
        <f t="shared" si="71"/>
        <v>201607</v>
      </c>
      <c r="I1949" s="55">
        <f>MATCH(D1949,$O:$O,0)</f>
        <v>12</v>
      </c>
      <c r="J1949" s="55" t="s">
        <v>39</v>
      </c>
      <c r="K1949" s="55" t="s">
        <v>1394</v>
      </c>
      <c r="L1949" s="55" t="s">
        <v>252</v>
      </c>
    </row>
    <row r="1950" spans="1:12" x14ac:dyDescent="0.25">
      <c r="A1950" s="55" t="s">
        <v>236</v>
      </c>
      <c r="B1950" s="56">
        <v>42581</v>
      </c>
      <c r="C1950" s="55" t="s">
        <v>1396</v>
      </c>
      <c r="D1950" s="55" t="str">
        <f t="shared" si="72"/>
        <v>Grocery</v>
      </c>
      <c r="E1950" s="55" t="s">
        <v>192</v>
      </c>
      <c r="F1950" s="55" t="s">
        <v>238</v>
      </c>
      <c r="G1950" s="55">
        <v>-39.950000000000003</v>
      </c>
      <c r="H1950" s="55">
        <f t="shared" si="71"/>
        <v>201607</v>
      </c>
      <c r="I1950" s="55">
        <f>MATCH(D1950,$O:$O,0)</f>
        <v>12</v>
      </c>
      <c r="J1950" s="55" t="s">
        <v>39</v>
      </c>
      <c r="K1950" s="55" t="s">
        <v>1394</v>
      </c>
      <c r="L1950" s="55"/>
    </row>
    <row r="1951" spans="1:12" x14ac:dyDescent="0.25">
      <c r="A1951" s="55" t="s">
        <v>236</v>
      </c>
      <c r="B1951" s="56">
        <v>42581</v>
      </c>
      <c r="C1951" s="55" t="s">
        <v>1397</v>
      </c>
      <c r="D1951" s="55" t="str">
        <f t="shared" si="72"/>
        <v>D-Travel</v>
      </c>
      <c r="E1951" s="55" t="s">
        <v>161</v>
      </c>
      <c r="F1951" s="55" t="s">
        <v>238</v>
      </c>
      <c r="G1951" s="55">
        <v>-140</v>
      </c>
      <c r="H1951" s="55">
        <f t="shared" si="71"/>
        <v>201607</v>
      </c>
      <c r="I1951" s="55">
        <f>MATCH(D1951,$O:$O,0)</f>
        <v>10</v>
      </c>
      <c r="J1951" s="55" t="s">
        <v>39</v>
      </c>
      <c r="K1951" s="55" t="s">
        <v>1398</v>
      </c>
      <c r="L1951" s="55" t="s">
        <v>207</v>
      </c>
    </row>
    <row r="1952" spans="1:12" x14ac:dyDescent="0.25">
      <c r="A1952" s="55" t="s">
        <v>236</v>
      </c>
      <c r="B1952" s="56">
        <v>42580</v>
      </c>
      <c r="C1952" s="55" t="s">
        <v>1078</v>
      </c>
      <c r="D1952" s="55" t="str">
        <f t="shared" si="72"/>
        <v>Paychecks/Salary</v>
      </c>
      <c r="E1952" s="55" t="s">
        <v>261</v>
      </c>
      <c r="F1952" s="55" t="s">
        <v>238</v>
      </c>
      <c r="G1952" s="57">
        <v>1641.84</v>
      </c>
      <c r="H1952" s="55">
        <f t="shared" si="71"/>
        <v>201607</v>
      </c>
      <c r="I1952" s="55">
        <f>MATCH(D1952,$O:$O,0)</f>
        <v>40</v>
      </c>
      <c r="J1952" s="55" t="s">
        <v>39</v>
      </c>
      <c r="K1952" s="55" t="s">
        <v>675</v>
      </c>
      <c r="L1952" s="55"/>
    </row>
    <row r="1953" spans="1:12" x14ac:dyDescent="0.25">
      <c r="A1953" s="55" t="s">
        <v>236</v>
      </c>
      <c r="B1953" s="56">
        <v>42580</v>
      </c>
      <c r="C1953" s="55" t="s">
        <v>1399</v>
      </c>
      <c r="D1953" s="55" t="str">
        <f t="shared" si="72"/>
        <v>D-Restaurant</v>
      </c>
      <c r="E1953" s="55" t="s">
        <v>204</v>
      </c>
      <c r="F1953" s="55" t="s">
        <v>238</v>
      </c>
      <c r="G1953" s="55">
        <v>-12.21</v>
      </c>
      <c r="H1953" s="55">
        <f t="shared" si="71"/>
        <v>201607</v>
      </c>
      <c r="I1953" s="55">
        <f>MATCH(D1953,$O:$O,0)</f>
        <v>9</v>
      </c>
      <c r="J1953" s="55" t="s">
        <v>39</v>
      </c>
      <c r="K1953" s="55" t="s">
        <v>1394</v>
      </c>
      <c r="L1953" s="55" t="s">
        <v>352</v>
      </c>
    </row>
    <row r="1954" spans="1:12" x14ac:dyDescent="0.25">
      <c r="A1954" s="55" t="s">
        <v>236</v>
      </c>
      <c r="B1954" s="56">
        <v>42579</v>
      </c>
      <c r="C1954" s="55" t="s">
        <v>1400</v>
      </c>
      <c r="D1954" s="55" t="str">
        <f t="shared" si="72"/>
        <v>D-Restaurant</v>
      </c>
      <c r="E1954" s="55" t="s">
        <v>204</v>
      </c>
      <c r="F1954" s="55" t="s">
        <v>238</v>
      </c>
      <c r="G1954" s="55">
        <v>-1.0900000000000001</v>
      </c>
      <c r="H1954" s="55">
        <f t="shared" si="71"/>
        <v>201607</v>
      </c>
      <c r="I1954" s="55">
        <f>MATCH(D1954,$O:$O,0)</f>
        <v>9</v>
      </c>
      <c r="J1954" s="55" t="s">
        <v>39</v>
      </c>
      <c r="K1954" s="55" t="s">
        <v>1394</v>
      </c>
      <c r="L1954" s="55" t="s">
        <v>722</v>
      </c>
    </row>
    <row r="1955" spans="1:12" x14ac:dyDescent="0.25">
      <c r="A1955" s="55" t="s">
        <v>236</v>
      </c>
      <c r="B1955" s="56">
        <v>42579</v>
      </c>
      <c r="C1955" s="55" t="s">
        <v>1400</v>
      </c>
      <c r="D1955" s="55" t="str">
        <f t="shared" si="72"/>
        <v>D-Restaurant</v>
      </c>
      <c r="E1955" s="55" t="s">
        <v>204</v>
      </c>
      <c r="F1955" s="55" t="s">
        <v>238</v>
      </c>
      <c r="G1955" s="55">
        <v>-4.0199999999999996</v>
      </c>
      <c r="H1955" s="55">
        <f t="shared" si="71"/>
        <v>201607</v>
      </c>
      <c r="I1955" s="55">
        <f>MATCH(D1955,$O:$O,0)</f>
        <v>9</v>
      </c>
      <c r="J1955" s="55" t="s">
        <v>39</v>
      </c>
      <c r="K1955" s="55" t="s">
        <v>1394</v>
      </c>
      <c r="L1955" s="55" t="s">
        <v>722</v>
      </c>
    </row>
    <row r="1956" spans="1:12" x14ac:dyDescent="0.25">
      <c r="A1956" s="55" t="s">
        <v>236</v>
      </c>
      <c r="B1956" s="56">
        <v>42578</v>
      </c>
      <c r="C1956" s="55" t="s">
        <v>1401</v>
      </c>
      <c r="D1956" s="55" t="str">
        <f t="shared" si="72"/>
        <v>D-Restaurant</v>
      </c>
      <c r="E1956" s="55" t="s">
        <v>204</v>
      </c>
      <c r="F1956" s="55" t="s">
        <v>238</v>
      </c>
      <c r="G1956" s="55">
        <v>-117.88</v>
      </c>
      <c r="H1956" s="55">
        <f t="shared" si="71"/>
        <v>201607</v>
      </c>
      <c r="I1956" s="55">
        <f>MATCH(D1956,$O:$O,0)</f>
        <v>9</v>
      </c>
      <c r="J1956" s="55" t="s">
        <v>39</v>
      </c>
      <c r="K1956" s="55" t="s">
        <v>1394</v>
      </c>
      <c r="L1956" s="55" t="s">
        <v>1402</v>
      </c>
    </row>
    <row r="1957" spans="1:12" x14ac:dyDescent="0.25">
      <c r="A1957" s="55" t="s">
        <v>236</v>
      </c>
      <c r="B1957" s="56">
        <v>42578</v>
      </c>
      <c r="C1957" s="55" t="s">
        <v>703</v>
      </c>
      <c r="D1957" s="55" t="str">
        <f t="shared" si="72"/>
        <v>Finance Charges</v>
      </c>
      <c r="E1957" s="55" t="s">
        <v>169</v>
      </c>
      <c r="F1957" s="55" t="s">
        <v>238</v>
      </c>
      <c r="G1957" s="55">
        <v>48.8</v>
      </c>
      <c r="H1957" s="55">
        <f t="shared" si="71"/>
        <v>201607</v>
      </c>
      <c r="I1957" s="55">
        <f>MATCH(D1957,$O:$O,0)</f>
        <v>35</v>
      </c>
      <c r="J1957" s="55" t="s">
        <v>39</v>
      </c>
      <c r="K1957" s="55" t="s">
        <v>1403</v>
      </c>
      <c r="L1957" s="55"/>
    </row>
    <row r="1958" spans="1:12" x14ac:dyDescent="0.25">
      <c r="A1958" s="55" t="s">
        <v>236</v>
      </c>
      <c r="B1958" s="56">
        <v>42577</v>
      </c>
      <c r="C1958" s="55" t="s">
        <v>1404</v>
      </c>
      <c r="D1958" s="55" t="str">
        <f t="shared" si="72"/>
        <v>Credit Card Payments</v>
      </c>
      <c r="E1958" s="55" t="s">
        <v>242</v>
      </c>
      <c r="F1958" s="55" t="s">
        <v>238</v>
      </c>
      <c r="G1958" s="55">
        <v>-571.14</v>
      </c>
      <c r="H1958" s="55">
        <f t="shared" si="71"/>
        <v>201607</v>
      </c>
      <c r="I1958" s="55">
        <f>MATCH(D1958,$O:$O,0)</f>
        <v>38</v>
      </c>
      <c r="J1958" s="55" t="s">
        <v>39</v>
      </c>
      <c r="K1958" s="55" t="s">
        <v>675</v>
      </c>
      <c r="L1958" s="55"/>
    </row>
    <row r="1959" spans="1:12" x14ac:dyDescent="0.25">
      <c r="A1959" s="55" t="s">
        <v>236</v>
      </c>
      <c r="B1959" s="56">
        <v>42577</v>
      </c>
      <c r="C1959" s="55" t="s">
        <v>1350</v>
      </c>
      <c r="D1959" s="55" t="str">
        <f t="shared" si="72"/>
        <v>Grocery</v>
      </c>
      <c r="E1959" s="55" t="s">
        <v>385</v>
      </c>
      <c r="F1959" s="55" t="s">
        <v>238</v>
      </c>
      <c r="G1959" s="55">
        <v>-18.02</v>
      </c>
      <c r="H1959" s="55">
        <f t="shared" si="71"/>
        <v>201607</v>
      </c>
      <c r="I1959" s="55">
        <f>MATCH(D1959,$O:$O,0)</f>
        <v>12</v>
      </c>
      <c r="J1959" s="55" t="s">
        <v>39</v>
      </c>
      <c r="K1959" s="55" t="s">
        <v>1394</v>
      </c>
      <c r="L1959" s="55" t="s">
        <v>193</v>
      </c>
    </row>
    <row r="1960" spans="1:12" x14ac:dyDescent="0.25">
      <c r="A1960" s="55" t="s">
        <v>236</v>
      </c>
      <c r="B1960" s="56">
        <v>42577</v>
      </c>
      <c r="C1960" s="55" t="s">
        <v>1405</v>
      </c>
      <c r="D1960" s="55" t="str">
        <f t="shared" si="72"/>
        <v>Grocery</v>
      </c>
      <c r="E1960" s="55" t="s">
        <v>192</v>
      </c>
      <c r="F1960" s="55" t="s">
        <v>238</v>
      </c>
      <c r="G1960" s="55">
        <v>-13.35</v>
      </c>
      <c r="H1960" s="55">
        <f t="shared" si="71"/>
        <v>201607</v>
      </c>
      <c r="I1960" s="55">
        <f>MATCH(D1960,$O:$O,0)</f>
        <v>12</v>
      </c>
      <c r="J1960" s="55" t="s">
        <v>39</v>
      </c>
      <c r="K1960" s="55" t="s">
        <v>1394</v>
      </c>
      <c r="L1960" s="55" t="s">
        <v>816</v>
      </c>
    </row>
    <row r="1961" spans="1:12" x14ac:dyDescent="0.25">
      <c r="A1961" s="55" t="s">
        <v>236</v>
      </c>
      <c r="B1961" s="56">
        <v>42577</v>
      </c>
      <c r="C1961" s="55" t="s">
        <v>1406</v>
      </c>
      <c r="D1961" s="55" t="str">
        <f t="shared" si="72"/>
        <v>D-Restaurant</v>
      </c>
      <c r="E1961" s="55" t="s">
        <v>204</v>
      </c>
      <c r="F1961" s="55" t="s">
        <v>238</v>
      </c>
      <c r="G1961" s="55">
        <v>-7.53</v>
      </c>
      <c r="H1961" s="55">
        <f t="shared" si="71"/>
        <v>201607</v>
      </c>
      <c r="I1961" s="55">
        <f>MATCH(D1961,$O:$O,0)</f>
        <v>9</v>
      </c>
      <c r="J1961" s="55" t="s">
        <v>39</v>
      </c>
      <c r="K1961" s="55" t="s">
        <v>1394</v>
      </c>
      <c r="L1961" s="55" t="s">
        <v>1032</v>
      </c>
    </row>
    <row r="1962" spans="1:12" x14ac:dyDescent="0.25">
      <c r="A1962" s="55" t="s">
        <v>236</v>
      </c>
      <c r="B1962" s="56">
        <v>42577</v>
      </c>
      <c r="C1962" s="55" t="s">
        <v>1348</v>
      </c>
      <c r="D1962" s="55" t="str">
        <f t="shared" si="72"/>
        <v>Gas</v>
      </c>
      <c r="E1962" s="55" t="s">
        <v>311</v>
      </c>
      <c r="F1962" s="55" t="s">
        <v>238</v>
      </c>
      <c r="G1962" s="55">
        <v>-22.12</v>
      </c>
      <c r="H1962" s="55">
        <f t="shared" si="71"/>
        <v>201607</v>
      </c>
      <c r="I1962" s="55">
        <f>MATCH(D1962,$O:$O,0)</f>
        <v>30</v>
      </c>
      <c r="J1962" s="55" t="s">
        <v>39</v>
      </c>
      <c r="K1962" s="55" t="s">
        <v>1394</v>
      </c>
      <c r="L1962" s="55" t="s">
        <v>310</v>
      </c>
    </row>
    <row r="1963" spans="1:12" x14ac:dyDescent="0.25">
      <c r="A1963" s="55" t="s">
        <v>236</v>
      </c>
      <c r="B1963" s="56">
        <v>42577</v>
      </c>
      <c r="C1963" s="55" t="s">
        <v>565</v>
      </c>
      <c r="D1963" s="55" t="str">
        <f t="shared" si="72"/>
        <v>Grocery</v>
      </c>
      <c r="E1963" s="55" t="s">
        <v>192</v>
      </c>
      <c r="F1963" s="55" t="s">
        <v>238</v>
      </c>
      <c r="G1963" s="55">
        <v>-13.07</v>
      </c>
      <c r="H1963" s="55">
        <f t="shared" si="71"/>
        <v>201607</v>
      </c>
      <c r="I1963" s="55">
        <f>MATCH(D1963,$O:$O,0)</f>
        <v>12</v>
      </c>
      <c r="J1963" s="55" t="s">
        <v>39</v>
      </c>
      <c r="K1963" s="55" t="s">
        <v>1398</v>
      </c>
      <c r="L1963" s="55" t="s">
        <v>252</v>
      </c>
    </row>
    <row r="1964" spans="1:12" x14ac:dyDescent="0.25">
      <c r="A1964" s="55" t="s">
        <v>236</v>
      </c>
      <c r="B1964" s="56">
        <v>42577</v>
      </c>
      <c r="C1964" s="55" t="s">
        <v>747</v>
      </c>
      <c r="D1964" s="55" t="str">
        <f t="shared" si="72"/>
        <v>Cell Phone</v>
      </c>
      <c r="E1964" s="55" t="s">
        <v>224</v>
      </c>
      <c r="F1964" s="55" t="s">
        <v>238</v>
      </c>
      <c r="G1964" s="55">
        <v>-87.49</v>
      </c>
      <c r="H1964" s="55">
        <f t="shared" si="71"/>
        <v>201607</v>
      </c>
      <c r="I1964" s="55">
        <f>MATCH(D1964,$O:$O,0)</f>
        <v>4</v>
      </c>
      <c r="J1964" s="55" t="s">
        <v>39</v>
      </c>
      <c r="K1964" s="55" t="s">
        <v>1398</v>
      </c>
      <c r="L1964" s="55" t="s">
        <v>223</v>
      </c>
    </row>
    <row r="1965" spans="1:12" x14ac:dyDescent="0.25">
      <c r="A1965" s="55" t="s">
        <v>236</v>
      </c>
      <c r="B1965" s="56">
        <v>42577</v>
      </c>
      <c r="C1965" s="55" t="s">
        <v>845</v>
      </c>
      <c r="D1965" s="55" t="str">
        <f t="shared" si="72"/>
        <v>Credit Card Payments</v>
      </c>
      <c r="E1965" s="55" t="s">
        <v>242</v>
      </c>
      <c r="F1965" s="55" t="s">
        <v>238</v>
      </c>
      <c r="G1965" s="55">
        <v>571.14</v>
      </c>
      <c r="H1965" s="55">
        <f t="shared" si="71"/>
        <v>201607</v>
      </c>
      <c r="I1965" s="55">
        <f>MATCH(D1965,$O:$O,0)</f>
        <v>38</v>
      </c>
      <c r="J1965" s="55" t="s">
        <v>39</v>
      </c>
      <c r="K1965" s="55" t="s">
        <v>1398</v>
      </c>
      <c r="L1965" s="55"/>
    </row>
    <row r="1966" spans="1:12" x14ac:dyDescent="0.25">
      <c r="A1966" s="55" t="s">
        <v>236</v>
      </c>
      <c r="B1966" s="56">
        <v>42576</v>
      </c>
      <c r="C1966" s="55" t="s">
        <v>1407</v>
      </c>
      <c r="D1966" s="55" t="str">
        <f t="shared" si="72"/>
        <v>Paychecks/Salary</v>
      </c>
      <c r="E1966" s="55" t="s">
        <v>261</v>
      </c>
      <c r="F1966" s="55" t="s">
        <v>238</v>
      </c>
      <c r="G1966" s="55">
        <v>511.7</v>
      </c>
      <c r="H1966" s="55">
        <f t="shared" si="71"/>
        <v>201607</v>
      </c>
      <c r="I1966" s="55">
        <f>MATCH(D1966,$O:$O,0)</f>
        <v>40</v>
      </c>
      <c r="J1966" s="55" t="s">
        <v>39</v>
      </c>
      <c r="K1966" s="55" t="s">
        <v>803</v>
      </c>
      <c r="L1966" s="55" t="s">
        <v>723</v>
      </c>
    </row>
    <row r="1967" spans="1:12" x14ac:dyDescent="0.25">
      <c r="A1967" s="55" t="s">
        <v>236</v>
      </c>
      <c r="B1967" s="56">
        <v>42576</v>
      </c>
      <c r="C1967" s="55" t="s">
        <v>1408</v>
      </c>
      <c r="D1967" s="55" t="str">
        <f t="shared" si="72"/>
        <v>Paychecks/Salary</v>
      </c>
      <c r="E1967" s="55" t="s">
        <v>261</v>
      </c>
      <c r="F1967" s="55" t="s">
        <v>238</v>
      </c>
      <c r="G1967" s="57">
        <v>1949.64</v>
      </c>
      <c r="H1967" s="55">
        <f t="shared" si="71"/>
        <v>201607</v>
      </c>
      <c r="I1967" s="55">
        <f>MATCH(D1967,$O:$O,0)</f>
        <v>40</v>
      </c>
      <c r="J1967" s="55" t="s">
        <v>39</v>
      </c>
      <c r="K1967" s="55" t="s">
        <v>803</v>
      </c>
      <c r="L1967" s="55" t="s">
        <v>723</v>
      </c>
    </row>
    <row r="1968" spans="1:12" x14ac:dyDescent="0.25">
      <c r="A1968" s="55" t="s">
        <v>236</v>
      </c>
      <c r="B1968" s="56">
        <v>42576</v>
      </c>
      <c r="C1968" s="55" t="s">
        <v>1409</v>
      </c>
      <c r="D1968" s="55" t="str">
        <f t="shared" si="72"/>
        <v>Paychecks/Salary</v>
      </c>
      <c r="E1968" s="55" t="s">
        <v>261</v>
      </c>
      <c r="F1968" s="55" t="s">
        <v>238</v>
      </c>
      <c r="G1968" s="57">
        <v>6912.33</v>
      </c>
      <c r="H1968" s="55">
        <f t="shared" si="71"/>
        <v>201607</v>
      </c>
      <c r="I1968" s="55">
        <f>MATCH(D1968,$O:$O,0)</f>
        <v>40</v>
      </c>
      <c r="J1968" s="55" t="s">
        <v>39</v>
      </c>
      <c r="K1968" s="55" t="s">
        <v>803</v>
      </c>
      <c r="L1968" s="55" t="s">
        <v>723</v>
      </c>
    </row>
    <row r="1969" spans="1:12" x14ac:dyDescent="0.25">
      <c r="A1969" s="55" t="s">
        <v>236</v>
      </c>
      <c r="B1969" s="56">
        <v>42576</v>
      </c>
      <c r="C1969" s="55" t="s">
        <v>648</v>
      </c>
      <c r="D1969" s="55" t="str">
        <f t="shared" si="72"/>
        <v>Grocery</v>
      </c>
      <c r="E1969" s="55" t="s">
        <v>192</v>
      </c>
      <c r="F1969" s="55" t="s">
        <v>238</v>
      </c>
      <c r="G1969" s="55">
        <v>-34.840000000000003</v>
      </c>
      <c r="H1969" s="55">
        <f t="shared" si="71"/>
        <v>201607</v>
      </c>
      <c r="I1969" s="55">
        <f>MATCH(D1969,$O:$O,0)</f>
        <v>12</v>
      </c>
      <c r="J1969" s="55" t="s">
        <v>39</v>
      </c>
      <c r="K1969" s="55" t="s">
        <v>1398</v>
      </c>
      <c r="L1969" s="55" t="s">
        <v>326</v>
      </c>
    </row>
    <row r="1970" spans="1:12" x14ac:dyDescent="0.25">
      <c r="A1970" s="55" t="s">
        <v>236</v>
      </c>
      <c r="B1970" s="56">
        <v>42576</v>
      </c>
      <c r="C1970" s="55" t="s">
        <v>894</v>
      </c>
      <c r="D1970" s="55" t="str">
        <f t="shared" si="72"/>
        <v>Movies/Software/Online Service</v>
      </c>
      <c r="E1970" s="55" t="s">
        <v>167</v>
      </c>
      <c r="F1970" s="55" t="s">
        <v>238</v>
      </c>
      <c r="G1970" s="55">
        <v>-7.99</v>
      </c>
      <c r="H1970" s="55">
        <f t="shared" si="71"/>
        <v>201607</v>
      </c>
      <c r="I1970" s="55">
        <f>MATCH(D1970,$O:$O,0)</f>
        <v>22</v>
      </c>
      <c r="J1970" s="55" t="s">
        <v>39</v>
      </c>
      <c r="K1970" s="55" t="s">
        <v>1398</v>
      </c>
      <c r="L1970" s="55"/>
    </row>
    <row r="1971" spans="1:12" x14ac:dyDescent="0.25">
      <c r="A1971" s="55" t="s">
        <v>236</v>
      </c>
      <c r="B1971" s="56">
        <v>42573</v>
      </c>
      <c r="C1971" s="55" t="s">
        <v>1350</v>
      </c>
      <c r="D1971" s="55" t="str">
        <f t="shared" si="72"/>
        <v>Grocery</v>
      </c>
      <c r="E1971" s="55" t="s">
        <v>385</v>
      </c>
      <c r="F1971" s="55" t="s">
        <v>238</v>
      </c>
      <c r="G1971" s="55">
        <v>-88.73</v>
      </c>
      <c r="H1971" s="55">
        <f t="shared" si="71"/>
        <v>201607</v>
      </c>
      <c r="I1971" s="55">
        <f>MATCH(D1971,$O:$O,0)</f>
        <v>12</v>
      </c>
      <c r="J1971" s="55" t="s">
        <v>39</v>
      </c>
      <c r="K1971" s="55" t="s">
        <v>1394</v>
      </c>
      <c r="L1971" s="55" t="s">
        <v>193</v>
      </c>
    </row>
    <row r="1972" spans="1:12" x14ac:dyDescent="0.25">
      <c r="A1972" s="55" t="s">
        <v>236</v>
      </c>
      <c r="B1972" s="56">
        <v>42573</v>
      </c>
      <c r="C1972" s="55" t="s">
        <v>1410</v>
      </c>
      <c r="D1972" s="55" t="str">
        <f t="shared" si="72"/>
        <v>D-Restaurant</v>
      </c>
      <c r="E1972" s="55" t="s">
        <v>204</v>
      </c>
      <c r="F1972" s="55" t="s">
        <v>238</v>
      </c>
      <c r="G1972" s="55">
        <v>-9</v>
      </c>
      <c r="H1972" s="55">
        <f t="shared" si="71"/>
        <v>201607</v>
      </c>
      <c r="I1972" s="55">
        <f>MATCH(D1972,$O:$O,0)</f>
        <v>9</v>
      </c>
      <c r="J1972" s="55" t="s">
        <v>39</v>
      </c>
      <c r="K1972" s="55" t="s">
        <v>1394</v>
      </c>
      <c r="L1972" s="55"/>
    </row>
    <row r="1973" spans="1:12" x14ac:dyDescent="0.25">
      <c r="A1973" s="55" t="s">
        <v>236</v>
      </c>
      <c r="B1973" s="56">
        <v>42572</v>
      </c>
      <c r="C1973" s="55" t="s">
        <v>1411</v>
      </c>
      <c r="D1973" s="55" t="str">
        <f t="shared" si="72"/>
        <v>Transfers</v>
      </c>
      <c r="E1973" s="55" t="s">
        <v>226</v>
      </c>
      <c r="F1973" s="55" t="s">
        <v>238</v>
      </c>
      <c r="G1973" s="57">
        <v>-1000</v>
      </c>
      <c r="H1973" s="55">
        <f t="shared" si="71"/>
        <v>201607</v>
      </c>
      <c r="I1973" s="55">
        <f>MATCH(D1973,$O:$O,0)</f>
        <v>37</v>
      </c>
      <c r="J1973" s="55" t="s">
        <v>39</v>
      </c>
      <c r="K1973" s="55" t="s">
        <v>803</v>
      </c>
      <c r="L1973" s="55" t="s">
        <v>239</v>
      </c>
    </row>
    <row r="1974" spans="1:12" x14ac:dyDescent="0.25">
      <c r="A1974" s="55" t="s">
        <v>236</v>
      </c>
      <c r="B1974" s="56">
        <v>42572</v>
      </c>
      <c r="C1974" s="55" t="s">
        <v>1412</v>
      </c>
      <c r="D1974" s="55" t="str">
        <f t="shared" si="72"/>
        <v>Paychecks/Salary</v>
      </c>
      <c r="E1974" s="55" t="s">
        <v>261</v>
      </c>
      <c r="F1974" s="55" t="s">
        <v>238</v>
      </c>
      <c r="G1974" s="55">
        <v>36.25</v>
      </c>
      <c r="H1974" s="55">
        <f t="shared" si="71"/>
        <v>201607</v>
      </c>
      <c r="I1974" s="55">
        <f>MATCH(D1974,$O:$O,0)</f>
        <v>40</v>
      </c>
      <c r="J1974" s="55" t="s">
        <v>39</v>
      </c>
      <c r="K1974" s="55" t="s">
        <v>803</v>
      </c>
      <c r="L1974" s="55" t="s">
        <v>723</v>
      </c>
    </row>
    <row r="1975" spans="1:12" x14ac:dyDescent="0.25">
      <c r="A1975" s="55" t="s">
        <v>236</v>
      </c>
      <c r="B1975" s="56">
        <v>42572</v>
      </c>
      <c r="C1975" s="55" t="s">
        <v>1413</v>
      </c>
      <c r="D1975" s="55" t="str">
        <f t="shared" si="72"/>
        <v>D-Restaurant</v>
      </c>
      <c r="E1975" s="55" t="s">
        <v>204</v>
      </c>
      <c r="F1975" s="55" t="s">
        <v>238</v>
      </c>
      <c r="G1975" s="55">
        <v>-2.72</v>
      </c>
      <c r="H1975" s="55">
        <f t="shared" si="71"/>
        <v>201607</v>
      </c>
      <c r="I1975" s="55">
        <f>MATCH(D1975,$O:$O,0)</f>
        <v>9</v>
      </c>
      <c r="J1975" s="55" t="s">
        <v>39</v>
      </c>
      <c r="K1975" s="55" t="s">
        <v>1394</v>
      </c>
      <c r="L1975" s="55"/>
    </row>
    <row r="1976" spans="1:12" x14ac:dyDescent="0.25">
      <c r="A1976" s="55" t="s">
        <v>236</v>
      </c>
      <c r="B1976" s="56">
        <v>42571</v>
      </c>
      <c r="C1976" s="55" t="s">
        <v>1414</v>
      </c>
      <c r="D1976" s="55" t="str">
        <f t="shared" si="72"/>
        <v>D-Restaurant</v>
      </c>
      <c r="E1976" s="55" t="s">
        <v>204</v>
      </c>
      <c r="F1976" s="55" t="s">
        <v>238</v>
      </c>
      <c r="G1976" s="55">
        <v>-23.39</v>
      </c>
      <c r="H1976" s="55">
        <f t="shared" si="71"/>
        <v>201607</v>
      </c>
      <c r="I1976" s="55">
        <f>MATCH(D1976,$O:$O,0)</f>
        <v>9</v>
      </c>
      <c r="J1976" s="55" t="s">
        <v>39</v>
      </c>
      <c r="K1976" s="55" t="s">
        <v>1394</v>
      </c>
      <c r="L1976" s="55"/>
    </row>
    <row r="1977" spans="1:12" x14ac:dyDescent="0.25">
      <c r="A1977" s="55" t="s">
        <v>236</v>
      </c>
      <c r="B1977" s="56">
        <v>42571</v>
      </c>
      <c r="C1977" s="55" t="s">
        <v>775</v>
      </c>
      <c r="D1977" s="55" t="str">
        <f t="shared" si="72"/>
        <v>Grocery</v>
      </c>
      <c r="E1977" s="55" t="s">
        <v>192</v>
      </c>
      <c r="F1977" s="55" t="s">
        <v>238</v>
      </c>
      <c r="G1977" s="55">
        <v>-34.25</v>
      </c>
      <c r="H1977" s="55">
        <f t="shared" ref="H1977:H2039" si="73">YEAR(B1977)*100+MONTH(B1977)</f>
        <v>201607</v>
      </c>
      <c r="I1977" s="55">
        <f>MATCH(D1977,$O:$O,0)</f>
        <v>12</v>
      </c>
      <c r="J1977" s="55" t="s">
        <v>39</v>
      </c>
      <c r="K1977" s="55" t="s">
        <v>1398</v>
      </c>
      <c r="L1977" s="55" t="s">
        <v>816</v>
      </c>
    </row>
    <row r="1978" spans="1:12" x14ac:dyDescent="0.25">
      <c r="A1978" s="55" t="s">
        <v>236</v>
      </c>
      <c r="B1978" s="56">
        <v>42571</v>
      </c>
      <c r="C1978" s="55" t="s">
        <v>904</v>
      </c>
      <c r="D1978" s="55" t="str">
        <f t="shared" si="72"/>
        <v>Utility</v>
      </c>
      <c r="E1978" s="55" t="s">
        <v>19</v>
      </c>
      <c r="F1978" s="55" t="s">
        <v>238</v>
      </c>
      <c r="G1978" s="55">
        <v>-312.12</v>
      </c>
      <c r="H1978" s="55">
        <f t="shared" si="73"/>
        <v>201607</v>
      </c>
      <c r="I1978" s="55">
        <f>MATCH(D1978,$O:$O,0)</f>
        <v>34</v>
      </c>
      <c r="J1978" s="55" t="s">
        <v>39</v>
      </c>
      <c r="K1978" s="55" t="s">
        <v>1398</v>
      </c>
      <c r="L1978" s="55"/>
    </row>
    <row r="1979" spans="1:12" x14ac:dyDescent="0.25">
      <c r="A1979" s="55" t="s">
        <v>236</v>
      </c>
      <c r="B1979" s="56">
        <v>42570</v>
      </c>
      <c r="C1979" s="55" t="s">
        <v>1415</v>
      </c>
      <c r="D1979" s="55" t="str">
        <f t="shared" si="72"/>
        <v>Transfers</v>
      </c>
      <c r="E1979" s="55" t="s">
        <v>226</v>
      </c>
      <c r="F1979" s="55" t="s">
        <v>238</v>
      </c>
      <c r="G1979" s="57">
        <v>15046</v>
      </c>
      <c r="H1979" s="55">
        <f t="shared" si="73"/>
        <v>201607</v>
      </c>
      <c r="I1979" s="55">
        <f>MATCH(D1979,$O:$O,0)</f>
        <v>37</v>
      </c>
      <c r="J1979" s="55" t="s">
        <v>39</v>
      </c>
      <c r="K1979" s="55" t="s">
        <v>675</v>
      </c>
      <c r="L1979" s="55"/>
    </row>
    <row r="1980" spans="1:12" x14ac:dyDescent="0.25">
      <c r="A1980" s="55" t="s">
        <v>236</v>
      </c>
      <c r="B1980" s="56">
        <v>42570</v>
      </c>
      <c r="C1980" s="55" t="s">
        <v>1416</v>
      </c>
      <c r="D1980" s="55" t="str">
        <f t="shared" si="72"/>
        <v>Car Related</v>
      </c>
      <c r="E1980" s="55" t="s">
        <v>185</v>
      </c>
      <c r="F1980" s="55" t="s">
        <v>238</v>
      </c>
      <c r="G1980" s="55">
        <v>-95.98</v>
      </c>
      <c r="H1980" s="55">
        <f t="shared" si="73"/>
        <v>201607</v>
      </c>
      <c r="I1980" s="55">
        <f>MATCH(D1980,$O:$O,0)</f>
        <v>31</v>
      </c>
      <c r="J1980" s="55" t="s">
        <v>39</v>
      </c>
      <c r="K1980" s="55" t="s">
        <v>1398</v>
      </c>
      <c r="L1980" s="55" t="s">
        <v>965</v>
      </c>
    </row>
    <row r="1981" spans="1:12" x14ac:dyDescent="0.25">
      <c r="A1981" s="55" t="s">
        <v>236</v>
      </c>
      <c r="B1981" s="56">
        <v>42569</v>
      </c>
      <c r="C1981" s="55" t="s">
        <v>1417</v>
      </c>
      <c r="D1981" s="55" t="str">
        <f t="shared" si="72"/>
        <v>Gifts</v>
      </c>
      <c r="E1981" s="55" t="s">
        <v>40</v>
      </c>
      <c r="F1981" s="55" t="s">
        <v>238</v>
      </c>
      <c r="G1981" s="55">
        <v>-200</v>
      </c>
      <c r="H1981" s="55">
        <f t="shared" si="73"/>
        <v>201607</v>
      </c>
      <c r="I1981" s="55">
        <f>MATCH(D1981,$O:$O,0)</f>
        <v>11</v>
      </c>
      <c r="J1981" s="55" t="s">
        <v>39</v>
      </c>
      <c r="K1981" s="55" t="s">
        <v>803</v>
      </c>
      <c r="L1981" s="55"/>
    </row>
    <row r="1982" spans="1:12" x14ac:dyDescent="0.25">
      <c r="A1982" s="55" t="s">
        <v>236</v>
      </c>
      <c r="B1982" s="56">
        <v>42569</v>
      </c>
      <c r="C1982" s="55" t="s">
        <v>1418</v>
      </c>
      <c r="D1982" s="55" t="str">
        <f t="shared" si="72"/>
        <v>D-Restaurant</v>
      </c>
      <c r="E1982" s="55" t="s">
        <v>204</v>
      </c>
      <c r="F1982" s="55" t="s">
        <v>238</v>
      </c>
      <c r="G1982" s="55">
        <v>-4.25</v>
      </c>
      <c r="H1982" s="55">
        <f t="shared" si="73"/>
        <v>201607</v>
      </c>
      <c r="I1982" s="55">
        <f>MATCH(D1982,$O:$O,0)</f>
        <v>9</v>
      </c>
      <c r="J1982" s="55" t="s">
        <v>39</v>
      </c>
      <c r="K1982" s="55" t="s">
        <v>1394</v>
      </c>
      <c r="L1982" s="55"/>
    </row>
    <row r="1983" spans="1:12" x14ac:dyDescent="0.25">
      <c r="A1983" s="55" t="s">
        <v>236</v>
      </c>
      <c r="B1983" s="56">
        <v>42569</v>
      </c>
      <c r="C1983" s="55" t="s">
        <v>1350</v>
      </c>
      <c r="D1983" s="55" t="str">
        <f t="shared" si="72"/>
        <v>Grocery</v>
      </c>
      <c r="E1983" s="55" t="s">
        <v>385</v>
      </c>
      <c r="F1983" s="55" t="s">
        <v>238</v>
      </c>
      <c r="G1983" s="55">
        <v>-21.99</v>
      </c>
      <c r="H1983" s="55">
        <f t="shared" si="73"/>
        <v>201607</v>
      </c>
      <c r="I1983" s="55">
        <f>MATCH(D1983,$O:$O,0)</f>
        <v>12</v>
      </c>
      <c r="J1983" s="55" t="s">
        <v>39</v>
      </c>
      <c r="K1983" s="55" t="s">
        <v>1394</v>
      </c>
      <c r="L1983" s="55" t="s">
        <v>193</v>
      </c>
    </row>
    <row r="1984" spans="1:12" x14ac:dyDescent="0.25">
      <c r="A1984" s="55" t="s">
        <v>236</v>
      </c>
      <c r="B1984" s="56">
        <v>42568</v>
      </c>
      <c r="C1984" s="55" t="s">
        <v>1419</v>
      </c>
      <c r="D1984" s="55" t="str">
        <f t="shared" si="72"/>
        <v>D-Restaurant</v>
      </c>
      <c r="E1984" s="55" t="s">
        <v>204</v>
      </c>
      <c r="F1984" s="55" t="s">
        <v>238</v>
      </c>
      <c r="G1984" s="55">
        <v>-40.69</v>
      </c>
      <c r="H1984" s="55">
        <f t="shared" si="73"/>
        <v>201607</v>
      </c>
      <c r="I1984" s="55">
        <f>MATCH(D1984,$O:$O,0)</f>
        <v>9</v>
      </c>
      <c r="J1984" s="55" t="s">
        <v>39</v>
      </c>
      <c r="K1984" s="55" t="s">
        <v>1394</v>
      </c>
      <c r="L1984" s="55"/>
    </row>
    <row r="1985" spans="1:12" x14ac:dyDescent="0.25">
      <c r="A1985" s="55" t="s">
        <v>236</v>
      </c>
      <c r="B1985" s="56">
        <v>42567</v>
      </c>
      <c r="C1985" s="55" t="s">
        <v>1350</v>
      </c>
      <c r="D1985" s="55" t="str">
        <f t="shared" si="72"/>
        <v>Grocery</v>
      </c>
      <c r="E1985" s="55" t="s">
        <v>385</v>
      </c>
      <c r="F1985" s="55" t="s">
        <v>238</v>
      </c>
      <c r="G1985" s="55">
        <v>383.24</v>
      </c>
      <c r="H1985" s="55">
        <f t="shared" si="73"/>
        <v>201607</v>
      </c>
      <c r="I1985" s="55">
        <f>MATCH(D1985,$O:$O,0)</f>
        <v>12</v>
      </c>
      <c r="J1985" s="55" t="s">
        <v>39</v>
      </c>
      <c r="K1985" s="55" t="s">
        <v>1394</v>
      </c>
      <c r="L1985" s="55" t="s">
        <v>193</v>
      </c>
    </row>
    <row r="1986" spans="1:12" x14ac:dyDescent="0.25">
      <c r="A1986" s="55" t="s">
        <v>236</v>
      </c>
      <c r="B1986" s="56">
        <v>42567</v>
      </c>
      <c r="C1986" s="55" t="s">
        <v>1350</v>
      </c>
      <c r="D1986" s="55" t="str">
        <f t="shared" si="72"/>
        <v>Grocery</v>
      </c>
      <c r="E1986" s="55" t="s">
        <v>385</v>
      </c>
      <c r="F1986" s="55" t="s">
        <v>238</v>
      </c>
      <c r="G1986" s="55">
        <v>-84.38</v>
      </c>
      <c r="H1986" s="55">
        <f t="shared" si="73"/>
        <v>201607</v>
      </c>
      <c r="I1986" s="55">
        <f>MATCH(D1986,$O:$O,0)</f>
        <v>12</v>
      </c>
      <c r="J1986" s="55" t="s">
        <v>39</v>
      </c>
      <c r="K1986" s="55" t="s">
        <v>1394</v>
      </c>
      <c r="L1986" s="55" t="s">
        <v>193</v>
      </c>
    </row>
    <row r="1987" spans="1:12" x14ac:dyDescent="0.25">
      <c r="A1987" s="55" t="s">
        <v>236</v>
      </c>
      <c r="B1987" s="56">
        <v>42567</v>
      </c>
      <c r="C1987" s="55" t="s">
        <v>1350</v>
      </c>
      <c r="D1987" s="55" t="str">
        <f t="shared" si="72"/>
        <v>Grocery</v>
      </c>
      <c r="E1987" s="55" t="s">
        <v>385</v>
      </c>
      <c r="F1987" s="55" t="s">
        <v>238</v>
      </c>
      <c r="G1987" s="55">
        <v>-6.49</v>
      </c>
      <c r="H1987" s="55">
        <f t="shared" si="73"/>
        <v>201607</v>
      </c>
      <c r="I1987" s="55">
        <f>MATCH(D1987,$O:$O,0)</f>
        <v>12</v>
      </c>
      <c r="J1987" s="55" t="s">
        <v>39</v>
      </c>
      <c r="K1987" s="55" t="s">
        <v>1394</v>
      </c>
      <c r="L1987" s="55" t="s">
        <v>193</v>
      </c>
    </row>
    <row r="1988" spans="1:12" x14ac:dyDescent="0.25">
      <c r="A1988" s="55" t="s">
        <v>236</v>
      </c>
      <c r="B1988" s="56">
        <v>42567</v>
      </c>
      <c r="C1988" s="55" t="s">
        <v>565</v>
      </c>
      <c r="D1988" s="55" t="str">
        <f t="shared" si="72"/>
        <v>Grocery</v>
      </c>
      <c r="E1988" s="55" t="s">
        <v>192</v>
      </c>
      <c r="F1988" s="55" t="s">
        <v>238</v>
      </c>
      <c r="G1988" s="55">
        <v>-18.86</v>
      </c>
      <c r="H1988" s="55">
        <f t="shared" si="73"/>
        <v>201607</v>
      </c>
      <c r="I1988" s="55">
        <f>MATCH(D1988,$O:$O,0)</f>
        <v>12</v>
      </c>
      <c r="J1988" s="55" t="s">
        <v>39</v>
      </c>
      <c r="K1988" s="55" t="s">
        <v>1398</v>
      </c>
      <c r="L1988" s="55" t="s">
        <v>252</v>
      </c>
    </row>
    <row r="1989" spans="1:12" x14ac:dyDescent="0.25">
      <c r="A1989" s="55" t="s">
        <v>236</v>
      </c>
      <c r="B1989" s="56">
        <v>42566</v>
      </c>
      <c r="C1989" s="55" t="s">
        <v>1420</v>
      </c>
      <c r="D1989" s="55" t="str">
        <f t="shared" si="72"/>
        <v>Credit Card Payments</v>
      </c>
      <c r="E1989" s="55" t="s">
        <v>242</v>
      </c>
      <c r="F1989" s="55" t="s">
        <v>238</v>
      </c>
      <c r="G1989" s="55">
        <v>-310.82</v>
      </c>
      <c r="H1989" s="55">
        <f t="shared" si="73"/>
        <v>201607</v>
      </c>
      <c r="I1989" s="55">
        <f>MATCH(D1989,$O:$O,0)</f>
        <v>38</v>
      </c>
      <c r="J1989" s="55" t="s">
        <v>39</v>
      </c>
      <c r="K1989" s="55" t="s">
        <v>803</v>
      </c>
      <c r="L1989" s="55" t="s">
        <v>1421</v>
      </c>
    </row>
    <row r="1990" spans="1:12" x14ac:dyDescent="0.25">
      <c r="A1990" s="55" t="s">
        <v>236</v>
      </c>
      <c r="B1990" s="56">
        <v>42566</v>
      </c>
      <c r="C1990" s="55" t="s">
        <v>1078</v>
      </c>
      <c r="D1990" s="55" t="str">
        <f t="shared" si="72"/>
        <v>Paychecks/Salary</v>
      </c>
      <c r="E1990" s="55" t="s">
        <v>261</v>
      </c>
      <c r="F1990" s="55" t="s">
        <v>238</v>
      </c>
      <c r="G1990" s="57">
        <v>1641.85</v>
      </c>
      <c r="H1990" s="55">
        <f t="shared" si="73"/>
        <v>201607</v>
      </c>
      <c r="I1990" s="55">
        <f>MATCH(D1990,$O:$O,0)</f>
        <v>40</v>
      </c>
      <c r="J1990" s="55" t="s">
        <v>39</v>
      </c>
      <c r="K1990" s="55" t="s">
        <v>675</v>
      </c>
      <c r="L1990" s="55"/>
    </row>
    <row r="1991" spans="1:12" x14ac:dyDescent="0.25">
      <c r="A1991" s="55" t="s">
        <v>236</v>
      </c>
      <c r="B1991" s="56">
        <v>42566</v>
      </c>
      <c r="C1991" s="55" t="s">
        <v>1422</v>
      </c>
      <c r="D1991" s="55" t="str">
        <f t="shared" si="72"/>
        <v>Paychecks/Salary</v>
      </c>
      <c r="E1991" s="55" t="s">
        <v>375</v>
      </c>
      <c r="F1991" s="55" t="s">
        <v>238</v>
      </c>
      <c r="G1991" s="57">
        <v>3826.24</v>
      </c>
      <c r="H1991" s="55">
        <f t="shared" si="73"/>
        <v>201607</v>
      </c>
      <c r="I1991" s="55">
        <f>MATCH(D1991,$O:$O,0)</f>
        <v>40</v>
      </c>
      <c r="J1991" s="55" t="s">
        <v>39</v>
      </c>
      <c r="K1991" s="55" t="s">
        <v>803</v>
      </c>
      <c r="L1991" s="55" t="s">
        <v>339</v>
      </c>
    </row>
    <row r="1992" spans="1:12" x14ac:dyDescent="0.25">
      <c r="A1992" s="55" t="s">
        <v>236</v>
      </c>
      <c r="B1992" s="56">
        <v>42566</v>
      </c>
      <c r="C1992" s="55" t="s">
        <v>1423</v>
      </c>
      <c r="D1992" s="55" t="str">
        <f t="shared" si="72"/>
        <v>D-Restaurant</v>
      </c>
      <c r="E1992" s="55" t="s">
        <v>204</v>
      </c>
      <c r="F1992" s="55" t="s">
        <v>238</v>
      </c>
      <c r="G1992" s="55">
        <v>-12.56</v>
      </c>
      <c r="H1992" s="55">
        <f t="shared" si="73"/>
        <v>201607</v>
      </c>
      <c r="I1992" s="55">
        <f>MATCH(D1992,$O:$O,0)</f>
        <v>9</v>
      </c>
      <c r="J1992" s="55" t="s">
        <v>39</v>
      </c>
      <c r="K1992" s="55" t="s">
        <v>1394</v>
      </c>
      <c r="L1992" s="55"/>
    </row>
    <row r="1993" spans="1:12" x14ac:dyDescent="0.25">
      <c r="A1993" s="55" t="s">
        <v>236</v>
      </c>
      <c r="B1993" s="56">
        <v>42565</v>
      </c>
      <c r="C1993" s="55" t="s">
        <v>1424</v>
      </c>
      <c r="D1993" s="55" t="str">
        <f t="shared" si="72"/>
        <v>Credit Card Payments</v>
      </c>
      <c r="E1993" s="55" t="s">
        <v>242</v>
      </c>
      <c r="F1993" s="55" t="s">
        <v>238</v>
      </c>
      <c r="G1993" s="55">
        <v>310.82</v>
      </c>
      <c r="H1993" s="55">
        <f t="shared" si="73"/>
        <v>201607</v>
      </c>
      <c r="I1993" s="55">
        <f>MATCH(D1993,$O:$O,0)</f>
        <v>38</v>
      </c>
      <c r="J1993" s="55" t="s">
        <v>39</v>
      </c>
      <c r="K1993" s="55" t="s">
        <v>1394</v>
      </c>
      <c r="L1993" s="55"/>
    </row>
    <row r="1994" spans="1:12" x14ac:dyDescent="0.25">
      <c r="A1994" s="55" t="s">
        <v>236</v>
      </c>
      <c r="B1994" s="56">
        <v>42564</v>
      </c>
      <c r="C1994" s="55" t="s">
        <v>412</v>
      </c>
      <c r="D1994" s="55" t="str">
        <f t="shared" si="72"/>
        <v>Interest</v>
      </c>
      <c r="E1994" s="55" t="s">
        <v>200</v>
      </c>
      <c r="F1994" s="55" t="s">
        <v>238</v>
      </c>
      <c r="G1994" s="55">
        <v>0.16</v>
      </c>
      <c r="H1994" s="55">
        <f t="shared" si="73"/>
        <v>201607</v>
      </c>
      <c r="I1994" s="55" t="e">
        <f>MATCH(D1994,$O:$O,0)</f>
        <v>#N/A</v>
      </c>
      <c r="J1994" s="55" t="s">
        <v>39</v>
      </c>
      <c r="K1994" s="55" t="s">
        <v>803</v>
      </c>
      <c r="L1994" s="55" t="s">
        <v>200</v>
      </c>
    </row>
    <row r="1995" spans="1:12" x14ac:dyDescent="0.25">
      <c r="A1995" s="55" t="s">
        <v>236</v>
      </c>
      <c r="B1995" s="56">
        <v>42564</v>
      </c>
      <c r="C1995" s="55" t="s">
        <v>221</v>
      </c>
      <c r="D1995" s="55" t="str">
        <f t="shared" si="72"/>
        <v>Tax</v>
      </c>
      <c r="E1995" s="55" t="s">
        <v>222</v>
      </c>
      <c r="F1995" s="55" t="s">
        <v>238</v>
      </c>
      <c r="G1995" s="55">
        <v>-0.04</v>
      </c>
      <c r="H1995" s="55">
        <f t="shared" si="73"/>
        <v>201607</v>
      </c>
      <c r="I1995" s="55">
        <f>MATCH(D1995,$O:$O,0)</f>
        <v>29</v>
      </c>
      <c r="J1995" s="55" t="s">
        <v>39</v>
      </c>
      <c r="K1995" s="55" t="s">
        <v>803</v>
      </c>
      <c r="L1995" s="55"/>
    </row>
    <row r="1996" spans="1:12" x14ac:dyDescent="0.25">
      <c r="A1996" s="55" t="s">
        <v>236</v>
      </c>
      <c r="B1996" s="56">
        <v>42564</v>
      </c>
      <c r="C1996" s="55" t="s">
        <v>412</v>
      </c>
      <c r="D1996" s="55" t="str">
        <f t="shared" si="72"/>
        <v>Interest</v>
      </c>
      <c r="E1996" s="55" t="s">
        <v>200</v>
      </c>
      <c r="F1996" s="55" t="s">
        <v>238</v>
      </c>
      <c r="G1996" s="55">
        <v>0.2</v>
      </c>
      <c r="H1996" s="55">
        <f t="shared" si="73"/>
        <v>201607</v>
      </c>
      <c r="I1996" s="55" t="e">
        <f>MATCH(D1996,$O:$O,0)</f>
        <v>#N/A</v>
      </c>
      <c r="J1996" s="55" t="s">
        <v>39</v>
      </c>
      <c r="K1996" s="55" t="s">
        <v>628</v>
      </c>
      <c r="L1996" s="55" t="s">
        <v>200</v>
      </c>
    </row>
    <row r="1997" spans="1:12" x14ac:dyDescent="0.25">
      <c r="A1997" s="55" t="s">
        <v>236</v>
      </c>
      <c r="B1997" s="56">
        <v>42564</v>
      </c>
      <c r="C1997" s="55" t="s">
        <v>412</v>
      </c>
      <c r="D1997" s="55" t="str">
        <f t="shared" si="72"/>
        <v>Interest</v>
      </c>
      <c r="E1997" s="55" t="s">
        <v>200</v>
      </c>
      <c r="F1997" s="55" t="s">
        <v>238</v>
      </c>
      <c r="G1997" s="55">
        <v>0.24</v>
      </c>
      <c r="H1997" s="55">
        <f t="shared" si="73"/>
        <v>201607</v>
      </c>
      <c r="I1997" s="55" t="e">
        <f>MATCH(D1997,$O:$O,0)</f>
        <v>#N/A</v>
      </c>
      <c r="J1997" s="55" t="s">
        <v>39</v>
      </c>
      <c r="K1997" s="55" t="s">
        <v>676</v>
      </c>
      <c r="L1997" s="55" t="s">
        <v>200</v>
      </c>
    </row>
    <row r="1998" spans="1:12" x14ac:dyDescent="0.25">
      <c r="A1998" s="55" t="s">
        <v>236</v>
      </c>
      <c r="B1998" s="56">
        <v>42564</v>
      </c>
      <c r="C1998" s="55" t="s">
        <v>412</v>
      </c>
      <c r="D1998" s="55" t="str">
        <f t="shared" si="72"/>
        <v>Interest</v>
      </c>
      <c r="E1998" s="55" t="s">
        <v>200</v>
      </c>
      <c r="F1998" s="55" t="s">
        <v>238</v>
      </c>
      <c r="G1998" s="55">
        <v>0.05</v>
      </c>
      <c r="H1998" s="55">
        <f t="shared" si="73"/>
        <v>201607</v>
      </c>
      <c r="I1998" s="55" t="e">
        <f>MATCH(D1998,$O:$O,0)</f>
        <v>#N/A</v>
      </c>
      <c r="J1998" s="55" t="s">
        <v>39</v>
      </c>
      <c r="K1998" s="55" t="s">
        <v>675</v>
      </c>
      <c r="L1998" s="55" t="s">
        <v>200</v>
      </c>
    </row>
    <row r="1999" spans="1:12" x14ac:dyDescent="0.25">
      <c r="A1999" s="55" t="s">
        <v>236</v>
      </c>
      <c r="B1999" s="56">
        <v>42564</v>
      </c>
      <c r="C1999" s="55" t="s">
        <v>1310</v>
      </c>
      <c r="D1999" s="55" t="str">
        <f t="shared" si="72"/>
        <v>Utility</v>
      </c>
      <c r="E1999" s="55" t="s">
        <v>19</v>
      </c>
      <c r="F1999" s="55" t="s">
        <v>238</v>
      </c>
      <c r="G1999" s="55">
        <v>-54.92</v>
      </c>
      <c r="H1999" s="55">
        <f t="shared" si="73"/>
        <v>201607</v>
      </c>
      <c r="I1999" s="55">
        <f>MATCH(D1999,$O:$O,0)</f>
        <v>34</v>
      </c>
      <c r="J1999" s="55" t="s">
        <v>39</v>
      </c>
      <c r="K1999" s="55" t="s">
        <v>803</v>
      </c>
      <c r="L1999" s="55" t="s">
        <v>229</v>
      </c>
    </row>
    <row r="2000" spans="1:12" x14ac:dyDescent="0.25">
      <c r="A2000" s="55" t="s">
        <v>236</v>
      </c>
      <c r="B2000" s="56">
        <v>42564</v>
      </c>
      <c r="C2000" s="55" t="s">
        <v>221</v>
      </c>
      <c r="D2000" s="55" t="str">
        <f t="shared" si="72"/>
        <v>Tax</v>
      </c>
      <c r="E2000" s="55" t="s">
        <v>222</v>
      </c>
      <c r="F2000" s="55" t="s">
        <v>238</v>
      </c>
      <c r="G2000" s="55">
        <v>-0.06</v>
      </c>
      <c r="H2000" s="55">
        <f t="shared" si="73"/>
        <v>201607</v>
      </c>
      <c r="I2000" s="55">
        <f>MATCH(D2000,$O:$O,0)</f>
        <v>29</v>
      </c>
      <c r="J2000" s="55" t="s">
        <v>39</v>
      </c>
      <c r="K2000" s="55" t="s">
        <v>628</v>
      </c>
      <c r="L2000" s="55"/>
    </row>
    <row r="2001" spans="1:12" x14ac:dyDescent="0.25">
      <c r="A2001" s="55" t="s">
        <v>236</v>
      </c>
      <c r="B2001" s="56">
        <v>42564</v>
      </c>
      <c r="C2001" s="55" t="s">
        <v>1425</v>
      </c>
      <c r="D2001" s="55" t="str">
        <f t="shared" si="72"/>
        <v>D-Restaurant</v>
      </c>
      <c r="E2001" s="55" t="s">
        <v>204</v>
      </c>
      <c r="F2001" s="55" t="s">
        <v>238</v>
      </c>
      <c r="G2001" s="55">
        <v>-6.52</v>
      </c>
      <c r="H2001" s="55">
        <f t="shared" si="73"/>
        <v>201607</v>
      </c>
      <c r="I2001" s="55">
        <f>MATCH(D2001,$O:$O,0)</f>
        <v>9</v>
      </c>
      <c r="J2001" s="55" t="s">
        <v>39</v>
      </c>
      <c r="K2001" s="55" t="s">
        <v>1394</v>
      </c>
      <c r="L2001" s="55" t="s">
        <v>804</v>
      </c>
    </row>
    <row r="2002" spans="1:12" x14ac:dyDescent="0.25">
      <c r="A2002" s="55" t="s">
        <v>236</v>
      </c>
      <c r="B2002" s="56">
        <v>42563</v>
      </c>
      <c r="C2002" s="55" t="s">
        <v>1425</v>
      </c>
      <c r="D2002" s="55" t="str">
        <f t="shared" si="72"/>
        <v>D-Restaurant</v>
      </c>
      <c r="E2002" s="55" t="s">
        <v>204</v>
      </c>
      <c r="F2002" s="55" t="s">
        <v>238</v>
      </c>
      <c r="G2002" s="55">
        <v>-5</v>
      </c>
      <c r="H2002" s="55">
        <f t="shared" si="73"/>
        <v>201607</v>
      </c>
      <c r="I2002" s="55">
        <f>MATCH(D2002,$O:$O,0)</f>
        <v>9</v>
      </c>
      <c r="J2002" s="55" t="s">
        <v>39</v>
      </c>
      <c r="K2002" s="55" t="s">
        <v>1394</v>
      </c>
      <c r="L2002" s="55" t="s">
        <v>804</v>
      </c>
    </row>
    <row r="2003" spans="1:12" x14ac:dyDescent="0.25">
      <c r="A2003" s="55" t="s">
        <v>236</v>
      </c>
      <c r="B2003" s="56">
        <v>42563</v>
      </c>
      <c r="C2003" s="55" t="s">
        <v>1426</v>
      </c>
      <c r="D2003" s="55" t="str">
        <f t="shared" si="72"/>
        <v>Gas</v>
      </c>
      <c r="E2003" s="55" t="s">
        <v>311</v>
      </c>
      <c r="F2003" s="55" t="s">
        <v>238</v>
      </c>
      <c r="G2003" s="55">
        <v>-11.99</v>
      </c>
      <c r="H2003" s="55">
        <f t="shared" si="73"/>
        <v>201607</v>
      </c>
      <c r="I2003" s="55">
        <f>MATCH(D2003,$O:$O,0)</f>
        <v>30</v>
      </c>
      <c r="J2003" s="55" t="s">
        <v>39</v>
      </c>
      <c r="K2003" s="55" t="s">
        <v>1394</v>
      </c>
      <c r="L2003" s="55" t="s">
        <v>727</v>
      </c>
    </row>
    <row r="2004" spans="1:12" x14ac:dyDescent="0.25">
      <c r="A2004" s="55" t="s">
        <v>236</v>
      </c>
      <c r="B2004" s="56">
        <v>42563</v>
      </c>
      <c r="C2004" s="55" t="s">
        <v>1427</v>
      </c>
      <c r="D2004" s="55" t="str">
        <f t="shared" si="72"/>
        <v>Public Transit</v>
      </c>
      <c r="E2004" s="55" t="s">
        <v>1169</v>
      </c>
      <c r="F2004" s="55" t="s">
        <v>238</v>
      </c>
      <c r="G2004" s="55">
        <v>-20</v>
      </c>
      <c r="H2004" s="55">
        <f t="shared" si="73"/>
        <v>201607</v>
      </c>
      <c r="I2004" s="55">
        <f>MATCH(D2004,$O:$O,0)</f>
        <v>25</v>
      </c>
      <c r="J2004" s="55" t="s">
        <v>39</v>
      </c>
      <c r="K2004" s="55" t="s">
        <v>1394</v>
      </c>
      <c r="L2004" s="55"/>
    </row>
    <row r="2005" spans="1:12" x14ac:dyDescent="0.25">
      <c r="A2005" s="55" t="s">
        <v>236</v>
      </c>
      <c r="B2005" s="56">
        <v>42562</v>
      </c>
      <c r="C2005" s="55" t="s">
        <v>1428</v>
      </c>
      <c r="D2005" s="55" t="str">
        <f t="shared" si="72"/>
        <v>Credit Card Payments</v>
      </c>
      <c r="E2005" s="55" t="s">
        <v>242</v>
      </c>
      <c r="F2005" s="55" t="s">
        <v>238</v>
      </c>
      <c r="G2005" s="55">
        <v>-872</v>
      </c>
      <c r="H2005" s="55">
        <f t="shared" si="73"/>
        <v>201607</v>
      </c>
      <c r="I2005" s="55">
        <f>MATCH(D2005,$O:$O,0)</f>
        <v>38</v>
      </c>
      <c r="J2005" s="55" t="s">
        <v>39</v>
      </c>
      <c r="K2005" s="55" t="s">
        <v>675</v>
      </c>
      <c r="L2005" s="55"/>
    </row>
    <row r="2006" spans="1:12" x14ac:dyDescent="0.25">
      <c r="A2006" s="55" t="s">
        <v>236</v>
      </c>
      <c r="B2006" s="56">
        <v>42562</v>
      </c>
      <c r="C2006" s="55" t="s">
        <v>1429</v>
      </c>
      <c r="D2006" s="55" t="str">
        <f t="shared" si="72"/>
        <v>Credit Card Payments</v>
      </c>
      <c r="E2006" s="55" t="s">
        <v>242</v>
      </c>
      <c r="F2006" s="55" t="s">
        <v>238</v>
      </c>
      <c r="G2006" s="55">
        <v>-178</v>
      </c>
      <c r="H2006" s="55">
        <f t="shared" si="73"/>
        <v>201607</v>
      </c>
      <c r="I2006" s="55">
        <f>MATCH(D2006,$O:$O,0)</f>
        <v>38</v>
      </c>
      <c r="J2006" s="55" t="s">
        <v>39</v>
      </c>
      <c r="K2006" s="55" t="s">
        <v>675</v>
      </c>
      <c r="L2006" s="55"/>
    </row>
    <row r="2007" spans="1:12" x14ac:dyDescent="0.25">
      <c r="A2007" s="55" t="s">
        <v>236</v>
      </c>
      <c r="B2007" s="56">
        <v>42562</v>
      </c>
      <c r="C2007" s="55" t="s">
        <v>1430</v>
      </c>
      <c r="D2007" s="55" t="str">
        <f t="shared" si="72"/>
        <v>Seattle House</v>
      </c>
      <c r="E2007" s="55" t="s">
        <v>1207</v>
      </c>
      <c r="F2007" s="55" t="s">
        <v>238</v>
      </c>
      <c r="G2007" s="57">
        <v>-1955.41</v>
      </c>
      <c r="H2007" s="55">
        <f t="shared" si="73"/>
        <v>201607</v>
      </c>
      <c r="I2007" s="55">
        <f>MATCH(D2007,$O:$O,0)</f>
        <v>43</v>
      </c>
      <c r="J2007" s="55" t="s">
        <v>39</v>
      </c>
      <c r="K2007" s="55" t="s">
        <v>803</v>
      </c>
      <c r="L2007" s="55"/>
    </row>
    <row r="2008" spans="1:12" x14ac:dyDescent="0.25">
      <c r="A2008" s="55" t="s">
        <v>236</v>
      </c>
      <c r="B2008" s="56">
        <v>42562</v>
      </c>
      <c r="C2008" s="55" t="s">
        <v>845</v>
      </c>
      <c r="D2008" s="55" t="str">
        <f t="shared" ref="D2008:D2042" si="74">IF(ISNA(VLOOKUP(E2008,$L$2:$M$26,2,FALSE)),E2008,VLOOKUP(E2008,$L$2:$M$26,2,FALSE))</f>
        <v>Credit Card Payments</v>
      </c>
      <c r="E2008" s="55" t="s">
        <v>242</v>
      </c>
      <c r="F2008" s="55" t="s">
        <v>238</v>
      </c>
      <c r="G2008" s="55">
        <v>178</v>
      </c>
      <c r="H2008" s="55">
        <f t="shared" si="73"/>
        <v>201607</v>
      </c>
      <c r="I2008" s="55">
        <f>MATCH(D2008,$O:$O,0)</f>
        <v>38</v>
      </c>
      <c r="J2008" s="55" t="s">
        <v>39</v>
      </c>
      <c r="K2008" s="55" t="s">
        <v>1403</v>
      </c>
      <c r="L2008" s="55"/>
    </row>
    <row r="2009" spans="1:12" x14ac:dyDescent="0.25">
      <c r="A2009" s="55" t="s">
        <v>236</v>
      </c>
      <c r="B2009" s="56">
        <v>42562</v>
      </c>
      <c r="C2009" s="55" t="s">
        <v>565</v>
      </c>
      <c r="D2009" s="55" t="str">
        <f t="shared" si="74"/>
        <v>Grocery</v>
      </c>
      <c r="E2009" s="55" t="s">
        <v>192</v>
      </c>
      <c r="F2009" s="55" t="s">
        <v>238</v>
      </c>
      <c r="G2009" s="55">
        <v>-34.56</v>
      </c>
      <c r="H2009" s="55">
        <f t="shared" si="73"/>
        <v>201607</v>
      </c>
      <c r="I2009" s="55">
        <f>MATCH(D2009,$O:$O,0)</f>
        <v>12</v>
      </c>
      <c r="J2009" s="55" t="s">
        <v>39</v>
      </c>
      <c r="K2009" s="55" t="s">
        <v>1398</v>
      </c>
      <c r="L2009" s="55" t="s">
        <v>252</v>
      </c>
    </row>
    <row r="2010" spans="1:12" x14ac:dyDescent="0.25">
      <c r="A2010" s="55" t="s">
        <v>236</v>
      </c>
      <c r="B2010" s="56">
        <v>42562</v>
      </c>
      <c r="C2010" s="55" t="s">
        <v>1222</v>
      </c>
      <c r="D2010" s="55" t="str">
        <f t="shared" si="74"/>
        <v>Grocery</v>
      </c>
      <c r="E2010" s="55" t="s">
        <v>192</v>
      </c>
      <c r="F2010" s="55" t="s">
        <v>238</v>
      </c>
      <c r="G2010" s="55">
        <v>-17.95</v>
      </c>
      <c r="H2010" s="55">
        <f t="shared" si="73"/>
        <v>201607</v>
      </c>
      <c r="I2010" s="55">
        <f>MATCH(D2010,$O:$O,0)</f>
        <v>12</v>
      </c>
      <c r="J2010" s="55" t="s">
        <v>39</v>
      </c>
      <c r="K2010" s="55" t="s">
        <v>1398</v>
      </c>
      <c r="L2010" s="55" t="s">
        <v>886</v>
      </c>
    </row>
    <row r="2011" spans="1:12" x14ac:dyDescent="0.25">
      <c r="A2011" s="55" t="s">
        <v>236</v>
      </c>
      <c r="B2011" s="56">
        <v>42562</v>
      </c>
      <c r="C2011" s="55" t="s">
        <v>990</v>
      </c>
      <c r="D2011" s="55" t="str">
        <f t="shared" si="74"/>
        <v>Postage and Shipping</v>
      </c>
      <c r="E2011" s="55" t="s">
        <v>468</v>
      </c>
      <c r="F2011" s="55" t="s">
        <v>238</v>
      </c>
      <c r="G2011" s="55">
        <v>-13.75</v>
      </c>
      <c r="H2011" s="55">
        <f t="shared" si="73"/>
        <v>201607</v>
      </c>
      <c r="I2011" s="55" t="e">
        <f>MATCH(D2011,$O:$O,0)</f>
        <v>#N/A</v>
      </c>
      <c r="J2011" s="55" t="s">
        <v>39</v>
      </c>
      <c r="K2011" s="55" t="s">
        <v>1398</v>
      </c>
      <c r="L2011" s="55" t="s">
        <v>333</v>
      </c>
    </row>
    <row r="2012" spans="1:12" x14ac:dyDescent="0.25">
      <c r="A2012" s="55" t="s">
        <v>236</v>
      </c>
      <c r="B2012" s="56">
        <v>42562</v>
      </c>
      <c r="C2012" s="55" t="s">
        <v>845</v>
      </c>
      <c r="D2012" s="55" t="str">
        <f t="shared" si="74"/>
        <v>Credit Card Payments</v>
      </c>
      <c r="E2012" s="55" t="s">
        <v>242</v>
      </c>
      <c r="F2012" s="55" t="s">
        <v>238</v>
      </c>
      <c r="G2012" s="55">
        <v>872</v>
      </c>
      <c r="H2012" s="55">
        <f t="shared" si="73"/>
        <v>201607</v>
      </c>
      <c r="I2012" s="55">
        <f>MATCH(D2012,$O:$O,0)</f>
        <v>38</v>
      </c>
      <c r="J2012" s="55" t="s">
        <v>39</v>
      </c>
      <c r="K2012" s="55" t="s">
        <v>1398</v>
      </c>
      <c r="L2012" s="55"/>
    </row>
    <row r="2013" spans="1:12" x14ac:dyDescent="0.25">
      <c r="A2013" s="55" t="s">
        <v>236</v>
      </c>
      <c r="B2013" s="56">
        <v>42561</v>
      </c>
      <c r="C2013" s="55" t="s">
        <v>1348</v>
      </c>
      <c r="D2013" s="55" t="str">
        <f t="shared" si="74"/>
        <v>Gas</v>
      </c>
      <c r="E2013" s="55" t="s">
        <v>311</v>
      </c>
      <c r="F2013" s="55" t="s">
        <v>238</v>
      </c>
      <c r="G2013" s="55">
        <v>-31.96</v>
      </c>
      <c r="H2013" s="55">
        <f t="shared" si="73"/>
        <v>201607</v>
      </c>
      <c r="I2013" s="55">
        <f>MATCH(D2013,$O:$O,0)</f>
        <v>30</v>
      </c>
      <c r="J2013" s="55" t="s">
        <v>39</v>
      </c>
      <c r="K2013" s="55" t="s">
        <v>1394</v>
      </c>
      <c r="L2013" s="55" t="s">
        <v>310</v>
      </c>
    </row>
    <row r="2014" spans="1:12" x14ac:dyDescent="0.25">
      <c r="A2014" s="55" t="s">
        <v>236</v>
      </c>
      <c r="B2014" s="56">
        <v>42560</v>
      </c>
      <c r="C2014" s="55" t="s">
        <v>1350</v>
      </c>
      <c r="D2014" s="55" t="str">
        <f t="shared" si="74"/>
        <v>Grocery</v>
      </c>
      <c r="E2014" s="55" t="s">
        <v>385</v>
      </c>
      <c r="F2014" s="55" t="s">
        <v>238</v>
      </c>
      <c r="G2014" s="55">
        <v>21.89</v>
      </c>
      <c r="H2014" s="55">
        <f t="shared" si="73"/>
        <v>201607</v>
      </c>
      <c r="I2014" s="55">
        <f>MATCH(D2014,$O:$O,0)</f>
        <v>12</v>
      </c>
      <c r="J2014" s="55" t="s">
        <v>39</v>
      </c>
      <c r="K2014" s="55" t="s">
        <v>1394</v>
      </c>
      <c r="L2014" s="55" t="s">
        <v>193</v>
      </c>
    </row>
    <row r="2015" spans="1:12" x14ac:dyDescent="0.25">
      <c r="A2015" s="55" t="s">
        <v>236</v>
      </c>
      <c r="B2015" s="56">
        <v>42560</v>
      </c>
      <c r="C2015" s="55" t="s">
        <v>1350</v>
      </c>
      <c r="D2015" s="55" t="str">
        <f t="shared" si="74"/>
        <v>Grocery</v>
      </c>
      <c r="E2015" s="55" t="s">
        <v>385</v>
      </c>
      <c r="F2015" s="55" t="s">
        <v>238</v>
      </c>
      <c r="G2015" s="55">
        <v>-57.92</v>
      </c>
      <c r="H2015" s="55">
        <f t="shared" si="73"/>
        <v>201607</v>
      </c>
      <c r="I2015" s="55">
        <f>MATCH(D2015,$O:$O,0)</f>
        <v>12</v>
      </c>
      <c r="J2015" s="55" t="s">
        <v>39</v>
      </c>
      <c r="K2015" s="55" t="s">
        <v>1394</v>
      </c>
      <c r="L2015" s="55" t="s">
        <v>193</v>
      </c>
    </row>
    <row r="2016" spans="1:12" x14ac:dyDescent="0.25">
      <c r="A2016" s="55" t="s">
        <v>236</v>
      </c>
      <c r="B2016" s="56">
        <v>42560</v>
      </c>
      <c r="C2016" s="55" t="s">
        <v>1431</v>
      </c>
      <c r="D2016" s="55" t="str">
        <f t="shared" si="74"/>
        <v>Newspapers</v>
      </c>
      <c r="E2016" s="55" t="s">
        <v>1205</v>
      </c>
      <c r="F2016" s="55" t="s">
        <v>238</v>
      </c>
      <c r="G2016" s="55">
        <v>-14.99</v>
      </c>
      <c r="H2016" s="55">
        <f t="shared" si="73"/>
        <v>201607</v>
      </c>
      <c r="I2016" s="55">
        <f>MATCH(D2016,$O:$O,0)</f>
        <v>23</v>
      </c>
      <c r="J2016" s="55" t="s">
        <v>39</v>
      </c>
      <c r="K2016" s="55" t="s">
        <v>1289</v>
      </c>
      <c r="L2016" s="55"/>
    </row>
    <row r="2017" spans="1:12" x14ac:dyDescent="0.25">
      <c r="A2017" s="55" t="s">
        <v>236</v>
      </c>
      <c r="B2017" s="56">
        <v>42559</v>
      </c>
      <c r="C2017" s="55" t="s">
        <v>1432</v>
      </c>
      <c r="D2017" s="55" t="str">
        <f t="shared" si="74"/>
        <v>Health Care</v>
      </c>
      <c r="E2017" s="55" t="s">
        <v>160</v>
      </c>
      <c r="F2017" s="55" t="s">
        <v>238</v>
      </c>
      <c r="G2017" s="55">
        <v>-32</v>
      </c>
      <c r="H2017" s="55">
        <f t="shared" si="73"/>
        <v>201607</v>
      </c>
      <c r="I2017" s="55">
        <f>MATCH(D2017,$O:$O,0)</f>
        <v>14</v>
      </c>
      <c r="J2017" s="55" t="s">
        <v>39</v>
      </c>
      <c r="K2017" s="55" t="s">
        <v>1394</v>
      </c>
      <c r="L2017" s="55"/>
    </row>
    <row r="2018" spans="1:12" x14ac:dyDescent="0.25">
      <c r="A2018" s="55" t="s">
        <v>236</v>
      </c>
      <c r="B2018" s="56">
        <v>42559</v>
      </c>
      <c r="C2018" s="55" t="s">
        <v>1349</v>
      </c>
      <c r="D2018" s="55" t="str">
        <f t="shared" si="74"/>
        <v>D-Restaurant</v>
      </c>
      <c r="E2018" s="55" t="s">
        <v>204</v>
      </c>
      <c r="F2018" s="55" t="s">
        <v>238</v>
      </c>
      <c r="G2018" s="55">
        <v>-8.1999999999999993</v>
      </c>
      <c r="H2018" s="55">
        <f t="shared" si="73"/>
        <v>201607</v>
      </c>
      <c r="I2018" s="55">
        <f>MATCH(D2018,$O:$O,0)</f>
        <v>9</v>
      </c>
      <c r="J2018" s="55" t="s">
        <v>39</v>
      </c>
      <c r="K2018" s="55" t="s">
        <v>1394</v>
      </c>
      <c r="L2018" s="55"/>
    </row>
    <row r="2019" spans="1:12" x14ac:dyDescent="0.25">
      <c r="A2019" s="55" t="s">
        <v>236</v>
      </c>
      <c r="B2019" s="56">
        <v>42558</v>
      </c>
      <c r="C2019" s="55" t="s">
        <v>1348</v>
      </c>
      <c r="D2019" s="55" t="str">
        <f t="shared" si="74"/>
        <v>Gas</v>
      </c>
      <c r="E2019" s="55" t="s">
        <v>311</v>
      </c>
      <c r="F2019" s="55" t="s">
        <v>238</v>
      </c>
      <c r="G2019" s="55">
        <v>-26.71</v>
      </c>
      <c r="H2019" s="55">
        <f t="shared" si="73"/>
        <v>201607</v>
      </c>
      <c r="I2019" s="55">
        <f>MATCH(D2019,$O:$O,0)</f>
        <v>30</v>
      </c>
      <c r="J2019" s="55" t="s">
        <v>39</v>
      </c>
      <c r="K2019" s="55" t="s">
        <v>1394</v>
      </c>
      <c r="L2019" s="55" t="s">
        <v>310</v>
      </c>
    </row>
    <row r="2020" spans="1:12" x14ac:dyDescent="0.25">
      <c r="A2020" s="55" t="s">
        <v>236</v>
      </c>
      <c r="B2020" s="56">
        <v>42558</v>
      </c>
      <c r="C2020" s="55" t="s">
        <v>1349</v>
      </c>
      <c r="D2020" s="55" t="str">
        <f t="shared" si="74"/>
        <v>D-Restaurant</v>
      </c>
      <c r="E2020" s="55" t="s">
        <v>204</v>
      </c>
      <c r="F2020" s="55" t="s">
        <v>238</v>
      </c>
      <c r="G2020" s="55">
        <v>-8.1999999999999993</v>
      </c>
      <c r="H2020" s="55">
        <f t="shared" si="73"/>
        <v>201607</v>
      </c>
      <c r="I2020" s="55">
        <f>MATCH(D2020,$O:$O,0)</f>
        <v>9</v>
      </c>
      <c r="J2020" s="55" t="s">
        <v>39</v>
      </c>
      <c r="K2020" s="55" t="s">
        <v>1394</v>
      </c>
      <c r="L2020" s="55"/>
    </row>
    <row r="2021" spans="1:12" x14ac:dyDescent="0.25">
      <c r="A2021" s="55" t="s">
        <v>236</v>
      </c>
      <c r="B2021" s="56">
        <v>42558</v>
      </c>
      <c r="C2021" s="55" t="s">
        <v>1350</v>
      </c>
      <c r="D2021" s="55" t="str">
        <f t="shared" si="74"/>
        <v>Grocery</v>
      </c>
      <c r="E2021" s="55" t="s">
        <v>385</v>
      </c>
      <c r="F2021" s="55" t="s">
        <v>238</v>
      </c>
      <c r="G2021" s="55">
        <v>-109.73</v>
      </c>
      <c r="H2021" s="55">
        <f t="shared" si="73"/>
        <v>201607</v>
      </c>
      <c r="I2021" s="55">
        <f>MATCH(D2021,$O:$O,0)</f>
        <v>12</v>
      </c>
      <c r="J2021" s="55" t="s">
        <v>39</v>
      </c>
      <c r="K2021" s="55" t="s">
        <v>1394</v>
      </c>
      <c r="L2021" s="55" t="s">
        <v>193</v>
      </c>
    </row>
    <row r="2022" spans="1:12" x14ac:dyDescent="0.25">
      <c r="A2022" s="55" t="s">
        <v>236</v>
      </c>
      <c r="B2022" s="56">
        <v>42558</v>
      </c>
      <c r="C2022" s="55" t="s">
        <v>853</v>
      </c>
      <c r="D2022" s="55" t="str">
        <f t="shared" si="74"/>
        <v>D-Travel</v>
      </c>
      <c r="E2022" s="55" t="s">
        <v>161</v>
      </c>
      <c r="F2022" s="55" t="s">
        <v>238</v>
      </c>
      <c r="G2022" s="55">
        <v>-14.5</v>
      </c>
      <c r="H2022" s="55">
        <f t="shared" si="73"/>
        <v>201607</v>
      </c>
      <c r="I2022" s="55">
        <f>MATCH(D2022,$O:$O,0)</f>
        <v>10</v>
      </c>
      <c r="J2022" s="55" t="s">
        <v>39</v>
      </c>
      <c r="K2022" s="55" t="s">
        <v>1398</v>
      </c>
      <c r="L2022" s="55"/>
    </row>
    <row r="2023" spans="1:12" x14ac:dyDescent="0.25">
      <c r="A2023" s="55" t="s">
        <v>236</v>
      </c>
      <c r="B2023" s="56">
        <v>42557</v>
      </c>
      <c r="C2023" s="55" t="s">
        <v>1433</v>
      </c>
      <c r="D2023" s="55" t="str">
        <f t="shared" si="74"/>
        <v>Car Related</v>
      </c>
      <c r="E2023" s="55" t="s">
        <v>185</v>
      </c>
      <c r="F2023" s="55" t="s">
        <v>238</v>
      </c>
      <c r="G2023" s="55">
        <v>-101.67</v>
      </c>
      <c r="H2023" s="55">
        <f t="shared" si="73"/>
        <v>201607</v>
      </c>
      <c r="I2023" s="55">
        <f>MATCH(D2023,$O:$O,0)</f>
        <v>31</v>
      </c>
      <c r="J2023" s="55" t="s">
        <v>39</v>
      </c>
      <c r="K2023" s="55" t="s">
        <v>1394</v>
      </c>
      <c r="L2023" s="55"/>
    </row>
    <row r="2024" spans="1:12" x14ac:dyDescent="0.25">
      <c r="A2024" s="55" t="s">
        <v>236</v>
      </c>
      <c r="B2024" s="56">
        <v>42557</v>
      </c>
      <c r="C2024" s="55" t="s">
        <v>1349</v>
      </c>
      <c r="D2024" s="55" t="str">
        <f t="shared" si="74"/>
        <v>D-Restaurant</v>
      </c>
      <c r="E2024" s="55" t="s">
        <v>204</v>
      </c>
      <c r="F2024" s="55" t="s">
        <v>238</v>
      </c>
      <c r="G2024" s="55">
        <v>-4.55</v>
      </c>
      <c r="H2024" s="55">
        <f t="shared" si="73"/>
        <v>201607</v>
      </c>
      <c r="I2024" s="55">
        <f>MATCH(D2024,$O:$O,0)</f>
        <v>9</v>
      </c>
      <c r="J2024" s="55" t="s">
        <v>39</v>
      </c>
      <c r="K2024" s="55" t="s">
        <v>1394</v>
      </c>
      <c r="L2024" s="55"/>
    </row>
    <row r="2025" spans="1:12" x14ac:dyDescent="0.25">
      <c r="A2025" s="55" t="s">
        <v>236</v>
      </c>
      <c r="B2025" s="56">
        <v>42557</v>
      </c>
      <c r="C2025" s="55" t="s">
        <v>1282</v>
      </c>
      <c r="D2025" s="55" t="str">
        <f t="shared" si="74"/>
        <v>D-Restaurant</v>
      </c>
      <c r="E2025" s="55" t="s">
        <v>204</v>
      </c>
      <c r="F2025" s="55" t="s">
        <v>238</v>
      </c>
      <c r="G2025" s="55">
        <v>-11.14</v>
      </c>
      <c r="H2025" s="55">
        <f t="shared" si="73"/>
        <v>201607</v>
      </c>
      <c r="I2025" s="55">
        <f>MATCH(D2025,$O:$O,0)</f>
        <v>9</v>
      </c>
      <c r="J2025" s="55" t="s">
        <v>39</v>
      </c>
      <c r="K2025" s="55" t="s">
        <v>1398</v>
      </c>
      <c r="L2025" s="55" t="s">
        <v>1283</v>
      </c>
    </row>
    <row r="2026" spans="1:12" x14ac:dyDescent="0.25">
      <c r="A2026" s="55" t="s">
        <v>236</v>
      </c>
      <c r="B2026" s="56">
        <v>42557</v>
      </c>
      <c r="C2026" s="55" t="s">
        <v>1434</v>
      </c>
      <c r="D2026" s="55" t="str">
        <f t="shared" si="74"/>
        <v>D-Activities</v>
      </c>
      <c r="E2026" s="55" t="s">
        <v>126</v>
      </c>
      <c r="F2026" s="55" t="s">
        <v>238</v>
      </c>
      <c r="G2026" s="55">
        <v>-85</v>
      </c>
      <c r="H2026" s="55">
        <f t="shared" si="73"/>
        <v>201607</v>
      </c>
      <c r="I2026" s="55">
        <f>MATCH(D2026,$O:$O,0)</f>
        <v>6</v>
      </c>
      <c r="J2026" s="55" t="s">
        <v>39</v>
      </c>
      <c r="K2026" s="55" t="s">
        <v>1398</v>
      </c>
      <c r="L2026" s="55"/>
    </row>
    <row r="2027" spans="1:12" x14ac:dyDescent="0.25">
      <c r="A2027" s="55" t="s">
        <v>236</v>
      </c>
      <c r="B2027" s="56">
        <v>42556</v>
      </c>
      <c r="C2027" s="55" t="s">
        <v>1155</v>
      </c>
      <c r="D2027" s="55" t="str">
        <f t="shared" si="74"/>
        <v>Car Related</v>
      </c>
      <c r="E2027" s="55" t="s">
        <v>185</v>
      </c>
      <c r="F2027" s="55" t="s">
        <v>238</v>
      </c>
      <c r="G2027" s="55">
        <v>-321.52</v>
      </c>
      <c r="H2027" s="55">
        <f t="shared" si="73"/>
        <v>201607</v>
      </c>
      <c r="I2027" s="55">
        <f>MATCH(D2027,$O:$O,0)</f>
        <v>31</v>
      </c>
      <c r="J2027" s="55" t="s">
        <v>39</v>
      </c>
      <c r="K2027" s="55" t="s">
        <v>675</v>
      </c>
      <c r="L2027" s="55" t="s">
        <v>1156</v>
      </c>
    </row>
    <row r="2028" spans="1:12" x14ac:dyDescent="0.25">
      <c r="A2028" s="55" t="s">
        <v>236</v>
      </c>
      <c r="B2028" s="56">
        <v>42556</v>
      </c>
      <c r="C2028" s="55" t="s">
        <v>1158</v>
      </c>
      <c r="D2028" s="55" t="str">
        <f t="shared" si="74"/>
        <v>Finance Charges</v>
      </c>
      <c r="E2028" s="55" t="s">
        <v>169</v>
      </c>
      <c r="F2028" s="55" t="s">
        <v>238</v>
      </c>
      <c r="G2028" s="55">
        <v>56.2</v>
      </c>
      <c r="H2028" s="55">
        <f t="shared" si="73"/>
        <v>201607</v>
      </c>
      <c r="I2028" s="55">
        <f>MATCH(D2028,$O:$O,0)</f>
        <v>35</v>
      </c>
      <c r="J2028" s="55" t="s">
        <v>39</v>
      </c>
      <c r="K2028" s="55" t="s">
        <v>803</v>
      </c>
      <c r="L2028" s="55"/>
    </row>
    <row r="2029" spans="1:12" x14ac:dyDescent="0.25">
      <c r="A2029" s="55" t="s">
        <v>236</v>
      </c>
      <c r="B2029" s="56">
        <v>42556</v>
      </c>
      <c r="C2029" s="55" t="s">
        <v>1425</v>
      </c>
      <c r="D2029" s="55" t="str">
        <f t="shared" si="74"/>
        <v>D-Restaurant</v>
      </c>
      <c r="E2029" s="55" t="s">
        <v>204</v>
      </c>
      <c r="F2029" s="55" t="s">
        <v>238</v>
      </c>
      <c r="G2029" s="55">
        <v>-5</v>
      </c>
      <c r="H2029" s="55">
        <f t="shared" si="73"/>
        <v>201607</v>
      </c>
      <c r="I2029" s="55">
        <f>MATCH(D2029,$O:$O,0)</f>
        <v>9</v>
      </c>
      <c r="J2029" s="55" t="s">
        <v>39</v>
      </c>
      <c r="K2029" s="55" t="s">
        <v>1394</v>
      </c>
      <c r="L2029" s="55" t="s">
        <v>804</v>
      </c>
    </row>
    <row r="2030" spans="1:12" x14ac:dyDescent="0.25">
      <c r="A2030" s="55" t="s">
        <v>236</v>
      </c>
      <c r="B2030" s="56">
        <v>42556</v>
      </c>
      <c r="C2030" s="55" t="s">
        <v>1435</v>
      </c>
      <c r="D2030" s="55" t="str">
        <f t="shared" si="74"/>
        <v>D-Restaurant</v>
      </c>
      <c r="E2030" s="55" t="s">
        <v>204</v>
      </c>
      <c r="F2030" s="55" t="s">
        <v>238</v>
      </c>
      <c r="G2030" s="55">
        <v>-42.07</v>
      </c>
      <c r="H2030" s="55">
        <f t="shared" si="73"/>
        <v>201607</v>
      </c>
      <c r="I2030" s="55">
        <f>MATCH(D2030,$O:$O,0)</f>
        <v>9</v>
      </c>
      <c r="J2030" s="55" t="s">
        <v>39</v>
      </c>
      <c r="K2030" s="55" t="s">
        <v>1394</v>
      </c>
      <c r="L2030" s="55"/>
    </row>
    <row r="2031" spans="1:12" x14ac:dyDescent="0.25">
      <c r="A2031" s="55" t="s">
        <v>236</v>
      </c>
      <c r="B2031" s="56">
        <v>42556</v>
      </c>
      <c r="C2031" s="55" t="s">
        <v>1436</v>
      </c>
      <c r="D2031" s="55" t="str">
        <f t="shared" si="74"/>
        <v>Home Maintainence/Improvement</v>
      </c>
      <c r="E2031" s="55" t="s">
        <v>342</v>
      </c>
      <c r="F2031" s="55" t="s">
        <v>238</v>
      </c>
      <c r="G2031" s="55">
        <v>-9.76</v>
      </c>
      <c r="H2031" s="55">
        <f t="shared" si="73"/>
        <v>201607</v>
      </c>
      <c r="I2031" s="55">
        <f>MATCH(D2031,$O:$O,0)</f>
        <v>16</v>
      </c>
      <c r="J2031" s="55" t="s">
        <v>39</v>
      </c>
      <c r="K2031" s="55" t="s">
        <v>1394</v>
      </c>
      <c r="L2031" s="55" t="s">
        <v>351</v>
      </c>
    </row>
    <row r="2032" spans="1:12" x14ac:dyDescent="0.25">
      <c r="A2032" s="55" t="s">
        <v>236</v>
      </c>
      <c r="B2032" s="56">
        <v>42555</v>
      </c>
      <c r="C2032" s="55" t="s">
        <v>1437</v>
      </c>
      <c r="D2032" s="55" t="str">
        <f t="shared" si="74"/>
        <v>D-Travel</v>
      </c>
      <c r="E2032" s="55" t="s">
        <v>161</v>
      </c>
      <c r="F2032" s="55" t="s">
        <v>238</v>
      </c>
      <c r="G2032" s="55">
        <v>-1.95</v>
      </c>
      <c r="H2032" s="55">
        <f t="shared" si="73"/>
        <v>201607</v>
      </c>
      <c r="I2032" s="55">
        <f>MATCH(D2032,$O:$O,0)</f>
        <v>10</v>
      </c>
      <c r="J2032" s="55" t="s">
        <v>39</v>
      </c>
      <c r="K2032" s="55" t="s">
        <v>1394</v>
      </c>
      <c r="L2032" s="55"/>
    </row>
    <row r="2033" spans="1:12" x14ac:dyDescent="0.25">
      <c r="A2033" s="55" t="s">
        <v>236</v>
      </c>
      <c r="B2033" s="56">
        <v>42555</v>
      </c>
      <c r="C2033" s="55" t="s">
        <v>585</v>
      </c>
      <c r="D2033" s="55" t="str">
        <f t="shared" si="74"/>
        <v>D-Travel</v>
      </c>
      <c r="E2033" s="55" t="s">
        <v>161</v>
      </c>
      <c r="F2033" s="55" t="s">
        <v>238</v>
      </c>
      <c r="G2033" s="55">
        <v>-2.25</v>
      </c>
      <c r="H2033" s="55">
        <f t="shared" si="73"/>
        <v>201607</v>
      </c>
      <c r="I2033" s="55">
        <f>MATCH(D2033,$O:$O,0)</f>
        <v>10</v>
      </c>
      <c r="J2033" s="55" t="s">
        <v>39</v>
      </c>
      <c r="K2033" s="55" t="s">
        <v>1394</v>
      </c>
      <c r="L2033" s="55"/>
    </row>
    <row r="2034" spans="1:12" x14ac:dyDescent="0.25">
      <c r="A2034" s="55" t="s">
        <v>236</v>
      </c>
      <c r="B2034" s="56">
        <v>42555</v>
      </c>
      <c r="C2034" s="55" t="s">
        <v>1438</v>
      </c>
      <c r="D2034" s="55" t="str">
        <f t="shared" si="74"/>
        <v>Grocery</v>
      </c>
      <c r="E2034" s="55" t="s">
        <v>192</v>
      </c>
      <c r="F2034" s="55" t="s">
        <v>238</v>
      </c>
      <c r="G2034" s="55">
        <v>-10.17</v>
      </c>
      <c r="H2034" s="55">
        <f t="shared" si="73"/>
        <v>201607</v>
      </c>
      <c r="I2034" s="55">
        <f>MATCH(D2034,$O:$O,0)</f>
        <v>12</v>
      </c>
      <c r="J2034" s="55" t="s">
        <v>39</v>
      </c>
      <c r="K2034" s="55" t="s">
        <v>1394</v>
      </c>
      <c r="L2034" s="55" t="s">
        <v>1439</v>
      </c>
    </row>
    <row r="2035" spans="1:12" x14ac:dyDescent="0.25">
      <c r="A2035" s="55" t="s">
        <v>236</v>
      </c>
      <c r="B2035" s="56">
        <v>42555</v>
      </c>
      <c r="C2035" s="55" t="s">
        <v>1440</v>
      </c>
      <c r="D2035" s="55" t="str">
        <f t="shared" si="74"/>
        <v>D-Restaurant</v>
      </c>
      <c r="E2035" s="55" t="s">
        <v>204</v>
      </c>
      <c r="F2035" s="55" t="s">
        <v>238</v>
      </c>
      <c r="G2035" s="55">
        <v>-7.88</v>
      </c>
      <c r="H2035" s="55">
        <f t="shared" si="73"/>
        <v>201607</v>
      </c>
      <c r="I2035" s="55">
        <f>MATCH(D2035,$O:$O,0)</f>
        <v>9</v>
      </c>
      <c r="J2035" s="55" t="s">
        <v>39</v>
      </c>
      <c r="K2035" s="55" t="s">
        <v>1394</v>
      </c>
      <c r="L2035" s="55"/>
    </row>
    <row r="2036" spans="1:12" x14ac:dyDescent="0.25">
      <c r="A2036" s="55" t="s">
        <v>236</v>
      </c>
      <c r="B2036" s="56">
        <v>42555</v>
      </c>
      <c r="C2036" s="55" t="s">
        <v>1441</v>
      </c>
      <c r="D2036" s="55" t="str">
        <f t="shared" si="74"/>
        <v>Grocery</v>
      </c>
      <c r="E2036" s="55" t="s">
        <v>192</v>
      </c>
      <c r="F2036" s="55" t="s">
        <v>238</v>
      </c>
      <c r="G2036" s="55">
        <v>-29.4</v>
      </c>
      <c r="H2036" s="55">
        <f t="shared" si="73"/>
        <v>201607</v>
      </c>
      <c r="I2036" s="55">
        <f>MATCH(D2036,$O:$O,0)</f>
        <v>12</v>
      </c>
      <c r="J2036" s="55" t="s">
        <v>39</v>
      </c>
      <c r="K2036" s="55" t="s">
        <v>1398</v>
      </c>
      <c r="L2036" s="55" t="s">
        <v>814</v>
      </c>
    </row>
    <row r="2037" spans="1:12" x14ac:dyDescent="0.25">
      <c r="A2037" s="55" t="s">
        <v>236</v>
      </c>
      <c r="B2037" s="56">
        <v>42555</v>
      </c>
      <c r="C2037" s="55" t="s">
        <v>1442</v>
      </c>
      <c r="D2037" s="55" t="str">
        <f t="shared" si="74"/>
        <v>z-New Asset</v>
      </c>
      <c r="E2037" s="55" t="s">
        <v>121</v>
      </c>
      <c r="F2037" s="55" t="s">
        <v>238</v>
      </c>
      <c r="G2037" s="55">
        <v>-65.209999999999994</v>
      </c>
      <c r="H2037" s="55">
        <f t="shared" si="73"/>
        <v>201607</v>
      </c>
      <c r="I2037" s="55">
        <f>MATCH(D2037,$O:$O,0)</f>
        <v>36</v>
      </c>
      <c r="J2037" s="55" t="s">
        <v>39</v>
      </c>
      <c r="K2037" s="55" t="s">
        <v>1398</v>
      </c>
      <c r="L2037" s="55" t="s">
        <v>313</v>
      </c>
    </row>
    <row r="2038" spans="1:12" x14ac:dyDescent="0.25">
      <c r="A2038" s="55" t="s">
        <v>236</v>
      </c>
      <c r="B2038" s="56">
        <v>42554</v>
      </c>
      <c r="C2038" s="55" t="s">
        <v>1443</v>
      </c>
      <c r="D2038" s="55" t="str">
        <f t="shared" si="74"/>
        <v>z-New Asset</v>
      </c>
      <c r="E2038" s="55" t="s">
        <v>121</v>
      </c>
      <c r="F2038" s="55" t="s">
        <v>238</v>
      </c>
      <c r="G2038" s="55">
        <v>-182.04</v>
      </c>
      <c r="H2038" s="55">
        <f t="shared" si="73"/>
        <v>201607</v>
      </c>
      <c r="I2038" s="55">
        <f>MATCH(D2038,$O:$O,0)</f>
        <v>36</v>
      </c>
      <c r="J2038" s="55" t="s">
        <v>39</v>
      </c>
      <c r="K2038" s="55" t="s">
        <v>1394</v>
      </c>
      <c r="L2038" s="55" t="s">
        <v>1444</v>
      </c>
    </row>
    <row r="2039" spans="1:12" x14ac:dyDescent="0.25">
      <c r="A2039" s="55" t="s">
        <v>236</v>
      </c>
      <c r="B2039" s="56">
        <v>42554</v>
      </c>
      <c r="C2039" s="55" t="s">
        <v>1436</v>
      </c>
      <c r="D2039" s="55" t="str">
        <f t="shared" si="74"/>
        <v>Home Maintainence/Improvement</v>
      </c>
      <c r="E2039" s="55" t="s">
        <v>342</v>
      </c>
      <c r="F2039" s="55" t="s">
        <v>238</v>
      </c>
      <c r="G2039" s="55">
        <v>-14.43</v>
      </c>
      <c r="H2039" s="55">
        <f t="shared" si="73"/>
        <v>201607</v>
      </c>
      <c r="I2039" s="55">
        <f>MATCH(D2039,$O:$O,0)</f>
        <v>16</v>
      </c>
      <c r="J2039" s="55" t="s">
        <v>39</v>
      </c>
      <c r="K2039" s="55" t="s">
        <v>1394</v>
      </c>
      <c r="L2039" s="55" t="s">
        <v>351</v>
      </c>
    </row>
    <row r="2040" spans="1:12" x14ac:dyDescent="0.25">
      <c r="A2040" s="55" t="s">
        <v>236</v>
      </c>
      <c r="B2040" s="56">
        <v>42553</v>
      </c>
      <c r="C2040" s="55" t="s">
        <v>565</v>
      </c>
      <c r="D2040" s="55" t="str">
        <f t="shared" si="74"/>
        <v>Grocery</v>
      </c>
      <c r="E2040" s="55" t="s">
        <v>192</v>
      </c>
      <c r="F2040" s="55" t="s">
        <v>238</v>
      </c>
      <c r="G2040" s="55">
        <v>-3.99</v>
      </c>
      <c r="H2040" s="55">
        <f t="shared" ref="H2040:H2042" si="75">YEAR(B2040)*100+MONTH(B2040)</f>
        <v>201607</v>
      </c>
      <c r="I2040" s="55">
        <f>MATCH(D2040,$O:$O,0)</f>
        <v>12</v>
      </c>
      <c r="J2040" s="55" t="s">
        <v>39</v>
      </c>
      <c r="K2040" s="55" t="s">
        <v>1398</v>
      </c>
      <c r="L2040" s="55" t="s">
        <v>252</v>
      </c>
    </row>
    <row r="2041" spans="1:12" x14ac:dyDescent="0.25">
      <c r="A2041" s="55" t="s">
        <v>236</v>
      </c>
      <c r="B2041" s="56">
        <v>42553</v>
      </c>
      <c r="C2041" s="55" t="s">
        <v>565</v>
      </c>
      <c r="D2041" s="55" t="str">
        <f t="shared" si="74"/>
        <v>Grocery</v>
      </c>
      <c r="E2041" s="55" t="s">
        <v>192</v>
      </c>
      <c r="F2041" s="55" t="s">
        <v>238</v>
      </c>
      <c r="G2041" s="55">
        <v>-13.83</v>
      </c>
      <c r="H2041" s="55">
        <f t="shared" si="75"/>
        <v>201607</v>
      </c>
      <c r="I2041" s="55">
        <f>MATCH(D2041,$O:$O,0)</f>
        <v>12</v>
      </c>
      <c r="J2041" s="55" t="s">
        <v>39</v>
      </c>
      <c r="K2041" s="55" t="s">
        <v>1398</v>
      </c>
      <c r="L2041" s="55" t="s">
        <v>252</v>
      </c>
    </row>
    <row r="2042" spans="1:12" x14ac:dyDescent="0.25">
      <c r="A2042" s="55" t="s">
        <v>236</v>
      </c>
      <c r="B2042" s="56">
        <v>42552</v>
      </c>
      <c r="C2042" s="55" t="s">
        <v>591</v>
      </c>
      <c r="D2042" s="55" t="str">
        <f t="shared" si="74"/>
        <v>Mortgage/Rent</v>
      </c>
      <c r="E2042" s="55" t="s">
        <v>202</v>
      </c>
      <c r="F2042" s="55" t="s">
        <v>238</v>
      </c>
      <c r="G2042" s="57">
        <v>-3116.77</v>
      </c>
      <c r="H2042" s="55">
        <f t="shared" si="75"/>
        <v>201607</v>
      </c>
      <c r="I2042" s="55">
        <f>MATCH(D2042,$O:$O,0)</f>
        <v>21</v>
      </c>
      <c r="J2042" s="55" t="s">
        <v>39</v>
      </c>
      <c r="K2042" s="55" t="s">
        <v>803</v>
      </c>
      <c r="L2042" s="55" t="s">
        <v>723</v>
      </c>
    </row>
    <row r="2043" spans="1:12" x14ac:dyDescent="0.25">
      <c r="A2043" s="55" t="s">
        <v>236</v>
      </c>
      <c r="B2043" s="56">
        <v>42590</v>
      </c>
      <c r="C2043" s="55" t="s">
        <v>1480</v>
      </c>
      <c r="D2043" s="55" t="str">
        <f t="shared" ref="D2043:D2074" si="76">IF(ISNA(VLOOKUP(E2043,$L$2:$M$26,2,FALSE)),E2043,VLOOKUP(E2043,$L$2:$M$26,2,FALSE))</f>
        <v>Car Related</v>
      </c>
      <c r="E2043" s="55" t="s">
        <v>185</v>
      </c>
      <c r="F2043" s="55" t="s">
        <v>238</v>
      </c>
      <c r="G2043" s="55">
        <v>-438.45</v>
      </c>
      <c r="H2043" s="55">
        <f t="shared" ref="H2043:H2074" si="77">YEAR(B2043)*100+MONTH(B2043)</f>
        <v>201608</v>
      </c>
      <c r="I2043" s="55">
        <f>MATCH(D2043,$O:$O,0)</f>
        <v>31</v>
      </c>
      <c r="J2043" s="55" t="s">
        <v>39</v>
      </c>
      <c r="K2043" s="55" t="s">
        <v>803</v>
      </c>
      <c r="L2043" s="55"/>
    </row>
    <row r="2044" spans="1:12" x14ac:dyDescent="0.25">
      <c r="A2044" s="55" t="s">
        <v>236</v>
      </c>
      <c r="B2044" s="56">
        <v>42586</v>
      </c>
      <c r="C2044" s="55" t="s">
        <v>1155</v>
      </c>
      <c r="D2044" s="55" t="str">
        <f t="shared" si="76"/>
        <v>Car Related</v>
      </c>
      <c r="E2044" s="55" t="s">
        <v>185</v>
      </c>
      <c r="F2044" s="55" t="s">
        <v>238</v>
      </c>
      <c r="G2044" s="55">
        <v>-321.52</v>
      </c>
      <c r="H2044" s="55">
        <f t="shared" si="77"/>
        <v>201608</v>
      </c>
      <c r="I2044" s="55">
        <f>MATCH(D2044,$O:$O,0)</f>
        <v>31</v>
      </c>
      <c r="J2044" s="55" t="s">
        <v>39</v>
      </c>
      <c r="K2044" s="55" t="s">
        <v>675</v>
      </c>
      <c r="L2044" s="55" t="s">
        <v>310</v>
      </c>
    </row>
    <row r="2045" spans="1:12" x14ac:dyDescent="0.25">
      <c r="A2045" s="55" t="s">
        <v>236</v>
      </c>
      <c r="B2045" s="56">
        <v>42613</v>
      </c>
      <c r="C2045" s="55" t="s">
        <v>1208</v>
      </c>
      <c r="D2045" s="55" t="str">
        <f t="shared" si="76"/>
        <v>Cell Phone</v>
      </c>
      <c r="E2045" s="55" t="s">
        <v>224</v>
      </c>
      <c r="F2045" s="55" t="s">
        <v>238</v>
      </c>
      <c r="G2045" s="55">
        <v>-177.39</v>
      </c>
      <c r="H2045" s="55">
        <f t="shared" si="77"/>
        <v>201608</v>
      </c>
      <c r="I2045" s="55">
        <f>MATCH(D2045,$O:$O,0)</f>
        <v>4</v>
      </c>
      <c r="J2045" s="55" t="s">
        <v>39</v>
      </c>
      <c r="K2045" s="55" t="s">
        <v>1403</v>
      </c>
      <c r="L2045" s="55" t="s">
        <v>1331</v>
      </c>
    </row>
    <row r="2046" spans="1:12" x14ac:dyDescent="0.25">
      <c r="A2046" s="55" t="s">
        <v>236</v>
      </c>
      <c r="B2046" s="56">
        <v>42608</v>
      </c>
      <c r="C2046" s="55" t="s">
        <v>747</v>
      </c>
      <c r="D2046" s="55" t="str">
        <f t="shared" si="76"/>
        <v>Cell Phone</v>
      </c>
      <c r="E2046" s="55" t="s">
        <v>224</v>
      </c>
      <c r="F2046" s="55" t="s">
        <v>238</v>
      </c>
      <c r="G2046" s="55">
        <v>-87.49</v>
      </c>
      <c r="H2046" s="55">
        <f t="shared" si="77"/>
        <v>201608</v>
      </c>
      <c r="I2046" s="55">
        <f>MATCH(D2046,$O:$O,0)</f>
        <v>4</v>
      </c>
      <c r="J2046" s="55" t="s">
        <v>39</v>
      </c>
      <c r="K2046" s="55" t="s">
        <v>1398</v>
      </c>
      <c r="L2046" s="55" t="s">
        <v>363</v>
      </c>
    </row>
    <row r="2047" spans="1:12" x14ac:dyDescent="0.25">
      <c r="A2047" s="55" t="s">
        <v>236</v>
      </c>
      <c r="B2047" s="56">
        <v>42583</v>
      </c>
      <c r="C2047" s="55" t="s">
        <v>1208</v>
      </c>
      <c r="D2047" s="55" t="str">
        <f t="shared" si="76"/>
        <v>Cell Phone</v>
      </c>
      <c r="E2047" s="55" t="s">
        <v>224</v>
      </c>
      <c r="F2047" s="55" t="s">
        <v>238</v>
      </c>
      <c r="G2047" s="55">
        <v>-177.39</v>
      </c>
      <c r="H2047" s="55">
        <f t="shared" si="77"/>
        <v>201608</v>
      </c>
      <c r="I2047" s="55">
        <f>MATCH(D2047,$O:$O,0)</f>
        <v>4</v>
      </c>
      <c r="J2047" s="55" t="s">
        <v>39</v>
      </c>
      <c r="K2047" s="55" t="s">
        <v>1403</v>
      </c>
      <c r="L2047" s="55" t="s">
        <v>351</v>
      </c>
    </row>
    <row r="2048" spans="1:12" x14ac:dyDescent="0.25">
      <c r="A2048" s="55" t="s">
        <v>236</v>
      </c>
      <c r="B2048" s="56">
        <v>42607</v>
      </c>
      <c r="C2048" s="55" t="s">
        <v>1453</v>
      </c>
      <c r="D2048" s="55" t="str">
        <f t="shared" si="76"/>
        <v>Credit Card Payments</v>
      </c>
      <c r="E2048" s="55" t="s">
        <v>242</v>
      </c>
      <c r="F2048" s="55" t="s">
        <v>238</v>
      </c>
      <c r="G2048" s="39">
        <v>-127.93</v>
      </c>
      <c r="H2048" s="55">
        <f t="shared" si="77"/>
        <v>201608</v>
      </c>
      <c r="I2048" s="55">
        <f>MATCH(D2048,$O:$O,0)</f>
        <v>38</v>
      </c>
      <c r="J2048" s="55" t="s">
        <v>39</v>
      </c>
      <c r="K2048" s="55" t="s">
        <v>803</v>
      </c>
      <c r="L2048" s="55" t="s">
        <v>351</v>
      </c>
    </row>
    <row r="2049" spans="1:12" x14ac:dyDescent="0.25">
      <c r="A2049" s="55" t="s">
        <v>236</v>
      </c>
      <c r="B2049" s="56">
        <v>42607</v>
      </c>
      <c r="C2049" s="55" t="s">
        <v>1454</v>
      </c>
      <c r="D2049" s="55" t="str">
        <f t="shared" si="76"/>
        <v>Credit Card Payments</v>
      </c>
      <c r="E2049" s="55" t="s">
        <v>242</v>
      </c>
      <c r="F2049" s="55" t="s">
        <v>238</v>
      </c>
      <c r="G2049" s="39">
        <v>-362.26</v>
      </c>
      <c r="H2049" s="55">
        <f t="shared" si="77"/>
        <v>201608</v>
      </c>
      <c r="I2049" s="55">
        <f>MATCH(D2049,$O:$O,0)</f>
        <v>38</v>
      </c>
      <c r="J2049" s="55" t="s">
        <v>39</v>
      </c>
      <c r="K2049" s="55" t="s">
        <v>675</v>
      </c>
      <c r="L2049" s="55" t="s">
        <v>310</v>
      </c>
    </row>
    <row r="2050" spans="1:12" x14ac:dyDescent="0.25">
      <c r="A2050" s="55" t="s">
        <v>236</v>
      </c>
      <c r="B2050" s="56">
        <v>42607</v>
      </c>
      <c r="C2050" s="55" t="s">
        <v>1455</v>
      </c>
      <c r="D2050" s="55" t="str">
        <f t="shared" si="76"/>
        <v>Credit Card Payments</v>
      </c>
      <c r="E2050" s="55" t="s">
        <v>242</v>
      </c>
      <c r="F2050" s="55" t="s">
        <v>238</v>
      </c>
      <c r="G2050" s="39">
        <v>127.93</v>
      </c>
      <c r="H2050" s="55">
        <f t="shared" si="77"/>
        <v>201608</v>
      </c>
      <c r="I2050" s="55">
        <f>MATCH(D2050,$O:$O,0)</f>
        <v>38</v>
      </c>
      <c r="J2050" s="55" t="s">
        <v>39</v>
      </c>
      <c r="K2050" s="55" t="s">
        <v>1403</v>
      </c>
      <c r="L2050" s="55" t="s">
        <v>193</v>
      </c>
    </row>
    <row r="2051" spans="1:12" x14ac:dyDescent="0.25">
      <c r="A2051" s="55" t="s">
        <v>236</v>
      </c>
      <c r="B2051" s="56">
        <v>42607</v>
      </c>
      <c r="C2051" s="55" t="s">
        <v>845</v>
      </c>
      <c r="D2051" s="55" t="str">
        <f t="shared" si="76"/>
        <v>Credit Card Payments</v>
      </c>
      <c r="E2051" s="55" t="s">
        <v>242</v>
      </c>
      <c r="F2051" s="55" t="s">
        <v>238</v>
      </c>
      <c r="G2051" s="39">
        <v>362.26</v>
      </c>
      <c r="H2051" s="55">
        <f t="shared" si="77"/>
        <v>201608</v>
      </c>
      <c r="I2051" s="55">
        <f>MATCH(D2051,$O:$O,0)</f>
        <v>38</v>
      </c>
      <c r="J2051" s="55" t="s">
        <v>39</v>
      </c>
      <c r="K2051" s="55" t="s">
        <v>1398</v>
      </c>
      <c r="L2051" s="55" t="s">
        <v>339</v>
      </c>
    </row>
    <row r="2052" spans="1:12" x14ac:dyDescent="0.25">
      <c r="A2052" s="55" t="s">
        <v>236</v>
      </c>
      <c r="B2052" s="56">
        <v>42598</v>
      </c>
      <c r="C2052" s="55" t="s">
        <v>1468</v>
      </c>
      <c r="D2052" s="55" t="str">
        <f t="shared" si="76"/>
        <v>Credit Card Payments</v>
      </c>
      <c r="E2052" s="55" t="s">
        <v>242</v>
      </c>
      <c r="F2052" s="55" t="s">
        <v>238</v>
      </c>
      <c r="G2052" s="55">
        <v>-776.47</v>
      </c>
      <c r="H2052" s="55">
        <f t="shared" si="77"/>
        <v>201608</v>
      </c>
      <c r="I2052" s="55">
        <f>MATCH(D2052,$O:$O,0)</f>
        <v>38</v>
      </c>
      <c r="J2052" s="55" t="s">
        <v>39</v>
      </c>
      <c r="K2052" s="55" t="s">
        <v>803</v>
      </c>
      <c r="L2052" s="55" t="s">
        <v>1449</v>
      </c>
    </row>
    <row r="2053" spans="1:12" x14ac:dyDescent="0.25">
      <c r="A2053" s="55" t="s">
        <v>236</v>
      </c>
      <c r="B2053" s="56">
        <v>42596</v>
      </c>
      <c r="C2053" s="55" t="s">
        <v>1424</v>
      </c>
      <c r="D2053" s="55" t="str">
        <f t="shared" si="76"/>
        <v>Credit Card Payments</v>
      </c>
      <c r="E2053" s="55" t="s">
        <v>242</v>
      </c>
      <c r="F2053" s="55" t="s">
        <v>238</v>
      </c>
      <c r="G2053" s="55">
        <v>776.47</v>
      </c>
      <c r="H2053" s="55">
        <f t="shared" si="77"/>
        <v>201608</v>
      </c>
      <c r="I2053" s="55">
        <f>MATCH(D2053,$O:$O,0)</f>
        <v>38</v>
      </c>
      <c r="J2053" s="55" t="s">
        <v>39</v>
      </c>
      <c r="K2053" s="55" t="s">
        <v>1394</v>
      </c>
      <c r="L2053" s="55"/>
    </row>
    <row r="2054" spans="1:12" x14ac:dyDescent="0.25">
      <c r="A2054" s="55" t="s">
        <v>236</v>
      </c>
      <c r="B2054" s="56">
        <v>42590</v>
      </c>
      <c r="C2054" s="55" t="s">
        <v>1478</v>
      </c>
      <c r="D2054" s="55" t="str">
        <f t="shared" si="76"/>
        <v>Parent Support</v>
      </c>
      <c r="E2054" s="55" t="s">
        <v>61</v>
      </c>
      <c r="F2054" s="55" t="s">
        <v>238</v>
      </c>
      <c r="G2054" s="55">
        <v>-687.85</v>
      </c>
      <c r="H2054" s="55">
        <f t="shared" si="77"/>
        <v>201608</v>
      </c>
      <c r="I2054" s="55">
        <f>MATCH(D2054,$O:$O,0)</f>
        <v>24</v>
      </c>
      <c r="J2054" s="55" t="s">
        <v>39</v>
      </c>
      <c r="K2054" s="55" t="s">
        <v>803</v>
      </c>
      <c r="L2054" s="55" t="s">
        <v>252</v>
      </c>
    </row>
    <row r="2055" spans="1:12" x14ac:dyDescent="0.25">
      <c r="A2055" s="55" t="s">
        <v>236</v>
      </c>
      <c r="B2055" s="56">
        <v>42611</v>
      </c>
      <c r="C2055" s="55" t="s">
        <v>1450</v>
      </c>
      <c r="D2055" s="55" t="str">
        <f t="shared" si="76"/>
        <v>D-Restaurant</v>
      </c>
      <c r="E2055" s="55" t="s">
        <v>204</v>
      </c>
      <c r="F2055" s="55" t="s">
        <v>238</v>
      </c>
      <c r="G2055" s="55">
        <v>-20</v>
      </c>
      <c r="H2055" s="55">
        <f t="shared" si="77"/>
        <v>201608</v>
      </c>
      <c r="I2055" s="55">
        <f>MATCH(D2055,$O:$O,0)</f>
        <v>9</v>
      </c>
      <c r="J2055" s="55" t="s">
        <v>39</v>
      </c>
      <c r="K2055" s="55" t="s">
        <v>1398</v>
      </c>
      <c r="L2055" s="55"/>
    </row>
    <row r="2056" spans="1:12" x14ac:dyDescent="0.25">
      <c r="A2056" s="55" t="s">
        <v>236</v>
      </c>
      <c r="B2056" s="56">
        <v>42608</v>
      </c>
      <c r="C2056" s="55" t="s">
        <v>1452</v>
      </c>
      <c r="D2056" s="55" t="str">
        <f t="shared" si="76"/>
        <v>D-Restaurant</v>
      </c>
      <c r="E2056" s="55" t="s">
        <v>204</v>
      </c>
      <c r="F2056" s="55" t="s">
        <v>238</v>
      </c>
      <c r="G2056" s="55">
        <v>-6.25</v>
      </c>
      <c r="H2056" s="55">
        <f t="shared" si="77"/>
        <v>201608</v>
      </c>
      <c r="I2056" s="55">
        <f>MATCH(D2056,$O:$O,0)</f>
        <v>9</v>
      </c>
      <c r="J2056" s="55" t="s">
        <v>39</v>
      </c>
      <c r="K2056" s="55" t="s">
        <v>1394</v>
      </c>
      <c r="L2056" s="55" t="s">
        <v>193</v>
      </c>
    </row>
    <row r="2057" spans="1:12" x14ac:dyDescent="0.25">
      <c r="A2057" s="55" t="s">
        <v>236</v>
      </c>
      <c r="B2057" s="56">
        <v>42605</v>
      </c>
      <c r="C2057" s="55" t="s">
        <v>1400</v>
      </c>
      <c r="D2057" s="55" t="str">
        <f t="shared" si="76"/>
        <v>D-Restaurant</v>
      </c>
      <c r="E2057" s="55" t="s">
        <v>204</v>
      </c>
      <c r="F2057" s="55" t="s">
        <v>238</v>
      </c>
      <c r="G2057" s="55">
        <v>-7.29</v>
      </c>
      <c r="H2057" s="55">
        <f t="shared" si="77"/>
        <v>201608</v>
      </c>
      <c r="I2057" s="55">
        <f>MATCH(D2057,$O:$O,0)</f>
        <v>9</v>
      </c>
      <c r="J2057" s="55" t="s">
        <v>39</v>
      </c>
      <c r="K2057" s="55" t="s">
        <v>1394</v>
      </c>
      <c r="L2057" s="55" t="s">
        <v>310</v>
      </c>
    </row>
    <row r="2058" spans="1:12" x14ac:dyDescent="0.25">
      <c r="A2058" s="55" t="s">
        <v>236</v>
      </c>
      <c r="B2058" s="56">
        <v>42604</v>
      </c>
      <c r="C2058" s="55" t="s">
        <v>1047</v>
      </c>
      <c r="D2058" s="55" t="str">
        <f t="shared" si="76"/>
        <v>D-Restaurant</v>
      </c>
      <c r="E2058" s="55" t="s">
        <v>204</v>
      </c>
      <c r="F2058" s="55" t="s">
        <v>238</v>
      </c>
      <c r="G2058" s="55">
        <v>-4.3499999999999996</v>
      </c>
      <c r="H2058" s="55">
        <f t="shared" si="77"/>
        <v>201608</v>
      </c>
      <c r="I2058" s="55">
        <f>MATCH(D2058,$O:$O,0)</f>
        <v>9</v>
      </c>
      <c r="J2058" s="55" t="s">
        <v>39</v>
      </c>
      <c r="K2058" s="55" t="s">
        <v>1398</v>
      </c>
      <c r="L2058" s="55"/>
    </row>
    <row r="2059" spans="1:12" x14ac:dyDescent="0.25">
      <c r="A2059" s="55" t="s">
        <v>236</v>
      </c>
      <c r="B2059" s="56">
        <v>42604</v>
      </c>
      <c r="C2059" s="55" t="s">
        <v>1458</v>
      </c>
      <c r="D2059" s="55" t="str">
        <f t="shared" si="76"/>
        <v>D-Restaurant</v>
      </c>
      <c r="E2059" s="55" t="s">
        <v>204</v>
      </c>
      <c r="F2059" s="55" t="s">
        <v>238</v>
      </c>
      <c r="G2059" s="55">
        <v>-4.99</v>
      </c>
      <c r="H2059" s="55">
        <f t="shared" si="77"/>
        <v>201608</v>
      </c>
      <c r="I2059" s="55">
        <f>MATCH(D2059,$O:$O,0)</f>
        <v>9</v>
      </c>
      <c r="J2059" s="55" t="s">
        <v>39</v>
      </c>
      <c r="K2059" s="55" t="s">
        <v>1398</v>
      </c>
      <c r="L2059" s="55" t="s">
        <v>223</v>
      </c>
    </row>
    <row r="2060" spans="1:12" x14ac:dyDescent="0.25">
      <c r="A2060" s="55" t="s">
        <v>236</v>
      </c>
      <c r="B2060" s="56">
        <v>42604</v>
      </c>
      <c r="C2060" s="55" t="s">
        <v>1459</v>
      </c>
      <c r="D2060" s="55" t="str">
        <f t="shared" si="76"/>
        <v>D-Restaurant</v>
      </c>
      <c r="E2060" s="55" t="s">
        <v>204</v>
      </c>
      <c r="F2060" s="55" t="s">
        <v>238</v>
      </c>
      <c r="G2060" s="55">
        <v>-50</v>
      </c>
      <c r="H2060" s="55">
        <f t="shared" si="77"/>
        <v>201608</v>
      </c>
      <c r="I2060" s="55">
        <f>MATCH(D2060,$O:$O,0)</f>
        <v>9</v>
      </c>
      <c r="J2060" s="55" t="s">
        <v>39</v>
      </c>
      <c r="K2060" s="55" t="s">
        <v>1398</v>
      </c>
      <c r="L2060" s="55" t="s">
        <v>723</v>
      </c>
    </row>
    <row r="2061" spans="1:12" x14ac:dyDescent="0.25">
      <c r="A2061" s="55" t="s">
        <v>236</v>
      </c>
      <c r="B2061" s="56">
        <v>42604</v>
      </c>
      <c r="C2061" s="55" t="s">
        <v>1460</v>
      </c>
      <c r="D2061" s="55" t="str">
        <f t="shared" si="76"/>
        <v>D-Restaurant</v>
      </c>
      <c r="E2061" s="55" t="s">
        <v>204</v>
      </c>
      <c r="F2061" s="55" t="s">
        <v>238</v>
      </c>
      <c r="G2061" s="55">
        <v>-9.01</v>
      </c>
      <c r="H2061" s="55">
        <f t="shared" si="77"/>
        <v>201608</v>
      </c>
      <c r="I2061" s="55">
        <f>MATCH(D2061,$O:$O,0)</f>
        <v>9</v>
      </c>
      <c r="J2061" s="55" t="s">
        <v>39</v>
      </c>
      <c r="K2061" s="55" t="s">
        <v>1398</v>
      </c>
      <c r="L2061" s="55"/>
    </row>
    <row r="2062" spans="1:12" x14ac:dyDescent="0.25">
      <c r="A2062" s="55" t="s">
        <v>236</v>
      </c>
      <c r="B2062" s="56">
        <v>42600</v>
      </c>
      <c r="C2062" s="55" t="s">
        <v>1466</v>
      </c>
      <c r="D2062" s="55" t="str">
        <f t="shared" si="76"/>
        <v>D-Restaurant</v>
      </c>
      <c r="E2062" s="55" t="s">
        <v>204</v>
      </c>
      <c r="F2062" s="55" t="s">
        <v>238</v>
      </c>
      <c r="G2062" s="55">
        <v>-49</v>
      </c>
      <c r="H2062" s="55">
        <f t="shared" si="77"/>
        <v>201608</v>
      </c>
      <c r="I2062" s="55">
        <f>MATCH(D2062,$O:$O,0)</f>
        <v>9</v>
      </c>
      <c r="J2062" s="55" t="s">
        <v>39</v>
      </c>
      <c r="K2062" s="55" t="s">
        <v>1398</v>
      </c>
      <c r="L2062" s="55"/>
    </row>
    <row r="2063" spans="1:12" x14ac:dyDescent="0.25">
      <c r="A2063" s="55" t="s">
        <v>236</v>
      </c>
      <c r="B2063" s="56">
        <v>42597</v>
      </c>
      <c r="C2063" s="55" t="s">
        <v>1473</v>
      </c>
      <c r="D2063" s="55" t="str">
        <f t="shared" si="76"/>
        <v>D-Restaurant</v>
      </c>
      <c r="E2063" s="55" t="s">
        <v>204</v>
      </c>
      <c r="F2063" s="55" t="s">
        <v>238</v>
      </c>
      <c r="G2063" s="55">
        <v>-11.23</v>
      </c>
      <c r="H2063" s="55">
        <f t="shared" si="77"/>
        <v>201608</v>
      </c>
      <c r="I2063" s="55">
        <f>MATCH(D2063,$O:$O,0)</f>
        <v>9</v>
      </c>
      <c r="J2063" s="55" t="s">
        <v>39</v>
      </c>
      <c r="K2063" s="55" t="s">
        <v>1394</v>
      </c>
      <c r="L2063" s="55"/>
    </row>
    <row r="2064" spans="1:12" x14ac:dyDescent="0.25">
      <c r="A2064" s="55" t="s">
        <v>236</v>
      </c>
      <c r="B2064" s="56">
        <v>42593</v>
      </c>
      <c r="C2064" s="55" t="s">
        <v>1475</v>
      </c>
      <c r="D2064" s="55" t="str">
        <f t="shared" si="76"/>
        <v>D-Restaurant</v>
      </c>
      <c r="E2064" s="55" t="s">
        <v>204</v>
      </c>
      <c r="F2064" s="55" t="s">
        <v>238</v>
      </c>
      <c r="G2064" s="55">
        <v>-10.88</v>
      </c>
      <c r="H2064" s="55">
        <f t="shared" si="77"/>
        <v>201608</v>
      </c>
      <c r="I2064" s="55">
        <f>MATCH(D2064,$O:$O,0)</f>
        <v>9</v>
      </c>
      <c r="J2064" s="55" t="s">
        <v>39</v>
      </c>
      <c r="K2064" s="55" t="s">
        <v>1394</v>
      </c>
      <c r="L2064" s="55" t="s">
        <v>248</v>
      </c>
    </row>
    <row r="2065" spans="1:12" x14ac:dyDescent="0.25">
      <c r="A2065" s="55" t="s">
        <v>236</v>
      </c>
      <c r="B2065" s="56">
        <v>42588</v>
      </c>
      <c r="C2065" s="55" t="s">
        <v>1481</v>
      </c>
      <c r="D2065" s="55" t="str">
        <f t="shared" si="76"/>
        <v>D-Restaurant</v>
      </c>
      <c r="E2065" s="55" t="s">
        <v>204</v>
      </c>
      <c r="F2065" s="55" t="s">
        <v>238</v>
      </c>
      <c r="G2065" s="55">
        <v>-20.78</v>
      </c>
      <c r="H2065" s="55">
        <f t="shared" si="77"/>
        <v>201608</v>
      </c>
      <c r="I2065" s="55">
        <f>MATCH(D2065,$O:$O,0)</f>
        <v>9</v>
      </c>
      <c r="J2065" s="55" t="s">
        <v>39</v>
      </c>
      <c r="K2065" s="55" t="s">
        <v>1394</v>
      </c>
      <c r="L2065" s="55"/>
    </row>
    <row r="2066" spans="1:12" x14ac:dyDescent="0.25">
      <c r="A2066" s="55" t="s">
        <v>236</v>
      </c>
      <c r="B2066" s="56">
        <v>42587</v>
      </c>
      <c r="C2066" s="55" t="s">
        <v>1483</v>
      </c>
      <c r="D2066" s="55" t="str">
        <f t="shared" si="76"/>
        <v>D-Restaurant</v>
      </c>
      <c r="E2066" s="55" t="s">
        <v>204</v>
      </c>
      <c r="F2066" s="55" t="s">
        <v>238</v>
      </c>
      <c r="G2066" s="55">
        <v>-32.54</v>
      </c>
      <c r="H2066" s="55">
        <f t="shared" si="77"/>
        <v>201608</v>
      </c>
      <c r="I2066" s="55">
        <f>MATCH(D2066,$O:$O,0)</f>
        <v>9</v>
      </c>
      <c r="J2066" s="55" t="s">
        <v>39</v>
      </c>
      <c r="K2066" s="55" t="s">
        <v>1394</v>
      </c>
      <c r="L2066" s="55" t="s">
        <v>255</v>
      </c>
    </row>
    <row r="2067" spans="1:12" x14ac:dyDescent="0.25">
      <c r="A2067" s="55" t="s">
        <v>236</v>
      </c>
      <c r="B2067" s="56">
        <v>42587</v>
      </c>
      <c r="C2067" s="55" t="s">
        <v>1406</v>
      </c>
      <c r="D2067" s="55" t="str">
        <f t="shared" si="76"/>
        <v>D-Restaurant</v>
      </c>
      <c r="E2067" s="55" t="s">
        <v>204</v>
      </c>
      <c r="F2067" s="55" t="s">
        <v>238</v>
      </c>
      <c r="G2067" s="55">
        <v>-7.63</v>
      </c>
      <c r="H2067" s="55">
        <f t="shared" si="77"/>
        <v>201608</v>
      </c>
      <c r="I2067" s="55">
        <f>MATCH(D2067,$O:$O,0)</f>
        <v>9</v>
      </c>
      <c r="J2067" s="55" t="s">
        <v>39</v>
      </c>
      <c r="K2067" s="55" t="s">
        <v>1394</v>
      </c>
      <c r="L2067" s="55" t="s">
        <v>333</v>
      </c>
    </row>
    <row r="2068" spans="1:12" x14ac:dyDescent="0.25">
      <c r="A2068" s="55" t="s">
        <v>236</v>
      </c>
      <c r="B2068" s="56">
        <v>42586</v>
      </c>
      <c r="C2068" s="55" t="s">
        <v>1212</v>
      </c>
      <c r="D2068" s="55" t="str">
        <f t="shared" si="76"/>
        <v>D-Restaurant</v>
      </c>
      <c r="E2068" s="55" t="s">
        <v>204</v>
      </c>
      <c r="F2068" s="55" t="s">
        <v>238</v>
      </c>
      <c r="G2068" s="55">
        <v>-53.63</v>
      </c>
      <c r="H2068" s="55">
        <f t="shared" si="77"/>
        <v>201608</v>
      </c>
      <c r="I2068" s="55">
        <f>MATCH(D2068,$O:$O,0)</f>
        <v>9</v>
      </c>
      <c r="J2068" s="55" t="s">
        <v>39</v>
      </c>
      <c r="K2068" s="55" t="s">
        <v>1398</v>
      </c>
      <c r="L2068" s="55" t="s">
        <v>333</v>
      </c>
    </row>
    <row r="2069" spans="1:12" x14ac:dyDescent="0.25">
      <c r="A2069" s="55" t="s">
        <v>236</v>
      </c>
      <c r="B2069" s="56">
        <v>42584</v>
      </c>
      <c r="C2069" s="55" t="s">
        <v>1473</v>
      </c>
      <c r="D2069" s="55" t="str">
        <f t="shared" si="76"/>
        <v>D-Restaurant</v>
      </c>
      <c r="E2069" s="55" t="s">
        <v>204</v>
      </c>
      <c r="F2069" s="55" t="s">
        <v>238</v>
      </c>
      <c r="G2069" s="55">
        <v>-19.02</v>
      </c>
      <c r="H2069" s="55">
        <f t="shared" si="77"/>
        <v>201608</v>
      </c>
      <c r="I2069" s="55">
        <f>MATCH(D2069,$O:$O,0)</f>
        <v>9</v>
      </c>
      <c r="J2069" s="55" t="s">
        <v>39</v>
      </c>
      <c r="K2069" s="55" t="s">
        <v>1394</v>
      </c>
      <c r="L2069" s="55"/>
    </row>
    <row r="2070" spans="1:12" x14ac:dyDescent="0.25">
      <c r="A2070" s="55" t="s">
        <v>236</v>
      </c>
      <c r="B2070" s="56">
        <v>42596</v>
      </c>
      <c r="C2070" s="55" t="s">
        <v>1474</v>
      </c>
      <c r="D2070" s="55" t="str">
        <f t="shared" si="76"/>
        <v>D-Travel</v>
      </c>
      <c r="E2070" s="55" t="s">
        <v>161</v>
      </c>
      <c r="F2070" s="55" t="s">
        <v>238</v>
      </c>
      <c r="G2070" s="55">
        <v>-204.7</v>
      </c>
      <c r="H2070" s="55">
        <f t="shared" si="77"/>
        <v>201608</v>
      </c>
      <c r="I2070" s="55">
        <f>MATCH(D2070,$O:$O,0)</f>
        <v>10</v>
      </c>
      <c r="J2070" s="55" t="s">
        <v>39</v>
      </c>
      <c r="K2070" s="55" t="s">
        <v>1394</v>
      </c>
      <c r="L2070" s="55" t="s">
        <v>193</v>
      </c>
    </row>
    <row r="2071" spans="1:12" x14ac:dyDescent="0.25">
      <c r="A2071" s="55" t="s">
        <v>236</v>
      </c>
      <c r="B2071" s="56">
        <v>42606</v>
      </c>
      <c r="C2071" s="55" t="s">
        <v>1456</v>
      </c>
      <c r="D2071" s="55" t="str">
        <f t="shared" si="76"/>
        <v>Finance Charges</v>
      </c>
      <c r="E2071" s="55" t="s">
        <v>169</v>
      </c>
      <c r="F2071" s="55" t="s">
        <v>238</v>
      </c>
      <c r="G2071" s="55">
        <v>-92</v>
      </c>
      <c r="H2071" s="55">
        <f t="shared" si="77"/>
        <v>201608</v>
      </c>
      <c r="I2071" s="55">
        <f>MATCH(D2071,$O:$O,0)</f>
        <v>35</v>
      </c>
      <c r="J2071" s="55" t="s">
        <v>39</v>
      </c>
      <c r="K2071" s="55" t="s">
        <v>803</v>
      </c>
      <c r="L2071" s="55" t="s">
        <v>722</v>
      </c>
    </row>
    <row r="2072" spans="1:12" x14ac:dyDescent="0.25">
      <c r="A2072" s="55" t="s">
        <v>236</v>
      </c>
      <c r="B2072" s="56">
        <v>42585</v>
      </c>
      <c r="C2072" s="55" t="s">
        <v>1158</v>
      </c>
      <c r="D2072" s="55" t="str">
        <f t="shared" si="76"/>
        <v>Finance Charges</v>
      </c>
      <c r="E2072" s="55" t="s">
        <v>169</v>
      </c>
      <c r="F2072" s="55" t="s">
        <v>238</v>
      </c>
      <c r="G2072" s="55">
        <v>125.08</v>
      </c>
      <c r="H2072" s="55">
        <f t="shared" si="77"/>
        <v>201608</v>
      </c>
      <c r="I2072" s="55">
        <f>MATCH(D2072,$O:$O,0)</f>
        <v>35</v>
      </c>
      <c r="J2072" s="55" t="s">
        <v>39</v>
      </c>
      <c r="K2072" s="55" t="s">
        <v>803</v>
      </c>
      <c r="L2072" s="55" t="s">
        <v>816</v>
      </c>
    </row>
    <row r="2073" spans="1:12" x14ac:dyDescent="0.25">
      <c r="A2073" s="55" t="s">
        <v>236</v>
      </c>
      <c r="B2073" s="56">
        <v>42613</v>
      </c>
      <c r="C2073" s="55" t="s">
        <v>1445</v>
      </c>
      <c r="D2073" s="55" t="str">
        <f t="shared" si="76"/>
        <v>Gas</v>
      </c>
      <c r="E2073" s="55" t="s">
        <v>311</v>
      </c>
      <c r="F2073" s="55" t="s">
        <v>238</v>
      </c>
      <c r="G2073" s="55">
        <v>-19.62</v>
      </c>
      <c r="H2073" s="55">
        <f t="shared" si="77"/>
        <v>201608</v>
      </c>
      <c r="I2073" s="55">
        <f>MATCH(D2073,$O:$O,0)</f>
        <v>30</v>
      </c>
      <c r="J2073" s="55" t="s">
        <v>39</v>
      </c>
      <c r="K2073" s="55" t="s">
        <v>1394</v>
      </c>
      <c r="L2073" s="55" t="s">
        <v>727</v>
      </c>
    </row>
    <row r="2074" spans="1:12" x14ac:dyDescent="0.25">
      <c r="A2074" s="55" t="s">
        <v>236</v>
      </c>
      <c r="B2074" s="56">
        <v>42613</v>
      </c>
      <c r="C2074" s="55" t="s">
        <v>1352</v>
      </c>
      <c r="D2074" s="55" t="str">
        <f t="shared" si="76"/>
        <v>Gas</v>
      </c>
      <c r="E2074" s="55" t="s">
        <v>311</v>
      </c>
      <c r="F2074" s="55" t="s">
        <v>238</v>
      </c>
      <c r="G2074" s="55">
        <v>-20.68</v>
      </c>
      <c r="H2074" s="55">
        <f t="shared" si="77"/>
        <v>201608</v>
      </c>
      <c r="I2074" s="55">
        <f>MATCH(D2074,$O:$O,0)</f>
        <v>30</v>
      </c>
      <c r="J2074" s="55" t="s">
        <v>39</v>
      </c>
      <c r="K2074" s="55" t="s">
        <v>1398</v>
      </c>
      <c r="L2074" s="55" t="s">
        <v>351</v>
      </c>
    </row>
    <row r="2075" spans="1:12" x14ac:dyDescent="0.25">
      <c r="A2075" s="55" t="s">
        <v>236</v>
      </c>
      <c r="B2075" s="56">
        <v>42608</v>
      </c>
      <c r="C2075" s="55" t="s">
        <v>1348</v>
      </c>
      <c r="D2075" s="55" t="str">
        <f t="shared" ref="D2075:D2106" si="78">IF(ISNA(VLOOKUP(E2075,$L$2:$M$26,2,FALSE)),E2075,VLOOKUP(E2075,$L$2:$M$26,2,FALSE))</f>
        <v>Gas</v>
      </c>
      <c r="E2075" s="55" t="s">
        <v>311</v>
      </c>
      <c r="F2075" s="55" t="s">
        <v>238</v>
      </c>
      <c r="G2075" s="55">
        <v>-32.590000000000003</v>
      </c>
      <c r="H2075" s="55">
        <f t="shared" ref="H2075:H2106" si="79">YEAR(B2075)*100+MONTH(B2075)</f>
        <v>201608</v>
      </c>
      <c r="I2075" s="55">
        <f>MATCH(D2075,$O:$O,0)</f>
        <v>30</v>
      </c>
      <c r="J2075" s="55" t="s">
        <v>39</v>
      </c>
      <c r="K2075" s="55" t="s">
        <v>1394</v>
      </c>
      <c r="L2075" s="55" t="s">
        <v>193</v>
      </c>
    </row>
    <row r="2076" spans="1:12" x14ac:dyDescent="0.25">
      <c r="A2076" s="55" t="s">
        <v>236</v>
      </c>
      <c r="B2076" s="56">
        <v>42605</v>
      </c>
      <c r="C2076" s="55" t="s">
        <v>1103</v>
      </c>
      <c r="D2076" s="55" t="str">
        <f t="shared" si="78"/>
        <v>Gas</v>
      </c>
      <c r="E2076" s="55" t="s">
        <v>311</v>
      </c>
      <c r="F2076" s="55" t="s">
        <v>238</v>
      </c>
      <c r="G2076" s="55">
        <v>-16.989999999999998</v>
      </c>
      <c r="H2076" s="55">
        <f t="shared" si="79"/>
        <v>201608</v>
      </c>
      <c r="I2076" s="55">
        <f>MATCH(D2076,$O:$O,0)</f>
        <v>30</v>
      </c>
      <c r="J2076" s="55" t="s">
        <v>39</v>
      </c>
      <c r="K2076" s="55" t="s">
        <v>1398</v>
      </c>
      <c r="L2076" s="55" t="s">
        <v>310</v>
      </c>
    </row>
    <row r="2077" spans="1:12" x14ac:dyDescent="0.25">
      <c r="A2077" s="55" t="s">
        <v>236</v>
      </c>
      <c r="B2077" s="56">
        <v>42604</v>
      </c>
      <c r="C2077" s="55" t="s">
        <v>1348</v>
      </c>
      <c r="D2077" s="55" t="str">
        <f t="shared" si="78"/>
        <v>Gas</v>
      </c>
      <c r="E2077" s="55" t="s">
        <v>311</v>
      </c>
      <c r="F2077" s="55" t="s">
        <v>238</v>
      </c>
      <c r="G2077" s="55">
        <v>-28.18</v>
      </c>
      <c r="H2077" s="55">
        <f t="shared" si="79"/>
        <v>201608</v>
      </c>
      <c r="I2077" s="55">
        <f>MATCH(D2077,$O:$O,0)</f>
        <v>30</v>
      </c>
      <c r="J2077" s="55" t="s">
        <v>39</v>
      </c>
      <c r="K2077" s="55" t="s">
        <v>1394</v>
      </c>
      <c r="L2077" s="55" t="s">
        <v>722</v>
      </c>
    </row>
    <row r="2078" spans="1:12" x14ac:dyDescent="0.25">
      <c r="A2078" s="55" t="s">
        <v>236</v>
      </c>
      <c r="B2078" s="56">
        <v>42603</v>
      </c>
      <c r="C2078" s="55" t="s">
        <v>1463</v>
      </c>
      <c r="D2078" s="55" t="str">
        <f t="shared" si="78"/>
        <v>Gas</v>
      </c>
      <c r="E2078" s="55" t="s">
        <v>311</v>
      </c>
      <c r="F2078" s="55" t="s">
        <v>238</v>
      </c>
      <c r="G2078" s="55">
        <v>-12.35</v>
      </c>
      <c r="H2078" s="55">
        <f t="shared" si="79"/>
        <v>201608</v>
      </c>
      <c r="I2078" s="55">
        <f>MATCH(D2078,$O:$O,0)</f>
        <v>30</v>
      </c>
      <c r="J2078" s="55" t="s">
        <v>39</v>
      </c>
      <c r="K2078" s="55" t="s">
        <v>1394</v>
      </c>
      <c r="L2078" s="55" t="s">
        <v>722</v>
      </c>
    </row>
    <row r="2079" spans="1:12" x14ac:dyDescent="0.25">
      <c r="A2079" s="55" t="s">
        <v>236</v>
      </c>
      <c r="B2079" s="56">
        <v>42601</v>
      </c>
      <c r="C2079" s="55" t="s">
        <v>1348</v>
      </c>
      <c r="D2079" s="55" t="str">
        <f t="shared" si="78"/>
        <v>Gas</v>
      </c>
      <c r="E2079" s="55" t="s">
        <v>311</v>
      </c>
      <c r="F2079" s="55" t="s">
        <v>238</v>
      </c>
      <c r="G2079" s="55">
        <v>-23.88</v>
      </c>
      <c r="H2079" s="55">
        <f t="shared" si="79"/>
        <v>201608</v>
      </c>
      <c r="I2079" s="55">
        <f>MATCH(D2079,$O:$O,0)</f>
        <v>30</v>
      </c>
      <c r="J2079" s="55" t="s">
        <v>39</v>
      </c>
      <c r="K2079" s="55" t="s">
        <v>1394</v>
      </c>
      <c r="L2079" s="55"/>
    </row>
    <row r="2080" spans="1:12" x14ac:dyDescent="0.25">
      <c r="A2080" s="55" t="s">
        <v>236</v>
      </c>
      <c r="B2080" s="56">
        <v>42594</v>
      </c>
      <c r="C2080" s="55" t="s">
        <v>1348</v>
      </c>
      <c r="D2080" s="55" t="str">
        <f t="shared" si="78"/>
        <v>Gas</v>
      </c>
      <c r="E2080" s="55" t="s">
        <v>311</v>
      </c>
      <c r="F2080" s="55" t="s">
        <v>238</v>
      </c>
      <c r="G2080" s="55">
        <v>-27.16</v>
      </c>
      <c r="H2080" s="55">
        <f t="shared" si="79"/>
        <v>201608</v>
      </c>
      <c r="I2080" s="55">
        <f>MATCH(D2080,$O:$O,0)</f>
        <v>30</v>
      </c>
      <c r="J2080" s="55" t="s">
        <v>39</v>
      </c>
      <c r="K2080" s="55" t="s">
        <v>1394</v>
      </c>
      <c r="L2080" s="55" t="s">
        <v>1461</v>
      </c>
    </row>
    <row r="2081" spans="1:12" x14ac:dyDescent="0.25">
      <c r="A2081" s="55" t="s">
        <v>236</v>
      </c>
      <c r="B2081" s="56">
        <v>42585</v>
      </c>
      <c r="C2081" s="55" t="s">
        <v>1348</v>
      </c>
      <c r="D2081" s="55" t="str">
        <f t="shared" si="78"/>
        <v>Gas</v>
      </c>
      <c r="E2081" s="55" t="s">
        <v>311</v>
      </c>
      <c r="F2081" s="55" t="s">
        <v>238</v>
      </c>
      <c r="G2081" s="55">
        <v>-26.15</v>
      </c>
      <c r="H2081" s="55">
        <f t="shared" si="79"/>
        <v>201608</v>
      </c>
      <c r="I2081" s="55">
        <f>MATCH(D2081,$O:$O,0)</f>
        <v>30</v>
      </c>
      <c r="J2081" s="55" t="s">
        <v>39</v>
      </c>
      <c r="K2081" s="55" t="s">
        <v>1394</v>
      </c>
      <c r="L2081" s="55" t="s">
        <v>1331</v>
      </c>
    </row>
    <row r="2082" spans="1:12" x14ac:dyDescent="0.25">
      <c r="A2082" s="55" t="s">
        <v>236</v>
      </c>
      <c r="B2082" s="56">
        <v>42613</v>
      </c>
      <c r="C2082" s="55" t="s">
        <v>1446</v>
      </c>
      <c r="D2082" s="55" t="str">
        <f t="shared" si="78"/>
        <v>Grocery</v>
      </c>
      <c r="E2082" s="55" t="s">
        <v>385</v>
      </c>
      <c r="F2082" s="55" t="s">
        <v>238</v>
      </c>
      <c r="G2082" s="55">
        <v>-98.94</v>
      </c>
      <c r="H2082" s="55">
        <f t="shared" si="79"/>
        <v>201608</v>
      </c>
      <c r="I2082" s="55">
        <f>MATCH(D2082,$O:$O,0)</f>
        <v>12</v>
      </c>
      <c r="J2082" s="55" t="s">
        <v>39</v>
      </c>
      <c r="K2082" s="55" t="s">
        <v>1394</v>
      </c>
      <c r="L2082" s="55" t="s">
        <v>310</v>
      </c>
    </row>
    <row r="2083" spans="1:12" x14ac:dyDescent="0.25">
      <c r="A2083" s="55" t="s">
        <v>236</v>
      </c>
      <c r="B2083" s="56">
        <v>42613</v>
      </c>
      <c r="C2083" s="55" t="s">
        <v>1351</v>
      </c>
      <c r="D2083" s="55" t="str">
        <f t="shared" si="78"/>
        <v>Grocery</v>
      </c>
      <c r="E2083" s="55" t="s">
        <v>385</v>
      </c>
      <c r="F2083" s="55" t="s">
        <v>238</v>
      </c>
      <c r="G2083" s="55">
        <v>-14.87</v>
      </c>
      <c r="H2083" s="55">
        <f t="shared" si="79"/>
        <v>201608</v>
      </c>
      <c r="I2083" s="55">
        <f>MATCH(D2083,$O:$O,0)</f>
        <v>12</v>
      </c>
      <c r="J2083" s="55" t="s">
        <v>39</v>
      </c>
      <c r="K2083" s="55" t="s">
        <v>1398</v>
      </c>
      <c r="L2083" s="55" t="s">
        <v>193</v>
      </c>
    </row>
    <row r="2084" spans="1:12" x14ac:dyDescent="0.25">
      <c r="A2084" s="55" t="s">
        <v>236</v>
      </c>
      <c r="B2084" s="56">
        <v>42611</v>
      </c>
      <c r="C2084" s="55" t="s">
        <v>1448</v>
      </c>
      <c r="D2084" s="55" t="str">
        <f t="shared" si="78"/>
        <v>Grocery</v>
      </c>
      <c r="E2084" s="55" t="s">
        <v>192</v>
      </c>
      <c r="F2084" s="55" t="s">
        <v>238</v>
      </c>
      <c r="G2084" s="55">
        <v>-4.7300000000000004</v>
      </c>
      <c r="H2084" s="55">
        <f t="shared" si="79"/>
        <v>201608</v>
      </c>
      <c r="I2084" s="55">
        <f>MATCH(D2084,$O:$O,0)</f>
        <v>12</v>
      </c>
      <c r="J2084" s="55" t="s">
        <v>39</v>
      </c>
      <c r="K2084" s="55" t="s">
        <v>1398</v>
      </c>
      <c r="L2084" s="55"/>
    </row>
    <row r="2085" spans="1:12" x14ac:dyDescent="0.25">
      <c r="A2085" s="55" t="s">
        <v>236</v>
      </c>
      <c r="B2085" s="56">
        <v>42609</v>
      </c>
      <c r="C2085" s="55" t="s">
        <v>565</v>
      </c>
      <c r="D2085" s="55" t="str">
        <f t="shared" si="78"/>
        <v>Grocery</v>
      </c>
      <c r="E2085" s="55" t="s">
        <v>192</v>
      </c>
      <c r="F2085" s="55" t="s">
        <v>238</v>
      </c>
      <c r="G2085" s="55">
        <v>-10.44</v>
      </c>
      <c r="H2085" s="55">
        <f t="shared" si="79"/>
        <v>201608</v>
      </c>
      <c r="I2085" s="55">
        <f>MATCH(D2085,$O:$O,0)</f>
        <v>12</v>
      </c>
      <c r="J2085" s="55" t="s">
        <v>39</v>
      </c>
      <c r="K2085" s="55" t="s">
        <v>1398</v>
      </c>
      <c r="L2085" s="55" t="s">
        <v>310</v>
      </c>
    </row>
    <row r="2086" spans="1:12" x14ac:dyDescent="0.25">
      <c r="A2086" s="55" t="s">
        <v>236</v>
      </c>
      <c r="B2086" s="56">
        <v>42608</v>
      </c>
      <c r="C2086" s="55" t="s">
        <v>1350</v>
      </c>
      <c r="D2086" s="55" t="str">
        <f t="shared" si="78"/>
        <v>Grocery</v>
      </c>
      <c r="E2086" s="55" t="s">
        <v>385</v>
      </c>
      <c r="F2086" s="55" t="s">
        <v>238</v>
      </c>
      <c r="G2086" s="55">
        <v>-15.44</v>
      </c>
      <c r="H2086" s="55">
        <f t="shared" si="79"/>
        <v>201608</v>
      </c>
      <c r="I2086" s="55">
        <f>MATCH(D2086,$O:$O,0)</f>
        <v>12</v>
      </c>
      <c r="J2086" s="55" t="s">
        <v>39</v>
      </c>
      <c r="K2086" s="55" t="s">
        <v>1394</v>
      </c>
      <c r="L2086" s="55"/>
    </row>
    <row r="2087" spans="1:12" x14ac:dyDescent="0.25">
      <c r="A2087" s="55" t="s">
        <v>236</v>
      </c>
      <c r="B2087" s="56">
        <v>42605</v>
      </c>
      <c r="C2087" s="55" t="s">
        <v>1350</v>
      </c>
      <c r="D2087" s="55" t="str">
        <f t="shared" si="78"/>
        <v>Grocery</v>
      </c>
      <c r="E2087" s="55" t="s">
        <v>385</v>
      </c>
      <c r="F2087" s="55" t="s">
        <v>238</v>
      </c>
      <c r="G2087" s="55">
        <v>803.99</v>
      </c>
      <c r="H2087" s="55">
        <f t="shared" si="79"/>
        <v>201608</v>
      </c>
      <c r="I2087" s="55">
        <f>MATCH(D2087,$O:$O,0)</f>
        <v>12</v>
      </c>
      <c r="J2087" s="55" t="s">
        <v>39</v>
      </c>
      <c r="K2087" s="55" t="s">
        <v>1394</v>
      </c>
      <c r="L2087" s="55"/>
    </row>
    <row r="2088" spans="1:12" x14ac:dyDescent="0.25">
      <c r="A2088" s="55" t="s">
        <v>236</v>
      </c>
      <c r="B2088" s="56">
        <v>42605</v>
      </c>
      <c r="C2088" s="55" t="s">
        <v>775</v>
      </c>
      <c r="D2088" s="55" t="str">
        <f t="shared" si="78"/>
        <v>Grocery</v>
      </c>
      <c r="E2088" s="55" t="s">
        <v>192</v>
      </c>
      <c r="F2088" s="55" t="s">
        <v>238</v>
      </c>
      <c r="G2088" s="55">
        <v>-16.82</v>
      </c>
      <c r="H2088" s="55">
        <f t="shared" si="79"/>
        <v>201608</v>
      </c>
      <c r="I2088" s="55">
        <f>MATCH(D2088,$O:$O,0)</f>
        <v>12</v>
      </c>
      <c r="J2088" s="55" t="s">
        <v>39</v>
      </c>
      <c r="K2088" s="55" t="s">
        <v>1398</v>
      </c>
      <c r="L2088" s="55" t="s">
        <v>1421</v>
      </c>
    </row>
    <row r="2089" spans="1:12" x14ac:dyDescent="0.25">
      <c r="A2089" s="55" t="s">
        <v>236</v>
      </c>
      <c r="B2089" s="56">
        <v>42604</v>
      </c>
      <c r="C2089" s="55" t="s">
        <v>1350</v>
      </c>
      <c r="D2089" s="55" t="str">
        <f t="shared" si="78"/>
        <v>Grocery</v>
      </c>
      <c r="E2089" s="55" t="s">
        <v>385</v>
      </c>
      <c r="F2089" s="55" t="s">
        <v>238</v>
      </c>
      <c r="G2089" s="55">
        <v>-20.28</v>
      </c>
      <c r="H2089" s="55">
        <f t="shared" si="79"/>
        <v>201608</v>
      </c>
      <c r="I2089" s="55">
        <f>MATCH(D2089,$O:$O,0)</f>
        <v>12</v>
      </c>
      <c r="J2089" s="55" t="s">
        <v>39</v>
      </c>
      <c r="K2089" s="55" t="s">
        <v>1394</v>
      </c>
      <c r="L2089" s="55" t="s">
        <v>965</v>
      </c>
    </row>
    <row r="2090" spans="1:12" x14ac:dyDescent="0.25">
      <c r="A2090" s="55" t="s">
        <v>236</v>
      </c>
      <c r="B2090" s="56">
        <v>42604</v>
      </c>
      <c r="C2090" s="55" t="s">
        <v>1462</v>
      </c>
      <c r="D2090" s="55" t="str">
        <f t="shared" si="78"/>
        <v>Grocery</v>
      </c>
      <c r="E2090" s="55" t="s">
        <v>385</v>
      </c>
      <c r="F2090" s="55" t="s">
        <v>238</v>
      </c>
      <c r="G2090" s="55">
        <v>-18.420000000000002</v>
      </c>
      <c r="H2090" s="55">
        <f t="shared" si="79"/>
        <v>201608</v>
      </c>
      <c r="I2090" s="55">
        <f>MATCH(D2090,$O:$O,0)</f>
        <v>12</v>
      </c>
      <c r="J2090" s="55" t="s">
        <v>39</v>
      </c>
      <c r="K2090" s="55" t="s">
        <v>1398</v>
      </c>
      <c r="L2090" s="55"/>
    </row>
    <row r="2091" spans="1:12" x14ac:dyDescent="0.25">
      <c r="A2091" s="55" t="s">
        <v>236</v>
      </c>
      <c r="B2091" s="56">
        <v>42603</v>
      </c>
      <c r="C2091" s="55" t="s">
        <v>1464</v>
      </c>
      <c r="D2091" s="55" t="str">
        <f t="shared" si="78"/>
        <v>Grocery</v>
      </c>
      <c r="E2091" s="55" t="s">
        <v>385</v>
      </c>
      <c r="F2091" s="55" t="s">
        <v>238</v>
      </c>
      <c r="G2091" s="57">
        <v>-1096.04</v>
      </c>
      <c r="H2091" s="55">
        <f t="shared" si="79"/>
        <v>201608</v>
      </c>
      <c r="I2091" s="55">
        <f>MATCH(D2091,$O:$O,0)</f>
        <v>12</v>
      </c>
      <c r="J2091" s="55" t="s">
        <v>39</v>
      </c>
      <c r="K2091" s="55" t="s">
        <v>1394</v>
      </c>
      <c r="L2091" s="55" t="s">
        <v>200</v>
      </c>
    </row>
    <row r="2092" spans="1:12" x14ac:dyDescent="0.25">
      <c r="A2092" s="55" t="s">
        <v>236</v>
      </c>
      <c r="B2092" s="56">
        <v>42602</v>
      </c>
      <c r="C2092" s="55" t="s">
        <v>1465</v>
      </c>
      <c r="D2092" s="55" t="str">
        <f t="shared" si="78"/>
        <v>Grocery</v>
      </c>
      <c r="E2092" s="55" t="s">
        <v>192</v>
      </c>
      <c r="F2092" s="55" t="s">
        <v>238</v>
      </c>
      <c r="G2092" s="55">
        <v>-29</v>
      </c>
      <c r="H2092" s="55">
        <f t="shared" si="79"/>
        <v>201608</v>
      </c>
      <c r="I2092" s="55">
        <f>MATCH(D2092,$O:$O,0)</f>
        <v>12</v>
      </c>
      <c r="J2092" s="55" t="s">
        <v>39</v>
      </c>
      <c r="K2092" s="55" t="s">
        <v>1394</v>
      </c>
      <c r="L2092" s="55" t="s">
        <v>200</v>
      </c>
    </row>
    <row r="2093" spans="1:12" x14ac:dyDescent="0.25">
      <c r="A2093" s="55" t="s">
        <v>236</v>
      </c>
      <c r="B2093" s="56">
        <v>42597</v>
      </c>
      <c r="C2093" s="55" t="s">
        <v>1405</v>
      </c>
      <c r="D2093" s="55" t="str">
        <f t="shared" si="78"/>
        <v>Grocery</v>
      </c>
      <c r="E2093" s="55" t="s">
        <v>192</v>
      </c>
      <c r="F2093" s="55" t="s">
        <v>238</v>
      </c>
      <c r="G2093" s="55">
        <v>-17.34</v>
      </c>
      <c r="H2093" s="55">
        <f t="shared" si="79"/>
        <v>201608</v>
      </c>
      <c r="I2093" s="55">
        <f>MATCH(D2093,$O:$O,0)</f>
        <v>12</v>
      </c>
      <c r="J2093" s="55" t="s">
        <v>39</v>
      </c>
      <c r="K2093" s="55" t="s">
        <v>1394</v>
      </c>
      <c r="L2093" s="55"/>
    </row>
    <row r="2094" spans="1:12" x14ac:dyDescent="0.25">
      <c r="A2094" s="55" t="s">
        <v>236</v>
      </c>
      <c r="B2094" s="56">
        <v>42597</v>
      </c>
      <c r="C2094" s="55" t="s">
        <v>1350</v>
      </c>
      <c r="D2094" s="55" t="str">
        <f t="shared" si="78"/>
        <v>Grocery</v>
      </c>
      <c r="E2094" s="55" t="s">
        <v>385</v>
      </c>
      <c r="F2094" s="55" t="s">
        <v>238</v>
      </c>
      <c r="G2094" s="55">
        <v>-34.950000000000003</v>
      </c>
      <c r="H2094" s="55">
        <f t="shared" si="79"/>
        <v>201608</v>
      </c>
      <c r="I2094" s="55">
        <f>MATCH(D2094,$O:$O,0)</f>
        <v>12</v>
      </c>
      <c r="J2094" s="55" t="s">
        <v>39</v>
      </c>
      <c r="K2094" s="55" t="s">
        <v>1394</v>
      </c>
      <c r="L2094" s="55" t="s">
        <v>239</v>
      </c>
    </row>
    <row r="2095" spans="1:12" x14ac:dyDescent="0.25">
      <c r="A2095" s="55" t="s">
        <v>236</v>
      </c>
      <c r="B2095" s="56">
        <v>42596</v>
      </c>
      <c r="C2095" s="55" t="s">
        <v>1395</v>
      </c>
      <c r="D2095" s="55" t="str">
        <f t="shared" si="78"/>
        <v>Grocery</v>
      </c>
      <c r="E2095" s="55" t="s">
        <v>192</v>
      </c>
      <c r="F2095" s="55" t="s">
        <v>238</v>
      </c>
      <c r="G2095" s="55">
        <v>-4.3899999999999997</v>
      </c>
      <c r="H2095" s="55">
        <f t="shared" si="79"/>
        <v>201608</v>
      </c>
      <c r="I2095" s="55">
        <f>MATCH(D2095,$O:$O,0)</f>
        <v>12</v>
      </c>
      <c r="J2095" s="55" t="s">
        <v>39</v>
      </c>
      <c r="K2095" s="55" t="s">
        <v>1394</v>
      </c>
      <c r="L2095" s="55" t="s">
        <v>229</v>
      </c>
    </row>
    <row r="2096" spans="1:12" x14ac:dyDescent="0.25">
      <c r="A2096" s="55" t="s">
        <v>236</v>
      </c>
      <c r="B2096" s="56">
        <v>42596</v>
      </c>
      <c r="C2096" s="55" t="s">
        <v>1350</v>
      </c>
      <c r="D2096" s="55" t="str">
        <f t="shared" si="78"/>
        <v>Grocery</v>
      </c>
      <c r="E2096" s="55" t="s">
        <v>385</v>
      </c>
      <c r="F2096" s="55" t="s">
        <v>238</v>
      </c>
      <c r="G2096" s="55">
        <v>-37.79</v>
      </c>
      <c r="H2096" s="55">
        <f t="shared" si="79"/>
        <v>201608</v>
      </c>
      <c r="I2096" s="55">
        <f>MATCH(D2096,$O:$O,0)</f>
        <v>12</v>
      </c>
      <c r="J2096" s="55" t="s">
        <v>39</v>
      </c>
      <c r="K2096" s="55" t="s">
        <v>1394</v>
      </c>
      <c r="L2096" s="55" t="s">
        <v>200</v>
      </c>
    </row>
    <row r="2097" spans="1:12" x14ac:dyDescent="0.25">
      <c r="A2097" s="55" t="s">
        <v>236</v>
      </c>
      <c r="B2097" s="56">
        <v>42594</v>
      </c>
      <c r="C2097" s="55" t="s">
        <v>1350</v>
      </c>
      <c r="D2097" s="55" t="str">
        <f t="shared" si="78"/>
        <v>Grocery</v>
      </c>
      <c r="E2097" s="55" t="s">
        <v>385</v>
      </c>
      <c r="F2097" s="55" t="s">
        <v>238</v>
      </c>
      <c r="G2097" s="55">
        <v>-5.89</v>
      </c>
      <c r="H2097" s="55">
        <f t="shared" si="79"/>
        <v>201608</v>
      </c>
      <c r="I2097" s="55">
        <f>MATCH(D2097,$O:$O,0)</f>
        <v>12</v>
      </c>
      <c r="J2097" s="55" t="s">
        <v>39</v>
      </c>
      <c r="K2097" s="55" t="s">
        <v>1394</v>
      </c>
      <c r="L2097" s="55" t="s">
        <v>200</v>
      </c>
    </row>
    <row r="2098" spans="1:12" x14ac:dyDescent="0.25">
      <c r="A2098" s="55" t="s">
        <v>236</v>
      </c>
      <c r="B2098" s="56">
        <v>42591</v>
      </c>
      <c r="C2098" s="55" t="s">
        <v>1405</v>
      </c>
      <c r="D2098" s="55" t="str">
        <f t="shared" si="78"/>
        <v>Grocery</v>
      </c>
      <c r="E2098" s="55" t="s">
        <v>192</v>
      </c>
      <c r="F2098" s="55" t="s">
        <v>238</v>
      </c>
      <c r="G2098" s="55">
        <v>-23.55</v>
      </c>
      <c r="H2098" s="55">
        <f t="shared" si="79"/>
        <v>201608</v>
      </c>
      <c r="I2098" s="55">
        <f>MATCH(D2098,$O:$O,0)</f>
        <v>12</v>
      </c>
      <c r="J2098" s="55" t="s">
        <v>39</v>
      </c>
      <c r="K2098" s="55" t="s">
        <v>1394</v>
      </c>
      <c r="L2098" s="55"/>
    </row>
    <row r="2099" spans="1:12" x14ac:dyDescent="0.25">
      <c r="A2099" s="55" t="s">
        <v>236</v>
      </c>
      <c r="B2099" s="56">
        <v>42591</v>
      </c>
      <c r="C2099" s="55" t="s">
        <v>1477</v>
      </c>
      <c r="D2099" s="55" t="str">
        <f t="shared" si="78"/>
        <v>Grocery</v>
      </c>
      <c r="E2099" s="55" t="s">
        <v>192</v>
      </c>
      <c r="F2099" s="55" t="s">
        <v>238</v>
      </c>
      <c r="G2099" s="55">
        <v>-3.86</v>
      </c>
      <c r="H2099" s="55">
        <f t="shared" si="79"/>
        <v>201608</v>
      </c>
      <c r="I2099" s="55">
        <f>MATCH(D2099,$O:$O,0)</f>
        <v>12</v>
      </c>
      <c r="J2099" s="55" t="s">
        <v>39</v>
      </c>
      <c r="K2099" s="55" t="s">
        <v>1394</v>
      </c>
      <c r="L2099" s="55" t="s">
        <v>723</v>
      </c>
    </row>
    <row r="2100" spans="1:12" x14ac:dyDescent="0.25">
      <c r="A2100" s="55" t="s">
        <v>236</v>
      </c>
      <c r="B2100" s="56">
        <v>42591</v>
      </c>
      <c r="C2100" s="55" t="s">
        <v>1477</v>
      </c>
      <c r="D2100" s="55" t="str">
        <f t="shared" si="78"/>
        <v>Grocery</v>
      </c>
      <c r="E2100" s="55" t="s">
        <v>192</v>
      </c>
      <c r="F2100" s="55" t="s">
        <v>238</v>
      </c>
      <c r="G2100" s="55">
        <v>-3.38</v>
      </c>
      <c r="H2100" s="55">
        <f t="shared" si="79"/>
        <v>201608</v>
      </c>
      <c r="I2100" s="55">
        <f>MATCH(D2100,$O:$O,0)</f>
        <v>12</v>
      </c>
      <c r="J2100" s="55" t="s">
        <v>39</v>
      </c>
      <c r="K2100" s="55" t="s">
        <v>1394</v>
      </c>
      <c r="L2100" s="55"/>
    </row>
    <row r="2101" spans="1:12" x14ac:dyDescent="0.25">
      <c r="A2101" s="55" t="s">
        <v>236</v>
      </c>
      <c r="B2101" s="56">
        <v>42588</v>
      </c>
      <c r="C2101" s="55" t="s">
        <v>1405</v>
      </c>
      <c r="D2101" s="55" t="str">
        <f t="shared" si="78"/>
        <v>Grocery</v>
      </c>
      <c r="E2101" s="55" t="s">
        <v>192</v>
      </c>
      <c r="F2101" s="55" t="s">
        <v>238</v>
      </c>
      <c r="G2101" s="55">
        <v>-19.37</v>
      </c>
      <c r="H2101" s="55">
        <f t="shared" si="79"/>
        <v>201608</v>
      </c>
      <c r="I2101" s="55">
        <f>MATCH(D2101,$O:$O,0)</f>
        <v>12</v>
      </c>
      <c r="J2101" s="55" t="s">
        <v>39</v>
      </c>
      <c r="K2101" s="55" t="s">
        <v>1394</v>
      </c>
      <c r="L2101" s="55" t="s">
        <v>205</v>
      </c>
    </row>
    <row r="2102" spans="1:12" x14ac:dyDescent="0.25">
      <c r="A2102" s="55" t="s">
        <v>236</v>
      </c>
      <c r="B2102" s="56">
        <v>42587</v>
      </c>
      <c r="C2102" s="55" t="s">
        <v>1350</v>
      </c>
      <c r="D2102" s="55" t="str">
        <f t="shared" si="78"/>
        <v>Grocery</v>
      </c>
      <c r="E2102" s="55" t="s">
        <v>385</v>
      </c>
      <c r="F2102" s="55" t="s">
        <v>238</v>
      </c>
      <c r="G2102" s="55">
        <v>-4.6900000000000004</v>
      </c>
      <c r="H2102" s="55">
        <f t="shared" si="79"/>
        <v>201608</v>
      </c>
      <c r="I2102" s="55">
        <f>MATCH(D2102,$O:$O,0)</f>
        <v>12</v>
      </c>
      <c r="J2102" s="55" t="s">
        <v>39</v>
      </c>
      <c r="K2102" s="55" t="s">
        <v>1394</v>
      </c>
      <c r="L2102" s="55" t="s">
        <v>816</v>
      </c>
    </row>
    <row r="2103" spans="1:12" x14ac:dyDescent="0.25">
      <c r="A2103" s="55" t="s">
        <v>236</v>
      </c>
      <c r="B2103" s="56">
        <v>42585</v>
      </c>
      <c r="C2103" s="55" t="s">
        <v>565</v>
      </c>
      <c r="D2103" s="55" t="str">
        <f t="shared" si="78"/>
        <v>Grocery</v>
      </c>
      <c r="E2103" s="55" t="s">
        <v>192</v>
      </c>
      <c r="F2103" s="55" t="s">
        <v>238</v>
      </c>
      <c r="G2103" s="55">
        <v>-1</v>
      </c>
      <c r="H2103" s="55">
        <f t="shared" si="79"/>
        <v>201608</v>
      </c>
      <c r="I2103" s="55">
        <f>MATCH(D2103,$O:$O,0)</f>
        <v>12</v>
      </c>
      <c r="J2103" s="55" t="s">
        <v>39</v>
      </c>
      <c r="K2103" s="55" t="s">
        <v>1398</v>
      </c>
      <c r="L2103" s="55"/>
    </row>
    <row r="2104" spans="1:12" x14ac:dyDescent="0.25">
      <c r="A2104" s="55" t="s">
        <v>236</v>
      </c>
      <c r="B2104" s="56">
        <v>42585</v>
      </c>
      <c r="C2104" s="55" t="s">
        <v>1484</v>
      </c>
      <c r="D2104" s="55" t="str">
        <f t="shared" si="78"/>
        <v>Grocery</v>
      </c>
      <c r="E2104" s="55" t="s">
        <v>385</v>
      </c>
      <c r="F2104" s="55" t="s">
        <v>238</v>
      </c>
      <c r="G2104" s="55">
        <v>-55.5</v>
      </c>
      <c r="H2104" s="55">
        <f t="shared" si="79"/>
        <v>201608</v>
      </c>
      <c r="I2104" s="55">
        <f>MATCH(D2104,$O:$O,0)</f>
        <v>12</v>
      </c>
      <c r="J2104" s="55" t="s">
        <v>39</v>
      </c>
      <c r="K2104" s="55" t="s">
        <v>1398</v>
      </c>
      <c r="L2104" s="55" t="s">
        <v>193</v>
      </c>
    </row>
    <row r="2105" spans="1:12" x14ac:dyDescent="0.25">
      <c r="A2105" s="55" t="s">
        <v>236</v>
      </c>
      <c r="B2105" s="56">
        <v>42584</v>
      </c>
      <c r="C2105" s="55" t="s">
        <v>1405</v>
      </c>
      <c r="D2105" s="55" t="str">
        <f t="shared" si="78"/>
        <v>Grocery</v>
      </c>
      <c r="E2105" s="55" t="s">
        <v>192</v>
      </c>
      <c r="F2105" s="55" t="s">
        <v>238</v>
      </c>
      <c r="G2105" s="55">
        <v>-31.04</v>
      </c>
      <c r="H2105" s="55">
        <f t="shared" si="79"/>
        <v>201608</v>
      </c>
      <c r="I2105" s="55">
        <f>MATCH(D2105,$O:$O,0)</f>
        <v>12</v>
      </c>
      <c r="J2105" s="55" t="s">
        <v>39</v>
      </c>
      <c r="K2105" s="55" t="s">
        <v>1394</v>
      </c>
      <c r="L2105" s="55" t="s">
        <v>252</v>
      </c>
    </row>
    <row r="2106" spans="1:12" x14ac:dyDescent="0.25">
      <c r="A2106" s="55" t="s">
        <v>236</v>
      </c>
      <c r="B2106" s="56">
        <v>42583</v>
      </c>
      <c r="C2106" s="55" t="s">
        <v>1485</v>
      </c>
      <c r="D2106" s="55" t="str">
        <f t="shared" si="78"/>
        <v>Grocery</v>
      </c>
      <c r="E2106" s="55" t="s">
        <v>192</v>
      </c>
      <c r="F2106" s="55" t="s">
        <v>238</v>
      </c>
      <c r="G2106" s="55">
        <v>-4.32</v>
      </c>
      <c r="H2106" s="55">
        <f t="shared" si="79"/>
        <v>201608</v>
      </c>
      <c r="I2106" s="55">
        <f>MATCH(D2106,$O:$O,0)</f>
        <v>12</v>
      </c>
      <c r="J2106" s="55" t="s">
        <v>39</v>
      </c>
      <c r="K2106" s="55" t="s">
        <v>1398</v>
      </c>
      <c r="L2106" s="55"/>
    </row>
    <row r="2107" spans="1:12" x14ac:dyDescent="0.25">
      <c r="A2107" s="55" t="s">
        <v>236</v>
      </c>
      <c r="B2107" s="56">
        <v>42611</v>
      </c>
      <c r="C2107" s="55" t="s">
        <v>1447</v>
      </c>
      <c r="D2107" s="55" t="str">
        <f t="shared" ref="D2107:D2169" si="80">IF(ISNA(VLOOKUP(E2107,$L$2:$M$26,2,FALSE)),E2107,VLOOKUP(E2107,$L$2:$M$26,2,FALSE))</f>
        <v>Health Care</v>
      </c>
      <c r="E2107" s="55" t="s">
        <v>160</v>
      </c>
      <c r="F2107" s="55" t="s">
        <v>238</v>
      </c>
      <c r="G2107" s="57">
        <v>-1084.96</v>
      </c>
      <c r="H2107" s="55">
        <f t="shared" ref="H2107:H2135" si="81">YEAR(B2107)*100+MONTH(B2107)</f>
        <v>201608</v>
      </c>
      <c r="I2107" s="55">
        <f>MATCH(D2107,$O:$O,0)</f>
        <v>14</v>
      </c>
      <c r="J2107" s="55" t="s">
        <v>39</v>
      </c>
      <c r="K2107" s="55" t="s">
        <v>803</v>
      </c>
      <c r="L2107" s="55" t="s">
        <v>927</v>
      </c>
    </row>
    <row r="2108" spans="1:12" x14ac:dyDescent="0.25">
      <c r="A2108" s="55" t="s">
        <v>236</v>
      </c>
      <c r="B2108" s="56">
        <v>42613</v>
      </c>
      <c r="C2108" s="55" t="s">
        <v>1333</v>
      </c>
      <c r="D2108" s="55" t="str">
        <f t="shared" si="80"/>
        <v>Home Maintainence/Improvement</v>
      </c>
      <c r="E2108" s="55" t="s">
        <v>342</v>
      </c>
      <c r="F2108" s="55" t="s">
        <v>238</v>
      </c>
      <c r="G2108" s="55">
        <v>-2.13</v>
      </c>
      <c r="H2108" s="55">
        <f t="shared" si="81"/>
        <v>201608</v>
      </c>
      <c r="I2108" s="55">
        <f>MATCH(D2108,$O:$O,0)</f>
        <v>16</v>
      </c>
      <c r="J2108" s="55" t="s">
        <v>39</v>
      </c>
      <c r="K2108" s="55" t="s">
        <v>1398</v>
      </c>
      <c r="L2108" s="55" t="s">
        <v>193</v>
      </c>
    </row>
    <row r="2109" spans="1:12" x14ac:dyDescent="0.25">
      <c r="A2109" s="55" t="s">
        <v>236</v>
      </c>
      <c r="B2109" s="56">
        <v>42613</v>
      </c>
      <c r="C2109" s="55" t="s">
        <v>1333</v>
      </c>
      <c r="D2109" s="55" t="str">
        <f t="shared" si="80"/>
        <v>Home Maintainence/Improvement</v>
      </c>
      <c r="E2109" s="55" t="s">
        <v>342</v>
      </c>
      <c r="F2109" s="55" t="s">
        <v>238</v>
      </c>
      <c r="G2109" s="55">
        <v>-13.06</v>
      </c>
      <c r="H2109" s="55">
        <f t="shared" si="81"/>
        <v>201608</v>
      </c>
      <c r="I2109" s="55">
        <f>MATCH(D2109,$O:$O,0)</f>
        <v>16</v>
      </c>
      <c r="J2109" s="55" t="s">
        <v>39</v>
      </c>
      <c r="K2109" s="55" t="s">
        <v>1398</v>
      </c>
      <c r="L2109" s="55" t="s">
        <v>193</v>
      </c>
    </row>
    <row r="2110" spans="1:12" x14ac:dyDescent="0.25">
      <c r="A2110" s="55" t="s">
        <v>236</v>
      </c>
      <c r="B2110" s="56">
        <v>42605</v>
      </c>
      <c r="C2110" s="55" t="s">
        <v>849</v>
      </c>
      <c r="D2110" s="55" t="str">
        <f t="shared" si="80"/>
        <v>Home Maintainence/Improvement</v>
      </c>
      <c r="E2110" s="55" t="s">
        <v>342</v>
      </c>
      <c r="F2110" s="55" t="s">
        <v>238</v>
      </c>
      <c r="G2110" s="55">
        <v>-6.08</v>
      </c>
      <c r="H2110" s="55">
        <f t="shared" si="81"/>
        <v>201608</v>
      </c>
      <c r="I2110" s="55">
        <f>MATCH(D2110,$O:$O,0)</f>
        <v>16</v>
      </c>
      <c r="J2110" s="55" t="s">
        <v>39</v>
      </c>
      <c r="K2110" s="55" t="s">
        <v>1398</v>
      </c>
      <c r="L2110" s="55" t="s">
        <v>310</v>
      </c>
    </row>
    <row r="2111" spans="1:12" x14ac:dyDescent="0.25">
      <c r="A2111" s="55" t="s">
        <v>236</v>
      </c>
      <c r="B2111" s="56">
        <v>42597</v>
      </c>
      <c r="C2111" s="55" t="s">
        <v>412</v>
      </c>
      <c r="D2111" s="55" t="str">
        <f t="shared" si="80"/>
        <v>Interest</v>
      </c>
      <c r="E2111" s="55" t="s">
        <v>200</v>
      </c>
      <c r="F2111" s="55" t="s">
        <v>238</v>
      </c>
      <c r="G2111" s="55">
        <v>0.27</v>
      </c>
      <c r="H2111" s="55">
        <f t="shared" si="81"/>
        <v>201608</v>
      </c>
      <c r="I2111" s="55" t="e">
        <f>MATCH(D2111,$O:$O,0)</f>
        <v>#N/A</v>
      </c>
      <c r="J2111" s="55" t="s">
        <v>39</v>
      </c>
      <c r="K2111" s="55" t="s">
        <v>803</v>
      </c>
      <c r="L2111" s="55" t="s">
        <v>246</v>
      </c>
    </row>
    <row r="2112" spans="1:12" x14ac:dyDescent="0.25">
      <c r="A2112" s="55" t="s">
        <v>236</v>
      </c>
      <c r="B2112" s="56">
        <v>42597</v>
      </c>
      <c r="C2112" s="55" t="s">
        <v>412</v>
      </c>
      <c r="D2112" s="55" t="str">
        <f t="shared" si="80"/>
        <v>Interest</v>
      </c>
      <c r="E2112" s="55" t="s">
        <v>200</v>
      </c>
      <c r="F2112" s="55" t="s">
        <v>238</v>
      </c>
      <c r="G2112" s="55">
        <v>0.19</v>
      </c>
      <c r="H2112" s="55">
        <f t="shared" si="81"/>
        <v>201608</v>
      </c>
      <c r="I2112" s="55" t="e">
        <f>MATCH(D2112,$O:$O,0)</f>
        <v>#N/A</v>
      </c>
      <c r="J2112" s="55" t="s">
        <v>39</v>
      </c>
      <c r="K2112" s="55" t="s">
        <v>675</v>
      </c>
      <c r="L2112" s="55"/>
    </row>
    <row r="2113" spans="1:12" x14ac:dyDescent="0.25">
      <c r="A2113" s="55" t="s">
        <v>236</v>
      </c>
      <c r="B2113" s="56">
        <v>42597</v>
      </c>
      <c r="C2113" s="55" t="s">
        <v>412</v>
      </c>
      <c r="D2113" s="55" t="str">
        <f t="shared" si="80"/>
        <v>Interest</v>
      </c>
      <c r="E2113" s="55" t="s">
        <v>200</v>
      </c>
      <c r="F2113" s="55" t="s">
        <v>238</v>
      </c>
      <c r="G2113" s="55">
        <v>0.23</v>
      </c>
      <c r="H2113" s="55">
        <f t="shared" si="81"/>
        <v>201608</v>
      </c>
      <c r="I2113" s="55" t="e">
        <f>MATCH(D2113,$O:$O,0)</f>
        <v>#N/A</v>
      </c>
      <c r="J2113" s="55" t="s">
        <v>39</v>
      </c>
      <c r="K2113" s="55" t="s">
        <v>628</v>
      </c>
      <c r="L2113" s="55" t="s">
        <v>816</v>
      </c>
    </row>
    <row r="2114" spans="1:12" x14ac:dyDescent="0.25">
      <c r="A2114" s="55" t="s">
        <v>236</v>
      </c>
      <c r="B2114" s="56">
        <v>42597</v>
      </c>
      <c r="C2114" s="55" t="s">
        <v>412</v>
      </c>
      <c r="D2114" s="55" t="str">
        <f t="shared" si="80"/>
        <v>Interest</v>
      </c>
      <c r="E2114" s="55" t="s">
        <v>200</v>
      </c>
      <c r="F2114" s="55" t="s">
        <v>238</v>
      </c>
      <c r="G2114" s="55">
        <v>0.16</v>
      </c>
      <c r="H2114" s="55">
        <f t="shared" si="81"/>
        <v>201608</v>
      </c>
      <c r="I2114" s="55" t="e">
        <f>MATCH(D2114,$O:$O,0)</f>
        <v>#N/A</v>
      </c>
      <c r="J2114" s="55" t="s">
        <v>39</v>
      </c>
      <c r="K2114" s="55" t="s">
        <v>676</v>
      </c>
      <c r="L2114" s="55" t="s">
        <v>353</v>
      </c>
    </row>
    <row r="2115" spans="1:12" x14ac:dyDescent="0.25">
      <c r="A2115" s="55" t="s">
        <v>236</v>
      </c>
      <c r="B2115" s="56">
        <v>42583</v>
      </c>
      <c r="C2115" s="55" t="s">
        <v>591</v>
      </c>
      <c r="D2115" s="55" t="str">
        <f t="shared" si="80"/>
        <v>Mortgage/Rent</v>
      </c>
      <c r="E2115" s="55" t="s">
        <v>202</v>
      </c>
      <c r="F2115" s="55" t="s">
        <v>238</v>
      </c>
      <c r="G2115" s="57">
        <v>-3116.77</v>
      </c>
      <c r="H2115" s="55">
        <f t="shared" si="81"/>
        <v>201608</v>
      </c>
      <c r="I2115" s="55">
        <f>MATCH(D2115,$O:$O,0)</f>
        <v>21</v>
      </c>
      <c r="J2115" s="55" t="s">
        <v>39</v>
      </c>
      <c r="K2115" s="55" t="s">
        <v>803</v>
      </c>
      <c r="L2115" s="55" t="s">
        <v>353</v>
      </c>
    </row>
    <row r="2116" spans="1:12" x14ac:dyDescent="0.25">
      <c r="A2116" s="55" t="s">
        <v>236</v>
      </c>
      <c r="B2116" s="56">
        <v>42606</v>
      </c>
      <c r="C2116" s="55" t="s">
        <v>894</v>
      </c>
      <c r="D2116" s="55" t="str">
        <f t="shared" si="80"/>
        <v>Movies/Software/Online Service</v>
      </c>
      <c r="E2116" s="55" t="s">
        <v>167</v>
      </c>
      <c r="F2116" s="55" t="s">
        <v>238</v>
      </c>
      <c r="G2116" s="55">
        <v>-7.99</v>
      </c>
      <c r="H2116" s="55">
        <f t="shared" si="81"/>
        <v>201608</v>
      </c>
      <c r="I2116" s="55">
        <f>MATCH(D2116,$O:$O,0)</f>
        <v>22</v>
      </c>
      <c r="J2116" s="55" t="s">
        <v>39</v>
      </c>
      <c r="K2116" s="55" t="s">
        <v>1398</v>
      </c>
      <c r="L2116" s="55" t="s">
        <v>1421</v>
      </c>
    </row>
    <row r="2117" spans="1:12" x14ac:dyDescent="0.25">
      <c r="A2117" s="55" t="s">
        <v>236</v>
      </c>
      <c r="B2117" s="56">
        <v>42591</v>
      </c>
      <c r="C2117" s="55" t="s">
        <v>1476</v>
      </c>
      <c r="D2117" s="55" t="str">
        <f t="shared" si="80"/>
        <v>Newspapers</v>
      </c>
      <c r="E2117" s="55" t="s">
        <v>1205</v>
      </c>
      <c r="F2117" s="55" t="s">
        <v>238</v>
      </c>
      <c r="G2117" s="55">
        <v>-14.99</v>
      </c>
      <c r="H2117" s="55">
        <f t="shared" si="81"/>
        <v>201608</v>
      </c>
      <c r="I2117" s="55">
        <f>MATCH(D2117,$O:$O,0)</f>
        <v>23</v>
      </c>
      <c r="J2117" s="55" t="s">
        <v>39</v>
      </c>
      <c r="K2117" s="55" t="s">
        <v>1394</v>
      </c>
      <c r="L2117" s="55"/>
    </row>
    <row r="2118" spans="1:12" x14ac:dyDescent="0.25">
      <c r="A2118" s="55" t="s">
        <v>236</v>
      </c>
      <c r="B2118" s="56">
        <v>42586</v>
      </c>
      <c r="C2118" s="55" t="s">
        <v>853</v>
      </c>
      <c r="D2118" s="55" t="str">
        <f t="shared" si="80"/>
        <v>Parking</v>
      </c>
      <c r="E2118" s="55" t="s">
        <v>170</v>
      </c>
      <c r="F2118" s="55" t="s">
        <v>238</v>
      </c>
      <c r="G2118" s="55">
        <v>-7.25</v>
      </c>
      <c r="H2118" s="55">
        <f t="shared" si="81"/>
        <v>201608</v>
      </c>
      <c r="I2118" s="55">
        <f>MATCH(D2118,$O:$O,0)</f>
        <v>32</v>
      </c>
      <c r="J2118" s="55" t="s">
        <v>39</v>
      </c>
      <c r="K2118" s="55" t="s">
        <v>1398</v>
      </c>
      <c r="L2118" s="55"/>
    </row>
    <row r="2119" spans="1:12" x14ac:dyDescent="0.25">
      <c r="A2119" s="55" t="s">
        <v>236</v>
      </c>
      <c r="B2119" s="56">
        <v>42613</v>
      </c>
      <c r="C2119" s="55" t="s">
        <v>1078</v>
      </c>
      <c r="D2119" s="55" t="str">
        <f t="shared" si="80"/>
        <v>Paychecks/Salary</v>
      </c>
      <c r="E2119" s="55" t="s">
        <v>261</v>
      </c>
      <c r="F2119" s="55" t="s">
        <v>238</v>
      </c>
      <c r="G2119" s="57">
        <v>1641.85</v>
      </c>
      <c r="H2119" s="55">
        <f t="shared" si="81"/>
        <v>201608</v>
      </c>
      <c r="I2119" s="55">
        <f>MATCH(D2119,$O:$O,0)</f>
        <v>40</v>
      </c>
      <c r="J2119" s="55" t="s">
        <v>39</v>
      </c>
      <c r="K2119" s="55" t="s">
        <v>675</v>
      </c>
      <c r="L2119" s="55" t="s">
        <v>816</v>
      </c>
    </row>
    <row r="2120" spans="1:12" x14ac:dyDescent="0.25">
      <c r="A2120" s="55" t="s">
        <v>236</v>
      </c>
      <c r="B2120" s="56">
        <v>42597</v>
      </c>
      <c r="C2120" s="55" t="s">
        <v>1078</v>
      </c>
      <c r="D2120" s="55" t="str">
        <f t="shared" si="80"/>
        <v>Paychecks/Salary</v>
      </c>
      <c r="E2120" s="55" t="s">
        <v>261</v>
      </c>
      <c r="F2120" s="55" t="s">
        <v>238</v>
      </c>
      <c r="G2120" s="57">
        <v>1641.85</v>
      </c>
      <c r="H2120" s="55">
        <f t="shared" si="81"/>
        <v>201608</v>
      </c>
      <c r="I2120" s="55">
        <f>MATCH(D2120,$O:$O,0)</f>
        <v>40</v>
      </c>
      <c r="J2120" s="55" t="s">
        <v>39</v>
      </c>
      <c r="K2120" s="55" t="s">
        <v>675</v>
      </c>
      <c r="L2120" s="55" t="s">
        <v>1482</v>
      </c>
    </row>
    <row r="2121" spans="1:12" x14ac:dyDescent="0.25">
      <c r="A2121" s="55" t="s">
        <v>236</v>
      </c>
      <c r="B2121" s="56">
        <v>42597</v>
      </c>
      <c r="C2121" s="55" t="s">
        <v>1472</v>
      </c>
      <c r="D2121" s="55" t="str">
        <f t="shared" si="80"/>
        <v>Paychecks/Salary</v>
      </c>
      <c r="E2121" s="55" t="s">
        <v>261</v>
      </c>
      <c r="F2121" s="55" t="s">
        <v>238</v>
      </c>
      <c r="G2121" s="55">
        <v>21</v>
      </c>
      <c r="H2121" s="55">
        <f t="shared" si="81"/>
        <v>201608</v>
      </c>
      <c r="I2121" s="55">
        <f>MATCH(D2121,$O:$O,0)</f>
        <v>40</v>
      </c>
      <c r="J2121" s="55" t="s">
        <v>39</v>
      </c>
      <c r="K2121" s="55" t="s">
        <v>803</v>
      </c>
      <c r="L2121" s="55" t="s">
        <v>193</v>
      </c>
    </row>
    <row r="2122" spans="1:12" x14ac:dyDescent="0.25">
      <c r="A2122" s="55" t="s">
        <v>236</v>
      </c>
      <c r="B2122" s="56">
        <v>42607</v>
      </c>
      <c r="C2122" s="55" t="s">
        <v>364</v>
      </c>
      <c r="D2122" s="55" t="str">
        <f t="shared" si="80"/>
        <v>Seattle House</v>
      </c>
      <c r="E2122" s="55" t="s">
        <v>1207</v>
      </c>
      <c r="F2122" s="55" t="s">
        <v>238</v>
      </c>
      <c r="G2122" s="57">
        <v>2550</v>
      </c>
      <c r="H2122" s="55">
        <f t="shared" si="81"/>
        <v>201608</v>
      </c>
      <c r="I2122" s="55">
        <f>MATCH(D2122,$O:$O,0)</f>
        <v>43</v>
      </c>
      <c r="J2122" s="55" t="s">
        <v>39</v>
      </c>
      <c r="K2122" s="55" t="s">
        <v>803</v>
      </c>
      <c r="L2122" s="55"/>
    </row>
    <row r="2123" spans="1:12" x14ac:dyDescent="0.25">
      <c r="A2123" s="55" t="s">
        <v>236</v>
      </c>
      <c r="B2123" s="56">
        <v>42607</v>
      </c>
      <c r="C2123" s="55" t="s">
        <v>364</v>
      </c>
      <c r="D2123" s="55" t="str">
        <f t="shared" si="80"/>
        <v>Seattle House</v>
      </c>
      <c r="E2123" s="55" t="s">
        <v>1207</v>
      </c>
      <c r="F2123" s="55" t="s">
        <v>238</v>
      </c>
      <c r="G2123" s="57">
        <v>5100</v>
      </c>
      <c r="H2123" s="55">
        <f t="shared" si="81"/>
        <v>201608</v>
      </c>
      <c r="I2123" s="55">
        <f>MATCH(D2123,$O:$O,0)</f>
        <v>43</v>
      </c>
      <c r="J2123" s="55" t="s">
        <v>39</v>
      </c>
      <c r="K2123" s="55" t="s">
        <v>803</v>
      </c>
      <c r="L2123" s="55" t="s">
        <v>1032</v>
      </c>
    </row>
    <row r="2124" spans="1:12" x14ac:dyDescent="0.25">
      <c r="A2124" s="55" t="s">
        <v>236</v>
      </c>
      <c r="B2124" s="56">
        <v>42600</v>
      </c>
      <c r="C2124" s="55" t="s">
        <v>1467</v>
      </c>
      <c r="D2124" s="55" t="str">
        <f t="shared" si="80"/>
        <v>Seattle House</v>
      </c>
      <c r="E2124" s="55" t="s">
        <v>1207</v>
      </c>
      <c r="F2124" s="55" t="s">
        <v>238</v>
      </c>
      <c r="G2124" s="55">
        <v>-35</v>
      </c>
      <c r="H2124" s="55">
        <f t="shared" si="81"/>
        <v>201608</v>
      </c>
      <c r="I2124" s="55">
        <f>MATCH(D2124,$O:$O,0)</f>
        <v>43</v>
      </c>
      <c r="J2124" s="55" t="s">
        <v>39</v>
      </c>
      <c r="K2124" s="55" t="s">
        <v>1398</v>
      </c>
      <c r="L2124" s="55" t="s">
        <v>1156</v>
      </c>
    </row>
    <row r="2125" spans="1:12" x14ac:dyDescent="0.25">
      <c r="A2125" s="55" t="s">
        <v>236</v>
      </c>
      <c r="B2125" s="56">
        <v>42598</v>
      </c>
      <c r="C2125" s="55" t="s">
        <v>1469</v>
      </c>
      <c r="D2125" s="55" t="str">
        <f t="shared" si="80"/>
        <v>Seattle House</v>
      </c>
      <c r="E2125" s="55" t="s">
        <v>1207</v>
      </c>
      <c r="F2125" s="55" t="s">
        <v>238</v>
      </c>
      <c r="G2125" s="55">
        <v>35</v>
      </c>
      <c r="H2125" s="55">
        <f t="shared" si="81"/>
        <v>201608</v>
      </c>
      <c r="I2125" s="55">
        <f>MATCH(D2125,$O:$O,0)</f>
        <v>43</v>
      </c>
      <c r="J2125" s="55" t="s">
        <v>39</v>
      </c>
      <c r="K2125" s="55" t="s">
        <v>803</v>
      </c>
      <c r="L2125" s="55"/>
    </row>
    <row r="2126" spans="1:12" x14ac:dyDescent="0.25">
      <c r="A2126" s="55" t="s">
        <v>236</v>
      </c>
      <c r="B2126" s="56">
        <v>42598</v>
      </c>
      <c r="C2126" s="55" t="s">
        <v>1470</v>
      </c>
      <c r="D2126" s="55" t="str">
        <f t="shared" si="80"/>
        <v>Seattle House</v>
      </c>
      <c r="E2126" s="55" t="s">
        <v>1207</v>
      </c>
      <c r="F2126" s="55" t="s">
        <v>238</v>
      </c>
      <c r="G2126" s="55">
        <v>29.99</v>
      </c>
      <c r="H2126" s="55">
        <f t="shared" si="81"/>
        <v>201608</v>
      </c>
      <c r="I2126" s="55">
        <f>MATCH(D2126,$O:$O,0)</f>
        <v>43</v>
      </c>
      <c r="J2126" s="55" t="s">
        <v>39</v>
      </c>
      <c r="K2126" s="55" t="s">
        <v>1394</v>
      </c>
      <c r="L2126" s="55"/>
    </row>
    <row r="2127" spans="1:12" x14ac:dyDescent="0.25">
      <c r="A2127" s="55" t="s">
        <v>236</v>
      </c>
      <c r="B2127" s="56">
        <v>42597</v>
      </c>
      <c r="C2127" s="55" t="s">
        <v>1470</v>
      </c>
      <c r="D2127" s="55" t="str">
        <f t="shared" si="80"/>
        <v>Seattle House</v>
      </c>
      <c r="E2127" s="55" t="s">
        <v>1207</v>
      </c>
      <c r="F2127" s="55" t="s">
        <v>238</v>
      </c>
      <c r="G2127" s="55">
        <v>-29.99</v>
      </c>
      <c r="H2127" s="55">
        <f t="shared" si="81"/>
        <v>201608</v>
      </c>
      <c r="I2127" s="55">
        <f>MATCH(D2127,$O:$O,0)</f>
        <v>43</v>
      </c>
      <c r="J2127" s="55" t="s">
        <v>39</v>
      </c>
      <c r="K2127" s="55" t="s">
        <v>1394</v>
      </c>
      <c r="L2127" s="55"/>
    </row>
    <row r="2128" spans="1:12" x14ac:dyDescent="0.25">
      <c r="A2128" s="55" t="s">
        <v>236</v>
      </c>
      <c r="B2128" s="56">
        <v>42590</v>
      </c>
      <c r="C2128" s="55" t="s">
        <v>1479</v>
      </c>
      <c r="D2128" s="55" t="str">
        <f t="shared" si="80"/>
        <v>Seattle House</v>
      </c>
      <c r="E2128" s="55" t="s">
        <v>1207</v>
      </c>
      <c r="F2128" s="55" t="s">
        <v>238</v>
      </c>
      <c r="G2128" s="57">
        <v>-1955.41</v>
      </c>
      <c r="H2128" s="55">
        <f t="shared" si="81"/>
        <v>201608</v>
      </c>
      <c r="I2128" s="55">
        <f>MATCH(D2128,$O:$O,0)</f>
        <v>43</v>
      </c>
      <c r="J2128" s="55" t="s">
        <v>39</v>
      </c>
      <c r="K2128" s="55" t="s">
        <v>803</v>
      </c>
      <c r="L2128" s="55" t="s">
        <v>310</v>
      </c>
    </row>
    <row r="2129" spans="1:12" x14ac:dyDescent="0.25">
      <c r="A2129" s="55" t="s">
        <v>236</v>
      </c>
      <c r="B2129" s="56">
        <v>42597</v>
      </c>
      <c r="C2129" s="55" t="s">
        <v>221</v>
      </c>
      <c r="D2129" s="55" t="str">
        <f t="shared" si="80"/>
        <v>Tax</v>
      </c>
      <c r="E2129" s="55" t="s">
        <v>222</v>
      </c>
      <c r="F2129" s="55" t="s">
        <v>238</v>
      </c>
      <c r="G2129" s="55">
        <v>-0.08</v>
      </c>
      <c r="H2129" s="55">
        <f t="shared" si="81"/>
        <v>201608</v>
      </c>
      <c r="I2129" s="55">
        <f>MATCH(D2129,$O:$O,0)</f>
        <v>29</v>
      </c>
      <c r="J2129" s="55" t="s">
        <v>39</v>
      </c>
      <c r="K2129" s="55" t="s">
        <v>803</v>
      </c>
      <c r="L2129" s="55" t="s">
        <v>252</v>
      </c>
    </row>
    <row r="2130" spans="1:12" x14ac:dyDescent="0.25">
      <c r="A2130" s="55" t="s">
        <v>236</v>
      </c>
      <c r="B2130" s="56">
        <v>42597</v>
      </c>
      <c r="C2130" s="55" t="s">
        <v>221</v>
      </c>
      <c r="D2130" s="55" t="str">
        <f t="shared" si="80"/>
        <v>Tax</v>
      </c>
      <c r="E2130" s="55" t="s">
        <v>222</v>
      </c>
      <c r="F2130" s="55" t="s">
        <v>238</v>
      </c>
      <c r="G2130" s="55">
        <v>-0.06</v>
      </c>
      <c r="H2130" s="55">
        <f t="shared" si="81"/>
        <v>201608</v>
      </c>
      <c r="I2130" s="55">
        <f>MATCH(D2130,$O:$O,0)</f>
        <v>29</v>
      </c>
      <c r="J2130" s="55" t="s">
        <v>39</v>
      </c>
      <c r="K2130" s="55" t="s">
        <v>628</v>
      </c>
      <c r="L2130" s="55" t="s">
        <v>1331</v>
      </c>
    </row>
    <row r="2131" spans="1:12" x14ac:dyDescent="0.25">
      <c r="A2131" s="55" t="s">
        <v>236</v>
      </c>
      <c r="B2131" s="56">
        <v>42608</v>
      </c>
      <c r="C2131" s="55" t="s">
        <v>1451</v>
      </c>
      <c r="D2131" s="55" t="str">
        <f t="shared" si="80"/>
        <v>Transfers</v>
      </c>
      <c r="E2131" s="55" t="s">
        <v>226</v>
      </c>
      <c r="F2131" s="55" t="s">
        <v>238</v>
      </c>
      <c r="G2131" s="55">
        <v>-438.45</v>
      </c>
      <c r="H2131" s="55">
        <f t="shared" si="81"/>
        <v>201608</v>
      </c>
      <c r="I2131" s="55">
        <f>MATCH(D2131,$O:$O,0)</f>
        <v>37</v>
      </c>
      <c r="J2131" s="55" t="s">
        <v>39</v>
      </c>
      <c r="K2131" s="55" t="s">
        <v>803</v>
      </c>
      <c r="L2131" s="55" t="s">
        <v>816</v>
      </c>
    </row>
    <row r="2132" spans="1:12" x14ac:dyDescent="0.25">
      <c r="A2132" s="55" t="s">
        <v>236</v>
      </c>
      <c r="B2132" s="56">
        <v>42597</v>
      </c>
      <c r="C2132" s="55" t="s">
        <v>1471</v>
      </c>
      <c r="D2132" s="55" t="str">
        <f t="shared" si="80"/>
        <v>Transfers</v>
      </c>
      <c r="E2132" s="55" t="s">
        <v>226</v>
      </c>
      <c r="F2132" s="55" t="s">
        <v>238</v>
      </c>
      <c r="G2132" s="57">
        <v>-15000</v>
      </c>
      <c r="H2132" s="55">
        <f t="shared" si="81"/>
        <v>201608</v>
      </c>
      <c r="I2132" s="55">
        <f>MATCH(D2132,$O:$O,0)</f>
        <v>37</v>
      </c>
      <c r="J2132" s="55" t="s">
        <v>39</v>
      </c>
      <c r="K2132" s="55" t="s">
        <v>675</v>
      </c>
      <c r="L2132" s="55" t="s">
        <v>205</v>
      </c>
    </row>
    <row r="2133" spans="1:12" x14ac:dyDescent="0.25">
      <c r="A2133" s="55" t="s">
        <v>236</v>
      </c>
      <c r="B2133" s="56">
        <v>42606</v>
      </c>
      <c r="C2133" s="55" t="s">
        <v>990</v>
      </c>
      <c r="D2133" s="55" t="str">
        <f t="shared" si="80"/>
        <v>Uncategorized</v>
      </c>
      <c r="E2133" s="55" t="s">
        <v>102</v>
      </c>
      <c r="F2133" s="55" t="s">
        <v>238</v>
      </c>
      <c r="G2133" s="55">
        <v>-3.3</v>
      </c>
      <c r="H2133" s="55">
        <f t="shared" si="81"/>
        <v>201608</v>
      </c>
      <c r="I2133" s="55">
        <f>MATCH(D2133,$O:$O,0)</f>
        <v>33</v>
      </c>
      <c r="J2133" s="55" t="s">
        <v>39</v>
      </c>
      <c r="K2133" s="55" t="s">
        <v>1398</v>
      </c>
      <c r="L2133" s="55" t="s">
        <v>723</v>
      </c>
    </row>
    <row r="2134" spans="1:12" x14ac:dyDescent="0.25">
      <c r="A2134" s="55" t="s">
        <v>236</v>
      </c>
      <c r="B2134" s="56">
        <v>42597</v>
      </c>
      <c r="C2134" s="55" t="s">
        <v>1310</v>
      </c>
      <c r="D2134" s="55" t="str">
        <f t="shared" si="80"/>
        <v>Utility</v>
      </c>
      <c r="E2134" s="55" t="s">
        <v>19</v>
      </c>
      <c r="F2134" s="55" t="s">
        <v>238</v>
      </c>
      <c r="G2134" s="55">
        <v>-64.42</v>
      </c>
      <c r="H2134" s="55">
        <f t="shared" si="81"/>
        <v>201608</v>
      </c>
      <c r="I2134" s="55">
        <f>MATCH(D2134,$O:$O,0)</f>
        <v>34</v>
      </c>
      <c r="J2134" s="55" t="s">
        <v>39</v>
      </c>
      <c r="K2134" s="55" t="s">
        <v>803</v>
      </c>
      <c r="L2134" s="55" t="s">
        <v>363</v>
      </c>
    </row>
    <row r="2135" spans="1:12" x14ac:dyDescent="0.25">
      <c r="A2135" s="55" t="s">
        <v>236</v>
      </c>
      <c r="B2135" s="56">
        <v>42606</v>
      </c>
      <c r="C2135" s="55" t="s">
        <v>1457</v>
      </c>
      <c r="D2135" s="55" t="str">
        <f t="shared" si="80"/>
        <v>Z-New Asset</v>
      </c>
      <c r="E2135" s="55" t="s">
        <v>1486</v>
      </c>
      <c r="F2135" s="55" t="s">
        <v>238</v>
      </c>
      <c r="G2135" s="55">
        <v>-106</v>
      </c>
      <c r="H2135" s="55">
        <f t="shared" si="81"/>
        <v>201608</v>
      </c>
      <c r="I2135" s="55">
        <f>MATCH(D2135,$O:$O,0)</f>
        <v>36</v>
      </c>
      <c r="J2135" s="55" t="s">
        <v>39</v>
      </c>
      <c r="K2135" s="55" t="s">
        <v>1394</v>
      </c>
      <c r="L2135" s="55" t="s">
        <v>252</v>
      </c>
    </row>
    <row r="2136" spans="1:12" x14ac:dyDescent="0.25">
      <c r="A2136" s="65" t="s">
        <v>236</v>
      </c>
      <c r="B2136" s="66">
        <v>42619</v>
      </c>
      <c r="C2136" s="65" t="s">
        <v>1155</v>
      </c>
      <c r="D2136" s="55" t="str">
        <f>IF(ISNA(VLOOKUP(E2136,$L$2:$M$26,2,FALSE)),E2136,VLOOKUP(E2136,$L$2:$M$26,2,FALSE))</f>
        <v>Car Related</v>
      </c>
      <c r="E2136" s="55" t="s">
        <v>185</v>
      </c>
      <c r="F2136" s="65" t="s">
        <v>238</v>
      </c>
      <c r="G2136" s="65">
        <v>-321.52</v>
      </c>
      <c r="H2136" s="55">
        <f>YEAR(B2136)*100+MONTH(B2136)</f>
        <v>201609</v>
      </c>
      <c r="I2136" s="55">
        <f>MATCH(D2136,$O:$O,0)</f>
        <v>31</v>
      </c>
      <c r="J2136" s="65" t="s">
        <v>39</v>
      </c>
      <c r="K2136" s="65" t="s">
        <v>675</v>
      </c>
      <c r="L2136" s="65"/>
    </row>
    <row r="2137" spans="1:12" x14ac:dyDescent="0.25">
      <c r="A2137" s="65" t="s">
        <v>236</v>
      </c>
      <c r="B2137" s="66">
        <v>42639</v>
      </c>
      <c r="C2137" s="65" t="s">
        <v>1555</v>
      </c>
      <c r="D2137" s="55" t="str">
        <f>IF(ISNA(VLOOKUP(E2137,$L$2:$M$26,2,FALSE)),E2137,VLOOKUP(E2137,$L$2:$M$26,2,FALSE))</f>
        <v>Car Related</v>
      </c>
      <c r="E2137" s="65" t="s">
        <v>1593</v>
      </c>
      <c r="F2137" s="65" t="s">
        <v>238</v>
      </c>
      <c r="G2137" s="65">
        <v>-438.45</v>
      </c>
      <c r="H2137" s="55">
        <f>YEAR(B2137)*100+MONTH(B2137)</f>
        <v>201609</v>
      </c>
      <c r="I2137" s="55">
        <f>MATCH(D2137,$O:$O,0)</f>
        <v>31</v>
      </c>
      <c r="J2137" s="65" t="s">
        <v>39</v>
      </c>
      <c r="K2137" s="65" t="s">
        <v>803</v>
      </c>
      <c r="L2137" s="65" t="s">
        <v>723</v>
      </c>
    </row>
    <row r="2138" spans="1:12" x14ac:dyDescent="0.25">
      <c r="A2138" s="65" t="s">
        <v>236</v>
      </c>
      <c r="B2138" s="66">
        <v>42643</v>
      </c>
      <c r="C2138" s="65" t="s">
        <v>1208</v>
      </c>
      <c r="D2138" s="55" t="str">
        <f>IF(ISNA(VLOOKUP(E2138,$L$2:$M$26,2,FALSE)),E2138,VLOOKUP(E2138,$L$2:$M$26,2,FALSE))</f>
        <v>Cell Phone</v>
      </c>
      <c r="E2138" s="65" t="s">
        <v>224</v>
      </c>
      <c r="F2138" s="65" t="s">
        <v>238</v>
      </c>
      <c r="G2138" s="65">
        <v>-177.39</v>
      </c>
      <c r="H2138" s="55">
        <f>YEAR(B2138)*100+MONTH(B2138)</f>
        <v>201609</v>
      </c>
      <c r="I2138" s="55">
        <f>MATCH(D2138,$O:$O,0)</f>
        <v>4</v>
      </c>
      <c r="J2138" s="65" t="s">
        <v>39</v>
      </c>
      <c r="K2138" s="65" t="s">
        <v>1403</v>
      </c>
      <c r="L2138" s="65" t="s">
        <v>193</v>
      </c>
    </row>
    <row r="2139" spans="1:12" x14ac:dyDescent="0.25">
      <c r="A2139" s="65" t="s">
        <v>236</v>
      </c>
      <c r="B2139" s="66">
        <v>42627</v>
      </c>
      <c r="C2139" s="65" t="s">
        <v>1424</v>
      </c>
      <c r="D2139" s="55" t="str">
        <f>IF(ISNA(VLOOKUP(E2139,$L$2:$M$26,2,FALSE)),E2139,VLOOKUP(E2139,$L$2:$M$26,2,FALSE))</f>
        <v>Credit Card Payments</v>
      </c>
      <c r="E2139" s="65" t="s">
        <v>242</v>
      </c>
      <c r="F2139" s="65" t="s">
        <v>238</v>
      </c>
      <c r="G2139" s="65">
        <v>334.11</v>
      </c>
      <c r="H2139" s="55">
        <f>YEAR(B2139)*100+MONTH(B2139)</f>
        <v>201609</v>
      </c>
      <c r="I2139" s="55">
        <f>MATCH(D2139,$O:$O,0)</f>
        <v>38</v>
      </c>
      <c r="J2139" s="65" t="s">
        <v>39</v>
      </c>
      <c r="K2139" s="65" t="s">
        <v>1394</v>
      </c>
      <c r="L2139" s="65"/>
    </row>
    <row r="2140" spans="1:12" x14ac:dyDescent="0.25">
      <c r="A2140" s="65" t="s">
        <v>236</v>
      </c>
      <c r="B2140" s="66">
        <v>42628</v>
      </c>
      <c r="C2140" s="65" t="s">
        <v>1572</v>
      </c>
      <c r="D2140" s="55" t="str">
        <f>IF(ISNA(VLOOKUP(E2140,$L$2:$M$26,2,FALSE)),E2140,VLOOKUP(E2140,$L$2:$M$26,2,FALSE))</f>
        <v>Credit Card Payments</v>
      </c>
      <c r="E2140" s="65" t="s">
        <v>242</v>
      </c>
      <c r="F2140" s="65" t="s">
        <v>238</v>
      </c>
      <c r="G2140" s="65">
        <v>-334.11</v>
      </c>
      <c r="H2140" s="55">
        <f>YEAR(B2140)*100+MONTH(B2140)</f>
        <v>201609</v>
      </c>
      <c r="I2140" s="55">
        <f>MATCH(D2140,$O:$O,0)</f>
        <v>38</v>
      </c>
      <c r="J2140" s="65" t="s">
        <v>39</v>
      </c>
      <c r="K2140" s="65" t="s">
        <v>803</v>
      </c>
      <c r="L2140" s="65" t="s">
        <v>193</v>
      </c>
    </row>
    <row r="2141" spans="1:12" x14ac:dyDescent="0.25">
      <c r="A2141" s="65" t="s">
        <v>236</v>
      </c>
      <c r="B2141" s="66">
        <v>42639</v>
      </c>
      <c r="C2141" s="65" t="s">
        <v>1554</v>
      </c>
      <c r="D2141" s="55" t="str">
        <f>IF(ISNA(VLOOKUP(E2141,$L$2:$M$26,2,FALSE)),E2141,VLOOKUP(E2141,$L$2:$M$26,2,FALSE))</f>
        <v>Credit Card Payments</v>
      </c>
      <c r="E2141" s="65" t="s">
        <v>242</v>
      </c>
      <c r="F2141" s="65" t="s">
        <v>238</v>
      </c>
      <c r="G2141" s="65">
        <v>-177.39</v>
      </c>
      <c r="H2141" s="55">
        <f>YEAR(B2141)*100+MONTH(B2141)</f>
        <v>201609</v>
      </c>
      <c r="I2141" s="55">
        <f>MATCH(D2141,$O:$O,0)</f>
        <v>38</v>
      </c>
      <c r="J2141" s="65" t="s">
        <v>39</v>
      </c>
      <c r="K2141" s="65" t="s">
        <v>675</v>
      </c>
      <c r="L2141" s="65" t="s">
        <v>816</v>
      </c>
    </row>
    <row r="2142" spans="1:12" x14ac:dyDescent="0.25">
      <c r="A2142" s="65" t="s">
        <v>236</v>
      </c>
      <c r="B2142" s="66">
        <v>42639</v>
      </c>
      <c r="C2142" s="65" t="s">
        <v>1556</v>
      </c>
      <c r="D2142" s="55" t="str">
        <f>IF(ISNA(VLOOKUP(E2142,$L$2:$M$26,2,FALSE)),E2142,VLOOKUP(E2142,$L$2:$M$26,2,FALSE))</f>
        <v>Credit Card Payments</v>
      </c>
      <c r="E2142" s="65" t="s">
        <v>242</v>
      </c>
      <c r="F2142" s="65" t="s">
        <v>238</v>
      </c>
      <c r="G2142" s="65">
        <v>-508.31</v>
      </c>
      <c r="H2142" s="55">
        <f>YEAR(B2142)*100+MONTH(B2142)</f>
        <v>201609</v>
      </c>
      <c r="I2142" s="55">
        <f>MATCH(D2142,$O:$O,0)</f>
        <v>38</v>
      </c>
      <c r="J2142" s="65" t="s">
        <v>39</v>
      </c>
      <c r="K2142" s="65" t="s">
        <v>675</v>
      </c>
      <c r="L2142" s="65" t="s">
        <v>1156</v>
      </c>
    </row>
    <row r="2143" spans="1:12" x14ac:dyDescent="0.25">
      <c r="A2143" s="65" t="s">
        <v>236</v>
      </c>
      <c r="B2143" s="66">
        <v>42639</v>
      </c>
      <c r="C2143" s="65" t="s">
        <v>845</v>
      </c>
      <c r="D2143" s="55" t="str">
        <f>IF(ISNA(VLOOKUP(E2143,$L$2:$M$26,2,FALSE)),E2143,VLOOKUP(E2143,$L$2:$M$26,2,FALSE))</f>
        <v>Credit Card Payments</v>
      </c>
      <c r="E2143" s="65" t="s">
        <v>242</v>
      </c>
      <c r="F2143" s="65" t="s">
        <v>238</v>
      </c>
      <c r="G2143" s="65">
        <v>177.39</v>
      </c>
      <c r="H2143" s="55">
        <f>YEAR(B2143)*100+MONTH(B2143)</f>
        <v>201609</v>
      </c>
      <c r="I2143" s="55">
        <f>MATCH(D2143,$O:$O,0)</f>
        <v>38</v>
      </c>
      <c r="J2143" s="65" t="s">
        <v>39</v>
      </c>
      <c r="K2143" s="65" t="s">
        <v>1403</v>
      </c>
      <c r="L2143" s="65" t="s">
        <v>310</v>
      </c>
    </row>
    <row r="2144" spans="1:12" x14ac:dyDescent="0.25">
      <c r="A2144" s="65" t="s">
        <v>236</v>
      </c>
      <c r="B2144" s="66">
        <v>42639</v>
      </c>
      <c r="C2144" s="65" t="s">
        <v>845</v>
      </c>
      <c r="D2144" s="55" t="str">
        <f>IF(ISNA(VLOOKUP(E2144,$L$2:$M$26,2,FALSE)),E2144,VLOOKUP(E2144,$L$2:$M$26,2,FALSE))</f>
        <v>Credit Card Payments</v>
      </c>
      <c r="E2144" s="65" t="s">
        <v>242</v>
      </c>
      <c r="F2144" s="65" t="s">
        <v>238</v>
      </c>
      <c r="G2144" s="65">
        <v>508.31</v>
      </c>
      <c r="H2144" s="55">
        <f>YEAR(B2144)*100+MONTH(B2144)</f>
        <v>201609</v>
      </c>
      <c r="I2144" s="55">
        <f>MATCH(D2144,$O:$O,0)</f>
        <v>38</v>
      </c>
      <c r="J2144" s="65" t="s">
        <v>39</v>
      </c>
      <c r="K2144" s="65" t="s">
        <v>1398</v>
      </c>
      <c r="L2144" s="65" t="s">
        <v>886</v>
      </c>
    </row>
    <row r="2145" spans="1:12" x14ac:dyDescent="0.25">
      <c r="A2145" s="65" t="s">
        <v>236</v>
      </c>
      <c r="B2145" s="66">
        <v>42642</v>
      </c>
      <c r="C2145" s="65" t="s">
        <v>1548</v>
      </c>
      <c r="D2145" s="55" t="str">
        <f>IF(ISNA(VLOOKUP(E2145,$L$2:$M$26,2,FALSE)),E2145,VLOOKUP(E2145,$L$2:$M$26,2,FALSE))</f>
        <v>Credit Card Payments</v>
      </c>
      <c r="E2145" s="65" t="s">
        <v>242</v>
      </c>
      <c r="F2145" s="65" t="s">
        <v>238</v>
      </c>
      <c r="G2145" s="65">
        <v>-426.23</v>
      </c>
      <c r="H2145" s="55">
        <f>YEAR(B2145)*100+MONTH(B2145)</f>
        <v>201609</v>
      </c>
      <c r="I2145" s="55">
        <f>MATCH(D2145,$O:$O,0)</f>
        <v>38</v>
      </c>
      <c r="J2145" s="65" t="s">
        <v>39</v>
      </c>
      <c r="K2145" s="65" t="s">
        <v>675</v>
      </c>
      <c r="L2145" s="65" t="s">
        <v>1335</v>
      </c>
    </row>
    <row r="2146" spans="1:12" x14ac:dyDescent="0.25">
      <c r="A2146" s="65" t="s">
        <v>236</v>
      </c>
      <c r="B2146" s="66">
        <v>42626</v>
      </c>
      <c r="C2146" s="65" t="s">
        <v>1573</v>
      </c>
      <c r="D2146" s="55" t="str">
        <f>IF(ISNA(VLOOKUP(E2146,$L$2:$M$26,2,FALSE)),E2146,VLOOKUP(E2146,$L$2:$M$26,2,FALSE))</f>
        <v>D-Coffee</v>
      </c>
      <c r="E2146" s="55" t="s">
        <v>215</v>
      </c>
      <c r="F2146" s="65" t="s">
        <v>238</v>
      </c>
      <c r="G2146" s="65">
        <v>-3.5</v>
      </c>
      <c r="H2146" s="55">
        <f>YEAR(B2146)*100+MONTH(B2146)</f>
        <v>201609</v>
      </c>
      <c r="I2146" s="55">
        <f>MATCH(D2146,$O:$O,0)</f>
        <v>7</v>
      </c>
      <c r="J2146" s="65" t="s">
        <v>39</v>
      </c>
      <c r="K2146" s="65" t="s">
        <v>1398</v>
      </c>
      <c r="L2146" s="65" t="s">
        <v>252</v>
      </c>
    </row>
    <row r="2147" spans="1:12" x14ac:dyDescent="0.25">
      <c r="A2147" s="65" t="s">
        <v>236</v>
      </c>
      <c r="B2147" s="66">
        <v>42630</v>
      </c>
      <c r="C2147" s="65" t="s">
        <v>650</v>
      </c>
      <c r="D2147" s="55" t="str">
        <f>IF(ISNA(VLOOKUP(E2147,$L$2:$M$26,2,FALSE)),E2147,VLOOKUP(E2147,$L$2:$M$26,2,FALSE))</f>
        <v>D-Coffee</v>
      </c>
      <c r="E2147" s="65" t="s">
        <v>215</v>
      </c>
      <c r="F2147" s="65" t="s">
        <v>238</v>
      </c>
      <c r="G2147" s="65">
        <v>-25</v>
      </c>
      <c r="H2147" s="55">
        <f>YEAR(B2147)*100+MONTH(B2147)</f>
        <v>201609</v>
      </c>
      <c r="I2147" s="55">
        <f>MATCH(D2147,$O:$O,0)</f>
        <v>7</v>
      </c>
      <c r="J2147" s="65" t="s">
        <v>39</v>
      </c>
      <c r="K2147" s="65" t="s">
        <v>1398</v>
      </c>
      <c r="L2147" s="65" t="s">
        <v>1559</v>
      </c>
    </row>
    <row r="2148" spans="1:12" x14ac:dyDescent="0.25">
      <c r="A2148" s="65" t="s">
        <v>236</v>
      </c>
      <c r="B2148" s="66">
        <v>42621</v>
      </c>
      <c r="C2148" s="65" t="s">
        <v>1581</v>
      </c>
      <c r="D2148" s="55" t="str">
        <f>IF(ISNA(VLOOKUP(E2148,$L$2:$M$26,2,FALSE)),E2148,VLOOKUP(E2148,$L$2:$M$26,2,FALSE))</f>
        <v>D-Restaurant</v>
      </c>
      <c r="E2148" s="65" t="s">
        <v>204</v>
      </c>
      <c r="F2148" s="65" t="s">
        <v>238</v>
      </c>
      <c r="G2148" s="65">
        <v>-3.27</v>
      </c>
      <c r="H2148" s="55">
        <f>YEAR(B2148)*100+MONTH(B2148)</f>
        <v>201609</v>
      </c>
      <c r="I2148" s="55">
        <f>MATCH(D2148,$O:$O,0)</f>
        <v>9</v>
      </c>
      <c r="J2148" s="65" t="s">
        <v>39</v>
      </c>
      <c r="K2148" s="65" t="s">
        <v>1398</v>
      </c>
      <c r="L2148" s="65" t="s">
        <v>807</v>
      </c>
    </row>
    <row r="2149" spans="1:12" x14ac:dyDescent="0.25">
      <c r="A2149" s="65" t="s">
        <v>236</v>
      </c>
      <c r="B2149" s="66">
        <v>42623</v>
      </c>
      <c r="C2149" s="65" t="s">
        <v>513</v>
      </c>
      <c r="D2149" s="55" t="str">
        <f>IF(ISNA(VLOOKUP(E2149,$L$2:$M$26,2,FALSE)),E2149,VLOOKUP(E2149,$L$2:$M$26,2,FALSE))</f>
        <v>D-Restaurant</v>
      </c>
      <c r="E2149" s="65" t="s">
        <v>1587</v>
      </c>
      <c r="F2149" s="65" t="s">
        <v>238</v>
      </c>
      <c r="G2149" s="65">
        <v>-6.31</v>
      </c>
      <c r="H2149" s="55">
        <f>YEAR(B2149)*100+MONTH(B2149)</f>
        <v>201609</v>
      </c>
      <c r="I2149" s="55">
        <f>MATCH(D2149,$O:$O,0)</f>
        <v>9</v>
      </c>
      <c r="J2149" s="65" t="s">
        <v>39</v>
      </c>
      <c r="K2149" s="65" t="s">
        <v>1398</v>
      </c>
      <c r="L2149" s="65"/>
    </row>
    <row r="2150" spans="1:12" x14ac:dyDescent="0.25">
      <c r="A2150" s="65" t="s">
        <v>236</v>
      </c>
      <c r="B2150" s="66">
        <v>42623</v>
      </c>
      <c r="C2150" s="65" t="s">
        <v>1580</v>
      </c>
      <c r="D2150" s="55" t="str">
        <f>IF(ISNA(VLOOKUP(E2150,$L$2:$M$26,2,FALSE)),E2150,VLOOKUP(E2150,$L$2:$M$26,2,FALSE))</f>
        <v>D-Restaurant</v>
      </c>
      <c r="E2150" s="65" t="s">
        <v>1587</v>
      </c>
      <c r="F2150" s="65" t="s">
        <v>238</v>
      </c>
      <c r="G2150" s="65">
        <v>-72.680000000000007</v>
      </c>
      <c r="H2150" s="55">
        <f>YEAR(B2150)*100+MONTH(B2150)</f>
        <v>201609</v>
      </c>
      <c r="I2150" s="55">
        <f>MATCH(D2150,$O:$O,0)</f>
        <v>9</v>
      </c>
      <c r="J2150" s="65" t="s">
        <v>39</v>
      </c>
      <c r="K2150" s="65" t="s">
        <v>1398</v>
      </c>
      <c r="L2150" s="65"/>
    </row>
    <row r="2151" spans="1:12" x14ac:dyDescent="0.25">
      <c r="A2151" s="65" t="s">
        <v>236</v>
      </c>
      <c r="B2151" s="66">
        <v>42625</v>
      </c>
      <c r="C2151" s="65" t="s">
        <v>1577</v>
      </c>
      <c r="D2151" s="55" t="str">
        <f>IF(ISNA(VLOOKUP(E2151,$L$2:$M$26,2,FALSE)),E2151,VLOOKUP(E2151,$L$2:$M$26,2,FALSE))</f>
        <v>D-Restaurant</v>
      </c>
      <c r="E2151" s="65" t="s">
        <v>1587</v>
      </c>
      <c r="F2151" s="65" t="s">
        <v>238</v>
      </c>
      <c r="G2151" s="65">
        <v>-35.380000000000003</v>
      </c>
      <c r="H2151" s="55">
        <f>YEAR(B2151)*100+MONTH(B2151)</f>
        <v>201609</v>
      </c>
      <c r="I2151" s="55">
        <f>MATCH(D2151,$O:$O,0)</f>
        <v>9</v>
      </c>
      <c r="J2151" s="65" t="s">
        <v>39</v>
      </c>
      <c r="K2151" s="65" t="s">
        <v>1398</v>
      </c>
      <c r="L2151" s="65"/>
    </row>
    <row r="2152" spans="1:12" x14ac:dyDescent="0.25">
      <c r="A2152" s="65" t="s">
        <v>236</v>
      </c>
      <c r="B2152" s="66">
        <v>42625</v>
      </c>
      <c r="C2152" s="65" t="s">
        <v>1578</v>
      </c>
      <c r="D2152" s="55" t="str">
        <f>IF(ISNA(VLOOKUP(E2152,$L$2:$M$26,2,FALSE)),E2152,VLOOKUP(E2152,$L$2:$M$26,2,FALSE))</f>
        <v>D-Restaurant</v>
      </c>
      <c r="E2152" s="65" t="s">
        <v>204</v>
      </c>
      <c r="F2152" s="65" t="s">
        <v>238</v>
      </c>
      <c r="G2152" s="65">
        <v>-11.99</v>
      </c>
      <c r="H2152" s="55">
        <f>YEAR(B2152)*100+MONTH(B2152)</f>
        <v>201609</v>
      </c>
      <c r="I2152" s="55">
        <f>MATCH(D2152,$O:$O,0)</f>
        <v>9</v>
      </c>
      <c r="J2152" s="65" t="s">
        <v>39</v>
      </c>
      <c r="K2152" s="65" t="s">
        <v>1398</v>
      </c>
      <c r="L2152" s="65" t="s">
        <v>816</v>
      </c>
    </row>
    <row r="2153" spans="1:12" x14ac:dyDescent="0.25">
      <c r="A2153" s="65" t="s">
        <v>236</v>
      </c>
      <c r="B2153" s="66">
        <v>42626</v>
      </c>
      <c r="C2153" s="65" t="s">
        <v>1575</v>
      </c>
      <c r="D2153" s="55" t="str">
        <f>IF(ISNA(VLOOKUP(E2153,$L$2:$M$26,2,FALSE)),E2153,VLOOKUP(E2153,$L$2:$M$26,2,FALSE))</f>
        <v>D-Restaurant</v>
      </c>
      <c r="E2153" s="65" t="s">
        <v>1590</v>
      </c>
      <c r="F2153" s="65" t="s">
        <v>238</v>
      </c>
      <c r="G2153" s="65">
        <v>-24.14</v>
      </c>
      <c r="H2153" s="55">
        <f>YEAR(B2153)*100+MONTH(B2153)</f>
        <v>201609</v>
      </c>
      <c r="I2153" s="55">
        <f>MATCH(D2153,$O:$O,0)</f>
        <v>9</v>
      </c>
      <c r="J2153" s="65" t="s">
        <v>39</v>
      </c>
      <c r="K2153" s="65" t="s">
        <v>1394</v>
      </c>
      <c r="L2153" s="65" t="s">
        <v>310</v>
      </c>
    </row>
    <row r="2154" spans="1:12" x14ac:dyDescent="0.25">
      <c r="A2154" s="65" t="s">
        <v>236</v>
      </c>
      <c r="B2154" s="66">
        <v>42631</v>
      </c>
      <c r="C2154" s="65" t="s">
        <v>1568</v>
      </c>
      <c r="D2154" s="55" t="str">
        <f>IF(ISNA(VLOOKUP(E2154,$L$2:$M$26,2,FALSE)),E2154,VLOOKUP(E2154,$L$2:$M$26,2,FALSE))</f>
        <v>D-Restaurant</v>
      </c>
      <c r="E2154" s="65" t="s">
        <v>204</v>
      </c>
      <c r="F2154" s="65" t="s">
        <v>238</v>
      </c>
      <c r="G2154" s="65">
        <v>-4.8899999999999997</v>
      </c>
      <c r="H2154" s="55">
        <f>YEAR(B2154)*100+MONTH(B2154)</f>
        <v>201609</v>
      </c>
      <c r="I2154" s="55">
        <f>MATCH(D2154,$O:$O,0)</f>
        <v>9</v>
      </c>
      <c r="J2154" s="65" t="s">
        <v>39</v>
      </c>
      <c r="K2154" s="65" t="s">
        <v>1394</v>
      </c>
      <c r="L2154" s="65" t="s">
        <v>239</v>
      </c>
    </row>
    <row r="2155" spans="1:12" x14ac:dyDescent="0.25">
      <c r="A2155" s="65" t="s">
        <v>236</v>
      </c>
      <c r="B2155" s="66">
        <v>42632</v>
      </c>
      <c r="C2155" s="65" t="s">
        <v>1399</v>
      </c>
      <c r="D2155" s="55" t="str">
        <f>IF(ISNA(VLOOKUP(E2155,$L$2:$M$26,2,FALSE)),E2155,VLOOKUP(E2155,$L$2:$M$26,2,FALSE))</f>
        <v>D-Restaurant</v>
      </c>
      <c r="E2155" s="65" t="s">
        <v>204</v>
      </c>
      <c r="F2155" s="65" t="s">
        <v>238</v>
      </c>
      <c r="G2155" s="65">
        <v>-10.68</v>
      </c>
      <c r="H2155" s="55">
        <f>YEAR(B2155)*100+MONTH(B2155)</f>
        <v>201609</v>
      </c>
      <c r="I2155" s="55">
        <f>MATCH(D2155,$O:$O,0)</f>
        <v>9</v>
      </c>
      <c r="J2155" s="65" t="s">
        <v>39</v>
      </c>
      <c r="K2155" s="65" t="s">
        <v>1394</v>
      </c>
      <c r="L2155" s="65"/>
    </row>
    <row r="2156" spans="1:12" x14ac:dyDescent="0.25">
      <c r="A2156" s="65" t="s">
        <v>236</v>
      </c>
      <c r="B2156" s="66">
        <v>42633</v>
      </c>
      <c r="C2156" s="65" t="s">
        <v>1083</v>
      </c>
      <c r="D2156" s="55" t="str">
        <f>IF(ISNA(VLOOKUP(E2156,$L$2:$M$26,2,FALSE)),E2156,VLOOKUP(E2156,$L$2:$M$26,2,FALSE))</f>
        <v>D-Restaurant</v>
      </c>
      <c r="E2156" s="65" t="s">
        <v>204</v>
      </c>
      <c r="F2156" s="65" t="s">
        <v>238</v>
      </c>
      <c r="G2156" s="65">
        <v>-2</v>
      </c>
      <c r="H2156" s="55">
        <f>YEAR(B2156)*100+MONTH(B2156)</f>
        <v>201609</v>
      </c>
      <c r="I2156" s="55">
        <f>MATCH(D2156,$O:$O,0)</f>
        <v>9</v>
      </c>
      <c r="J2156" s="65" t="s">
        <v>39</v>
      </c>
      <c r="K2156" s="65" t="s">
        <v>1398</v>
      </c>
      <c r="L2156" s="65"/>
    </row>
    <row r="2157" spans="1:12" x14ac:dyDescent="0.25">
      <c r="A2157" s="65" t="s">
        <v>236</v>
      </c>
      <c r="B2157" s="66">
        <v>42634</v>
      </c>
      <c r="C2157" s="65" t="s">
        <v>1563</v>
      </c>
      <c r="D2157" s="55" t="str">
        <f>IF(ISNA(VLOOKUP(E2157,$L$2:$M$26,2,FALSE)),E2157,VLOOKUP(E2157,$L$2:$M$26,2,FALSE))</f>
        <v>D-Restaurant</v>
      </c>
      <c r="E2157" s="65" t="s">
        <v>204</v>
      </c>
      <c r="F2157" s="65" t="s">
        <v>238</v>
      </c>
      <c r="G2157" s="65">
        <v>-34</v>
      </c>
      <c r="H2157" s="55">
        <f>YEAR(B2157)*100+MONTH(B2157)</f>
        <v>201609</v>
      </c>
      <c r="I2157" s="55">
        <f>MATCH(D2157,$O:$O,0)</f>
        <v>9</v>
      </c>
      <c r="J2157" s="65" t="s">
        <v>39</v>
      </c>
      <c r="K2157" s="65" t="s">
        <v>1394</v>
      </c>
      <c r="L2157" s="65" t="s">
        <v>1579</v>
      </c>
    </row>
    <row r="2158" spans="1:12" x14ac:dyDescent="0.25">
      <c r="A2158" s="65" t="s">
        <v>236</v>
      </c>
      <c r="B2158" s="66">
        <v>42639</v>
      </c>
      <c r="C2158" s="65" t="s">
        <v>1406</v>
      </c>
      <c r="D2158" s="55" t="str">
        <f>IF(ISNA(VLOOKUP(E2158,$L$2:$M$26,2,FALSE)),E2158,VLOOKUP(E2158,$L$2:$M$26,2,FALSE))</f>
        <v>D-Restaurant</v>
      </c>
      <c r="E2158" s="65" t="s">
        <v>1587</v>
      </c>
      <c r="F2158" s="65" t="s">
        <v>238</v>
      </c>
      <c r="G2158" s="65">
        <v>-8.8000000000000007</v>
      </c>
      <c r="H2158" s="55">
        <f>YEAR(B2158)*100+MONTH(B2158)</f>
        <v>201609</v>
      </c>
      <c r="I2158" s="55">
        <f>MATCH(D2158,$O:$O,0)</f>
        <v>9</v>
      </c>
      <c r="J2158" s="65" t="s">
        <v>39</v>
      </c>
      <c r="K2158" s="65" t="s">
        <v>1394</v>
      </c>
      <c r="L2158" s="65" t="s">
        <v>229</v>
      </c>
    </row>
    <row r="2159" spans="1:12" x14ac:dyDescent="0.25">
      <c r="A2159" s="65" t="s">
        <v>236</v>
      </c>
      <c r="B2159" s="66">
        <v>42633</v>
      </c>
      <c r="C2159" s="65" t="s">
        <v>1437</v>
      </c>
      <c r="D2159" s="55" t="str">
        <f>IF(ISNA(VLOOKUP(E2159,$L$2:$M$26,2,FALSE)),E2159,VLOOKUP(E2159,$L$2:$M$26,2,FALSE))</f>
        <v>D-Travel</v>
      </c>
      <c r="E2159" s="65" t="s">
        <v>161</v>
      </c>
      <c r="F2159" s="65" t="s">
        <v>238</v>
      </c>
      <c r="G2159" s="65">
        <v>-0.56000000000000005</v>
      </c>
      <c r="H2159" s="55">
        <f>YEAR(B2159)*100+MONTH(B2159)</f>
        <v>201609</v>
      </c>
      <c r="I2159" s="55">
        <f>MATCH(D2159,$O:$O,0)</f>
        <v>10</v>
      </c>
      <c r="J2159" s="65" t="s">
        <v>39</v>
      </c>
      <c r="K2159" s="65" t="s">
        <v>1394</v>
      </c>
      <c r="L2159" s="65" t="s">
        <v>252</v>
      </c>
    </row>
    <row r="2160" spans="1:12" x14ac:dyDescent="0.25">
      <c r="A2160" s="65" t="s">
        <v>236</v>
      </c>
      <c r="B2160" s="66">
        <v>42633</v>
      </c>
      <c r="C2160" s="65" t="s">
        <v>1437</v>
      </c>
      <c r="D2160" s="55" t="str">
        <f>IF(ISNA(VLOOKUP(E2160,$L$2:$M$26,2,FALSE)),E2160,VLOOKUP(E2160,$L$2:$M$26,2,FALSE))</f>
        <v>D-Travel</v>
      </c>
      <c r="E2160" s="65" t="s">
        <v>161</v>
      </c>
      <c r="F2160" s="65" t="s">
        <v>238</v>
      </c>
      <c r="G2160" s="65">
        <v>-2.25</v>
      </c>
      <c r="H2160" s="55">
        <f>YEAR(B2160)*100+MONTH(B2160)</f>
        <v>201609</v>
      </c>
      <c r="I2160" s="55">
        <f>MATCH(D2160,$O:$O,0)</f>
        <v>10</v>
      </c>
      <c r="J2160" s="65" t="s">
        <v>39</v>
      </c>
      <c r="K2160" s="65" t="s">
        <v>1394</v>
      </c>
      <c r="L2160" s="65" t="s">
        <v>1574</v>
      </c>
    </row>
    <row r="2161" spans="1:12" x14ac:dyDescent="0.25">
      <c r="A2161" s="65" t="s">
        <v>236</v>
      </c>
      <c r="B2161" s="66">
        <v>42636</v>
      </c>
      <c r="C2161" s="65" t="s">
        <v>585</v>
      </c>
      <c r="D2161" s="55" t="str">
        <f>IF(ISNA(VLOOKUP(E2161,$L$2:$M$26,2,FALSE)),E2161,VLOOKUP(E2161,$L$2:$M$26,2,FALSE))</f>
        <v>D-Travel</v>
      </c>
      <c r="E2161" s="65" t="s">
        <v>161</v>
      </c>
      <c r="F2161" s="65" t="s">
        <v>238</v>
      </c>
      <c r="G2161" s="65">
        <v>-2</v>
      </c>
      <c r="H2161" s="55">
        <f>YEAR(B2161)*100+MONTH(B2161)</f>
        <v>201609</v>
      </c>
      <c r="I2161" s="55">
        <f>MATCH(D2161,$O:$O,0)</f>
        <v>10</v>
      </c>
      <c r="J2161" s="65" t="s">
        <v>39</v>
      </c>
      <c r="K2161" s="65" t="s">
        <v>1398</v>
      </c>
      <c r="L2161" s="65"/>
    </row>
    <row r="2162" spans="1:12" x14ac:dyDescent="0.25">
      <c r="A2162" s="65" t="s">
        <v>236</v>
      </c>
      <c r="B2162" s="66">
        <v>42636</v>
      </c>
      <c r="C2162" s="65" t="s">
        <v>585</v>
      </c>
      <c r="D2162" s="55" t="str">
        <f>IF(ISNA(VLOOKUP(E2162,$L$2:$M$26,2,FALSE)),E2162,VLOOKUP(E2162,$L$2:$M$26,2,FALSE))</f>
        <v>D-Travel</v>
      </c>
      <c r="E2162" s="65" t="s">
        <v>161</v>
      </c>
      <c r="F2162" s="65" t="s">
        <v>238</v>
      </c>
      <c r="G2162" s="65">
        <v>-0.25</v>
      </c>
      <c r="H2162" s="55">
        <f>YEAR(B2162)*100+MONTH(B2162)</f>
        <v>201609</v>
      </c>
      <c r="I2162" s="55">
        <f>MATCH(D2162,$O:$O,0)</f>
        <v>10</v>
      </c>
      <c r="J2162" s="65" t="s">
        <v>39</v>
      </c>
      <c r="K2162" s="65" t="s">
        <v>1398</v>
      </c>
      <c r="L2162" s="65" t="s">
        <v>200</v>
      </c>
    </row>
    <row r="2163" spans="1:12" x14ac:dyDescent="0.25">
      <c r="A2163" s="65" t="s">
        <v>236</v>
      </c>
      <c r="B2163" s="66">
        <v>42619</v>
      </c>
      <c r="C2163" s="65" t="s">
        <v>1348</v>
      </c>
      <c r="D2163" s="55" t="str">
        <f>IF(ISNA(VLOOKUP(E2163,$L$2:$M$26,2,FALSE)),E2163,VLOOKUP(E2163,$L$2:$M$26,2,FALSE))</f>
        <v>Gas</v>
      </c>
      <c r="E2163" s="65" t="s">
        <v>311</v>
      </c>
      <c r="F2163" s="65" t="s">
        <v>238</v>
      </c>
      <c r="G2163" s="65">
        <v>-33</v>
      </c>
      <c r="H2163" s="55">
        <f>YEAR(B2163)*100+MONTH(B2163)</f>
        <v>201609</v>
      </c>
      <c r="I2163" s="55">
        <f>MATCH(D2163,$O:$O,0)</f>
        <v>30</v>
      </c>
      <c r="J2163" s="65" t="s">
        <v>39</v>
      </c>
      <c r="K2163" s="65" t="s">
        <v>1394</v>
      </c>
      <c r="L2163" s="65" t="s">
        <v>200</v>
      </c>
    </row>
    <row r="2164" spans="1:12" x14ac:dyDescent="0.25">
      <c r="A2164" s="65" t="s">
        <v>236</v>
      </c>
      <c r="B2164" s="66">
        <v>42624</v>
      </c>
      <c r="C2164" s="65" t="s">
        <v>1561</v>
      </c>
      <c r="D2164" s="55" t="str">
        <f>IF(ISNA(VLOOKUP(E2164,$L$2:$M$26,2,FALSE)),E2164,VLOOKUP(E2164,$L$2:$M$26,2,FALSE))</f>
        <v>Gas</v>
      </c>
      <c r="E2164" s="65" t="s">
        <v>311</v>
      </c>
      <c r="F2164" s="65" t="s">
        <v>238</v>
      </c>
      <c r="G2164" s="65">
        <v>-23.65</v>
      </c>
      <c r="H2164" s="55">
        <f>YEAR(B2164)*100+MONTH(B2164)</f>
        <v>201609</v>
      </c>
      <c r="I2164" s="55">
        <f>MATCH(D2164,$O:$O,0)</f>
        <v>30</v>
      </c>
      <c r="J2164" s="65" t="s">
        <v>39</v>
      </c>
      <c r="K2164" s="65" t="s">
        <v>1394</v>
      </c>
      <c r="L2164" s="65" t="s">
        <v>200</v>
      </c>
    </row>
    <row r="2165" spans="1:12" x14ac:dyDescent="0.25">
      <c r="A2165" s="65" t="s">
        <v>236</v>
      </c>
      <c r="B2165" s="66">
        <v>42630</v>
      </c>
      <c r="C2165" s="65" t="s">
        <v>1103</v>
      </c>
      <c r="D2165" s="55" t="str">
        <f>IF(ISNA(VLOOKUP(E2165,$L$2:$M$26,2,FALSE)),E2165,VLOOKUP(E2165,$L$2:$M$26,2,FALSE))</f>
        <v>Gas</v>
      </c>
      <c r="E2165" s="65" t="s">
        <v>311</v>
      </c>
      <c r="F2165" s="65" t="s">
        <v>238</v>
      </c>
      <c r="G2165" s="65">
        <v>-16.989999999999998</v>
      </c>
      <c r="H2165" s="55">
        <f>YEAR(B2165)*100+MONTH(B2165)</f>
        <v>201609</v>
      </c>
      <c r="I2165" s="55">
        <f>MATCH(D2165,$O:$O,0)</f>
        <v>30</v>
      </c>
      <c r="J2165" s="65" t="s">
        <v>39</v>
      </c>
      <c r="K2165" s="65" t="s">
        <v>1398</v>
      </c>
      <c r="L2165" s="65" t="s">
        <v>200</v>
      </c>
    </row>
    <row r="2166" spans="1:12" x14ac:dyDescent="0.25">
      <c r="A2166" s="65" t="s">
        <v>236</v>
      </c>
      <c r="B2166" s="66">
        <v>42632</v>
      </c>
      <c r="C2166" s="65" t="s">
        <v>1567</v>
      </c>
      <c r="D2166" s="55" t="str">
        <f>IF(ISNA(VLOOKUP(E2166,$L$2:$M$26,2,FALSE)),E2166,VLOOKUP(E2166,$L$2:$M$26,2,FALSE))</f>
        <v>Gas</v>
      </c>
      <c r="E2166" s="65" t="s">
        <v>311</v>
      </c>
      <c r="F2166" s="65" t="s">
        <v>238</v>
      </c>
      <c r="G2166" s="65">
        <v>-33.83</v>
      </c>
      <c r="H2166" s="55">
        <f>YEAR(B2166)*100+MONTH(B2166)</f>
        <v>201609</v>
      </c>
      <c r="I2166" s="55">
        <f>MATCH(D2166,$O:$O,0)</f>
        <v>30</v>
      </c>
      <c r="J2166" s="65" t="s">
        <v>39</v>
      </c>
      <c r="K2166" s="65" t="s">
        <v>1394</v>
      </c>
      <c r="L2166" s="65"/>
    </row>
    <row r="2167" spans="1:12" x14ac:dyDescent="0.25">
      <c r="A2167" s="65" t="s">
        <v>236</v>
      </c>
      <c r="B2167" s="66">
        <v>42635</v>
      </c>
      <c r="C2167" s="65" t="s">
        <v>1561</v>
      </c>
      <c r="D2167" s="55" t="str">
        <f>IF(ISNA(VLOOKUP(E2167,$L$2:$M$26,2,FALSE)),E2167,VLOOKUP(E2167,$L$2:$M$26,2,FALSE))</f>
        <v>Gas</v>
      </c>
      <c r="E2167" s="65" t="s">
        <v>311</v>
      </c>
      <c r="F2167" s="65" t="s">
        <v>238</v>
      </c>
      <c r="G2167" s="65">
        <v>-28.58</v>
      </c>
      <c r="H2167" s="55">
        <f>YEAR(B2167)*100+MONTH(B2167)</f>
        <v>201609</v>
      </c>
      <c r="I2167" s="55">
        <f>MATCH(D2167,$O:$O,0)</f>
        <v>30</v>
      </c>
      <c r="J2167" s="65" t="s">
        <v>39</v>
      </c>
      <c r="K2167" s="65" t="s">
        <v>1394</v>
      </c>
      <c r="L2167" s="65"/>
    </row>
    <row r="2168" spans="1:12" x14ac:dyDescent="0.25">
      <c r="A2168" s="65" t="s">
        <v>236</v>
      </c>
      <c r="B2168" s="66">
        <v>42639</v>
      </c>
      <c r="C2168" s="65" t="s">
        <v>1348</v>
      </c>
      <c r="D2168" s="55" t="str">
        <f>IF(ISNA(VLOOKUP(E2168,$L$2:$M$26,2,FALSE)),E2168,VLOOKUP(E2168,$L$2:$M$26,2,FALSE))</f>
        <v>Gas</v>
      </c>
      <c r="E2168" s="65" t="s">
        <v>311</v>
      </c>
      <c r="F2168" s="65" t="s">
        <v>238</v>
      </c>
      <c r="G2168" s="65">
        <v>-31.99</v>
      </c>
      <c r="H2168" s="55">
        <f>YEAR(B2168)*100+MONTH(B2168)</f>
        <v>201609</v>
      </c>
      <c r="I2168" s="55">
        <f>MATCH(D2168,$O:$O,0)</f>
        <v>30</v>
      </c>
      <c r="J2168" s="65" t="s">
        <v>39</v>
      </c>
      <c r="K2168" s="65" t="s">
        <v>1394</v>
      </c>
      <c r="L2168" s="65" t="s">
        <v>194</v>
      </c>
    </row>
    <row r="2169" spans="1:12" x14ac:dyDescent="0.25">
      <c r="A2169" s="65" t="s">
        <v>236</v>
      </c>
      <c r="B2169" s="66">
        <v>42629</v>
      </c>
      <c r="C2169" s="65" t="s">
        <v>1571</v>
      </c>
      <c r="D2169" s="55" t="str">
        <f>IF(ISNA(VLOOKUP(E2169,$L$2:$M$26,2,FALSE)),E2169,VLOOKUP(E2169,$L$2:$M$26,2,FALSE))</f>
        <v>Gifts</v>
      </c>
      <c r="E2169" s="65" t="s">
        <v>1591</v>
      </c>
      <c r="F2169" s="65" t="s">
        <v>238</v>
      </c>
      <c r="G2169" s="65">
        <v>-470</v>
      </c>
      <c r="H2169" s="55">
        <f>YEAR(B2169)*100+MONTH(B2169)</f>
        <v>201609</v>
      </c>
      <c r="I2169" s="55">
        <f>MATCH(D2169,$O:$O,0)</f>
        <v>11</v>
      </c>
      <c r="J2169" s="65" t="s">
        <v>39</v>
      </c>
      <c r="K2169" s="65" t="s">
        <v>1398</v>
      </c>
      <c r="L2169" s="65" t="s">
        <v>193</v>
      </c>
    </row>
    <row r="2170" spans="1:12" x14ac:dyDescent="0.25">
      <c r="A2170" s="65" t="s">
        <v>236</v>
      </c>
      <c r="B2170" s="66">
        <v>42614</v>
      </c>
      <c r="C2170" s="65" t="s">
        <v>1585</v>
      </c>
      <c r="D2170" s="55" t="str">
        <f>IF(ISNA(VLOOKUP(E2170,$L$2:$M$26,2,FALSE)),E2170,VLOOKUP(E2170,$L$2:$M$26,2,FALSE))</f>
        <v>Grocery</v>
      </c>
      <c r="E2170" s="65" t="s">
        <v>385</v>
      </c>
      <c r="F2170" s="65" t="s">
        <v>238</v>
      </c>
      <c r="G2170" s="65">
        <v>-165</v>
      </c>
      <c r="H2170" s="55">
        <f>YEAR(B2170)*100+MONTH(B2170)</f>
        <v>201609</v>
      </c>
      <c r="I2170" s="55">
        <f>MATCH(D2170,$O:$O,0)</f>
        <v>12</v>
      </c>
      <c r="J2170" s="65" t="s">
        <v>39</v>
      </c>
      <c r="K2170" s="65" t="s">
        <v>1394</v>
      </c>
      <c r="L2170" s="65" t="s">
        <v>193</v>
      </c>
    </row>
    <row r="2171" spans="1:12" x14ac:dyDescent="0.25">
      <c r="A2171" s="65" t="s">
        <v>236</v>
      </c>
      <c r="B2171" s="66">
        <v>42618</v>
      </c>
      <c r="C2171" s="65" t="s">
        <v>1351</v>
      </c>
      <c r="D2171" s="55" t="str">
        <f>IF(ISNA(VLOOKUP(E2171,$L$2:$M$26,2,FALSE)),E2171,VLOOKUP(E2171,$L$2:$M$26,2,FALSE))</f>
        <v>Grocery</v>
      </c>
      <c r="E2171" s="65" t="s">
        <v>385</v>
      </c>
      <c r="F2171" s="65" t="s">
        <v>238</v>
      </c>
      <c r="G2171" s="65">
        <v>-77.53</v>
      </c>
      <c r="H2171" s="55">
        <f>YEAR(B2171)*100+MONTH(B2171)</f>
        <v>201609</v>
      </c>
      <c r="I2171" s="55">
        <f>MATCH(D2171,$O:$O,0)</f>
        <v>12</v>
      </c>
      <c r="J2171" s="65" t="s">
        <v>39</v>
      </c>
      <c r="K2171" s="65" t="s">
        <v>1398</v>
      </c>
      <c r="L2171" s="65" t="s">
        <v>816</v>
      </c>
    </row>
    <row r="2172" spans="1:12" x14ac:dyDescent="0.25">
      <c r="A2172" s="65" t="s">
        <v>236</v>
      </c>
      <c r="B2172" s="66">
        <v>42618</v>
      </c>
      <c r="C2172" s="65" t="s">
        <v>775</v>
      </c>
      <c r="D2172" s="55" t="str">
        <f>IF(ISNA(VLOOKUP(E2172,$L$2:$M$26,2,FALSE)),E2172,VLOOKUP(E2172,$L$2:$M$26,2,FALSE))</f>
        <v>Grocery</v>
      </c>
      <c r="E2172" s="65" t="s">
        <v>192</v>
      </c>
      <c r="F2172" s="65" t="s">
        <v>238</v>
      </c>
      <c r="G2172" s="65">
        <v>-17.79</v>
      </c>
      <c r="H2172" s="55">
        <f>YEAR(B2172)*100+MONTH(B2172)</f>
        <v>201609</v>
      </c>
      <c r="I2172" s="55">
        <f>MATCH(D2172,$O:$O,0)</f>
        <v>12</v>
      </c>
      <c r="J2172" s="65" t="s">
        <v>39</v>
      </c>
      <c r="K2172" s="65" t="s">
        <v>1398</v>
      </c>
      <c r="L2172" s="65"/>
    </row>
    <row r="2173" spans="1:12" x14ac:dyDescent="0.25">
      <c r="A2173" s="65" t="s">
        <v>236</v>
      </c>
      <c r="B2173" s="66">
        <v>42619</v>
      </c>
      <c r="C2173" s="65" t="s">
        <v>1222</v>
      </c>
      <c r="D2173" s="55" t="str">
        <f>IF(ISNA(VLOOKUP(E2173,$L$2:$M$26,2,FALSE)),E2173,VLOOKUP(E2173,$L$2:$M$26,2,FALSE))</f>
        <v>Grocery</v>
      </c>
      <c r="E2173" s="65" t="s">
        <v>192</v>
      </c>
      <c r="F2173" s="65" t="s">
        <v>238</v>
      </c>
      <c r="G2173" s="65">
        <v>-5.16</v>
      </c>
      <c r="H2173" s="55">
        <f>YEAR(B2173)*100+MONTH(B2173)</f>
        <v>201609</v>
      </c>
      <c r="I2173" s="55">
        <f>MATCH(D2173,$O:$O,0)</f>
        <v>12</v>
      </c>
      <c r="J2173" s="65" t="s">
        <v>39</v>
      </c>
      <c r="K2173" s="65" t="s">
        <v>1398</v>
      </c>
      <c r="L2173" s="65"/>
    </row>
    <row r="2174" spans="1:12" x14ac:dyDescent="0.25">
      <c r="A2174" s="65" t="s">
        <v>236</v>
      </c>
      <c r="B2174" s="66">
        <v>42619</v>
      </c>
      <c r="C2174" s="65" t="s">
        <v>1334</v>
      </c>
      <c r="D2174" s="55" t="str">
        <f>IF(ISNA(VLOOKUP(E2174,$L$2:$M$26,2,FALSE)),E2174,VLOOKUP(E2174,$L$2:$M$26,2,FALSE))</f>
        <v>Grocery</v>
      </c>
      <c r="E2174" s="65" t="s">
        <v>192</v>
      </c>
      <c r="F2174" s="65" t="s">
        <v>238</v>
      </c>
      <c r="G2174" s="65">
        <v>-4.99</v>
      </c>
      <c r="H2174" s="55">
        <f>YEAR(B2174)*100+MONTH(B2174)</f>
        <v>201609</v>
      </c>
      <c r="I2174" s="55">
        <f>MATCH(D2174,$O:$O,0)</f>
        <v>12</v>
      </c>
      <c r="J2174" s="65" t="s">
        <v>39</v>
      </c>
      <c r="K2174" s="65" t="s">
        <v>1398</v>
      </c>
      <c r="L2174" s="65" t="s">
        <v>1421</v>
      </c>
    </row>
    <row r="2175" spans="1:12" x14ac:dyDescent="0.25">
      <c r="A2175" s="65" t="s">
        <v>236</v>
      </c>
      <c r="B2175" s="66">
        <v>42620</v>
      </c>
      <c r="C2175" s="65" t="s">
        <v>1582</v>
      </c>
      <c r="D2175" s="55" t="str">
        <f>IF(ISNA(VLOOKUP(E2175,$L$2:$M$26,2,FALSE)),E2175,VLOOKUP(E2175,$L$2:$M$26,2,FALSE))</f>
        <v>Grocery</v>
      </c>
      <c r="E2175" s="65" t="s">
        <v>192</v>
      </c>
      <c r="F2175" s="65" t="s">
        <v>238</v>
      </c>
      <c r="G2175" s="65">
        <v>-7.49</v>
      </c>
      <c r="H2175" s="55">
        <f>YEAR(B2175)*100+MONTH(B2175)</f>
        <v>201609</v>
      </c>
      <c r="I2175" s="55">
        <f>MATCH(D2175,$O:$O,0)</f>
        <v>12</v>
      </c>
      <c r="J2175" s="65" t="s">
        <v>39</v>
      </c>
      <c r="K2175" s="65" t="s">
        <v>1398</v>
      </c>
      <c r="L2175" s="65" t="s">
        <v>939</v>
      </c>
    </row>
    <row r="2176" spans="1:12" x14ac:dyDescent="0.25">
      <c r="A2176" s="65" t="s">
        <v>236</v>
      </c>
      <c r="B2176" s="66">
        <v>42621</v>
      </c>
      <c r="C2176" s="65" t="s">
        <v>842</v>
      </c>
      <c r="D2176" s="55" t="str">
        <f>IF(ISNA(VLOOKUP(E2176,$L$2:$M$26,2,FALSE)),E2176,VLOOKUP(E2176,$L$2:$M$26,2,FALSE))</f>
        <v>Grocery</v>
      </c>
      <c r="E2176" s="65" t="s">
        <v>1586</v>
      </c>
      <c r="F2176" s="65" t="s">
        <v>238</v>
      </c>
      <c r="G2176" s="65">
        <v>-4.57</v>
      </c>
      <c r="H2176" s="55">
        <f>YEAR(B2176)*100+MONTH(B2176)</f>
        <v>201609</v>
      </c>
      <c r="I2176" s="55">
        <f>MATCH(D2176,$O:$O,0)</f>
        <v>12</v>
      </c>
      <c r="J2176" s="65" t="s">
        <v>39</v>
      </c>
      <c r="K2176" s="65" t="s">
        <v>1398</v>
      </c>
      <c r="L2176" s="65" t="s">
        <v>297</v>
      </c>
    </row>
    <row r="2177" spans="1:12" x14ac:dyDescent="0.25">
      <c r="A2177" s="65" t="s">
        <v>236</v>
      </c>
      <c r="B2177" s="66">
        <v>42624</v>
      </c>
      <c r="C2177" s="65" t="s">
        <v>1405</v>
      </c>
      <c r="D2177" s="55" t="str">
        <f>IF(ISNA(VLOOKUP(E2177,$L$2:$M$26,2,FALSE)),E2177,VLOOKUP(E2177,$L$2:$M$26,2,FALSE))</f>
        <v>Grocery</v>
      </c>
      <c r="E2177" s="65" t="s">
        <v>192</v>
      </c>
      <c r="F2177" s="65" t="s">
        <v>238</v>
      </c>
      <c r="G2177" s="65">
        <v>-46.11</v>
      </c>
      <c r="H2177" s="55">
        <f>YEAR(B2177)*100+MONTH(B2177)</f>
        <v>201609</v>
      </c>
      <c r="I2177" s="55">
        <f>MATCH(D2177,$O:$O,0)</f>
        <v>12</v>
      </c>
      <c r="J2177" s="65" t="s">
        <v>39</v>
      </c>
      <c r="K2177" s="65" t="s">
        <v>1394</v>
      </c>
      <c r="L2177" s="65" t="s">
        <v>193</v>
      </c>
    </row>
    <row r="2178" spans="1:12" x14ac:dyDescent="0.25">
      <c r="A2178" s="65" t="s">
        <v>236</v>
      </c>
      <c r="B2178" s="66">
        <v>42626</v>
      </c>
      <c r="C2178" s="65" t="s">
        <v>565</v>
      </c>
      <c r="D2178" s="55" t="str">
        <f>IF(ISNA(VLOOKUP(E2178,$L$2:$M$26,2,FALSE)),E2178,VLOOKUP(E2178,$L$2:$M$26,2,FALSE))</f>
        <v>Grocery</v>
      </c>
      <c r="E2178" s="65" t="s">
        <v>192</v>
      </c>
      <c r="F2178" s="65" t="s">
        <v>238</v>
      </c>
      <c r="G2178" s="65">
        <v>-4.99</v>
      </c>
      <c r="H2178" s="55">
        <f>YEAR(B2178)*100+MONTH(B2178)</f>
        <v>201609</v>
      </c>
      <c r="I2178" s="55">
        <f>MATCH(D2178,$O:$O,0)</f>
        <v>12</v>
      </c>
      <c r="J2178" s="65" t="s">
        <v>39</v>
      </c>
      <c r="K2178" s="65" t="s">
        <v>1398</v>
      </c>
      <c r="L2178" s="65" t="s">
        <v>193</v>
      </c>
    </row>
    <row r="2179" spans="1:12" x14ac:dyDescent="0.25">
      <c r="A2179" s="65" t="s">
        <v>236</v>
      </c>
      <c r="B2179" s="66">
        <v>42627</v>
      </c>
      <c r="C2179" s="65" t="s">
        <v>915</v>
      </c>
      <c r="D2179" s="55" t="str">
        <f>IF(ISNA(VLOOKUP(E2179,$L$2:$M$26,2,FALSE)),E2179,VLOOKUP(E2179,$L$2:$M$26,2,FALSE))</f>
        <v>Grocery</v>
      </c>
      <c r="E2179" s="65" t="s">
        <v>385</v>
      </c>
      <c r="F2179" s="65" t="s">
        <v>238</v>
      </c>
      <c r="G2179" s="65">
        <v>-6.46</v>
      </c>
      <c r="H2179" s="55">
        <f>YEAR(B2179)*100+MONTH(B2179)</f>
        <v>201609</v>
      </c>
      <c r="I2179" s="55">
        <f>MATCH(D2179,$O:$O,0)</f>
        <v>12</v>
      </c>
      <c r="J2179" s="65" t="s">
        <v>39</v>
      </c>
      <c r="K2179" s="65" t="s">
        <v>1398</v>
      </c>
      <c r="L2179" s="65" t="s">
        <v>727</v>
      </c>
    </row>
    <row r="2180" spans="1:12" x14ac:dyDescent="0.25">
      <c r="A2180" s="65" t="s">
        <v>236</v>
      </c>
      <c r="B2180" s="66">
        <v>42627</v>
      </c>
      <c r="C2180" s="65" t="s">
        <v>1350</v>
      </c>
      <c r="D2180" s="55" t="str">
        <f>IF(ISNA(VLOOKUP(E2180,$L$2:$M$26,2,FALSE)),E2180,VLOOKUP(E2180,$L$2:$M$26,2,FALSE))</f>
        <v>Grocery</v>
      </c>
      <c r="E2180" s="65" t="s">
        <v>385</v>
      </c>
      <c r="F2180" s="65" t="s">
        <v>238</v>
      </c>
      <c r="G2180" s="65">
        <v>-21.78</v>
      </c>
      <c r="H2180" s="55">
        <f>YEAR(B2180)*100+MONTH(B2180)</f>
        <v>201609</v>
      </c>
      <c r="I2180" s="55">
        <f>MATCH(D2180,$O:$O,0)</f>
        <v>12</v>
      </c>
      <c r="J2180" s="65" t="s">
        <v>39</v>
      </c>
      <c r="K2180" s="65" t="s">
        <v>1394</v>
      </c>
      <c r="L2180" s="65"/>
    </row>
    <row r="2181" spans="1:12" x14ac:dyDescent="0.25">
      <c r="A2181" s="65" t="s">
        <v>236</v>
      </c>
      <c r="B2181" s="66">
        <v>42627</v>
      </c>
      <c r="C2181" s="65" t="s">
        <v>1350</v>
      </c>
      <c r="D2181" s="55" t="str">
        <f>IF(ISNA(VLOOKUP(E2181,$L$2:$M$26,2,FALSE)),E2181,VLOOKUP(E2181,$L$2:$M$26,2,FALSE))</f>
        <v>Grocery</v>
      </c>
      <c r="E2181" s="65" t="s">
        <v>385</v>
      </c>
      <c r="F2181" s="65" t="s">
        <v>238</v>
      </c>
      <c r="G2181" s="65">
        <v>15.49</v>
      </c>
      <c r="H2181" s="55">
        <f>YEAR(B2181)*100+MONTH(B2181)</f>
        <v>201609</v>
      </c>
      <c r="I2181" s="55">
        <f>MATCH(D2181,$O:$O,0)</f>
        <v>12</v>
      </c>
      <c r="J2181" s="65" t="s">
        <v>39</v>
      </c>
      <c r="K2181" s="65" t="s">
        <v>1394</v>
      </c>
      <c r="L2181" s="65" t="s">
        <v>1183</v>
      </c>
    </row>
    <row r="2182" spans="1:12" x14ac:dyDescent="0.25">
      <c r="A2182" s="65" t="s">
        <v>236</v>
      </c>
      <c r="B2182" s="66">
        <v>42627</v>
      </c>
      <c r="C2182" s="65" t="s">
        <v>1405</v>
      </c>
      <c r="D2182" s="55" t="str">
        <f>IF(ISNA(VLOOKUP(E2182,$L$2:$M$26,2,FALSE)),E2182,VLOOKUP(E2182,$L$2:$M$26,2,FALSE))</f>
        <v>Grocery</v>
      </c>
      <c r="E2182" s="65" t="s">
        <v>192</v>
      </c>
      <c r="F2182" s="65" t="s">
        <v>238</v>
      </c>
      <c r="G2182" s="65">
        <v>-8.81</v>
      </c>
      <c r="H2182" s="55">
        <f>YEAR(B2182)*100+MONTH(B2182)</f>
        <v>201609</v>
      </c>
      <c r="I2182" s="55">
        <f>MATCH(D2182,$O:$O,0)</f>
        <v>12</v>
      </c>
      <c r="J2182" s="65" t="s">
        <v>39</v>
      </c>
      <c r="K2182" s="65" t="s">
        <v>1394</v>
      </c>
      <c r="L2182" s="65" t="s">
        <v>969</v>
      </c>
    </row>
    <row r="2183" spans="1:12" x14ac:dyDescent="0.25">
      <c r="A2183" s="65" t="s">
        <v>236</v>
      </c>
      <c r="B2183" s="66">
        <v>42630</v>
      </c>
      <c r="C2183" s="65" t="s">
        <v>1569</v>
      </c>
      <c r="D2183" s="55" t="str">
        <f>IF(ISNA(VLOOKUP(E2183,$L$2:$M$26,2,FALSE)),E2183,VLOOKUP(E2183,$L$2:$M$26,2,FALSE))</f>
        <v>Grocery</v>
      </c>
      <c r="E2183" s="65" t="s">
        <v>385</v>
      </c>
      <c r="F2183" s="65" t="s">
        <v>238</v>
      </c>
      <c r="G2183" s="65">
        <v>-38.68</v>
      </c>
      <c r="H2183" s="55">
        <f>YEAR(B2183)*100+MONTH(B2183)</f>
        <v>201609</v>
      </c>
      <c r="I2183" s="55">
        <f>MATCH(D2183,$O:$O,0)</f>
        <v>12</v>
      </c>
      <c r="J2183" s="65" t="s">
        <v>39</v>
      </c>
      <c r="K2183" s="65" t="s">
        <v>1394</v>
      </c>
      <c r="L2183" s="65" t="s">
        <v>252</v>
      </c>
    </row>
    <row r="2184" spans="1:12" x14ac:dyDescent="0.25">
      <c r="A2184" s="65" t="s">
        <v>236</v>
      </c>
      <c r="B2184" s="66">
        <v>42630</v>
      </c>
      <c r="C2184" s="65" t="s">
        <v>1569</v>
      </c>
      <c r="D2184" s="55" t="str">
        <f>IF(ISNA(VLOOKUP(E2184,$L$2:$M$26,2,FALSE)),E2184,VLOOKUP(E2184,$L$2:$M$26,2,FALSE))</f>
        <v>Grocery</v>
      </c>
      <c r="E2184" s="65" t="s">
        <v>385</v>
      </c>
      <c r="F2184" s="65" t="s">
        <v>238</v>
      </c>
      <c r="G2184" s="65">
        <v>-434.99</v>
      </c>
      <c r="H2184" s="55">
        <f>YEAR(B2184)*100+MONTH(B2184)</f>
        <v>201609</v>
      </c>
      <c r="I2184" s="55">
        <f>MATCH(D2184,$O:$O,0)</f>
        <v>12</v>
      </c>
      <c r="J2184" s="65" t="s">
        <v>39</v>
      </c>
      <c r="K2184" s="65" t="s">
        <v>1394</v>
      </c>
      <c r="L2184" s="65" t="s">
        <v>816</v>
      </c>
    </row>
    <row r="2185" spans="1:12" x14ac:dyDescent="0.25">
      <c r="A2185" s="65" t="s">
        <v>236</v>
      </c>
      <c r="B2185" s="66">
        <v>42632</v>
      </c>
      <c r="C2185" s="65" t="s">
        <v>565</v>
      </c>
      <c r="D2185" s="55" t="str">
        <f>IF(ISNA(VLOOKUP(E2185,$L$2:$M$26,2,FALSE)),E2185,VLOOKUP(E2185,$L$2:$M$26,2,FALSE))</f>
        <v>Grocery</v>
      </c>
      <c r="E2185" s="65" t="s">
        <v>192</v>
      </c>
      <c r="F2185" s="65" t="s">
        <v>238</v>
      </c>
      <c r="G2185" s="65">
        <v>-1.93</v>
      </c>
      <c r="H2185" s="55">
        <f>YEAR(B2185)*100+MONTH(B2185)</f>
        <v>201609</v>
      </c>
      <c r="I2185" s="55">
        <f>MATCH(D2185,$O:$O,0)</f>
        <v>12</v>
      </c>
      <c r="J2185" s="65" t="s">
        <v>39</v>
      </c>
      <c r="K2185" s="65" t="s">
        <v>1398</v>
      </c>
      <c r="L2185" s="65" t="s">
        <v>352</v>
      </c>
    </row>
    <row r="2186" spans="1:12" x14ac:dyDescent="0.25">
      <c r="A2186" s="65" t="s">
        <v>236</v>
      </c>
      <c r="B2186" s="66">
        <v>42632</v>
      </c>
      <c r="C2186" s="65" t="s">
        <v>775</v>
      </c>
      <c r="D2186" s="55" t="str">
        <f>IF(ISNA(VLOOKUP(E2186,$L$2:$M$26,2,FALSE)),E2186,VLOOKUP(E2186,$L$2:$M$26,2,FALSE))</f>
        <v>Grocery</v>
      </c>
      <c r="E2186" s="65" t="s">
        <v>192</v>
      </c>
      <c r="F2186" s="65" t="s">
        <v>238</v>
      </c>
      <c r="G2186" s="65">
        <v>-17.48</v>
      </c>
      <c r="H2186" s="55">
        <f>YEAR(B2186)*100+MONTH(B2186)</f>
        <v>201609</v>
      </c>
      <c r="I2186" s="55">
        <f>MATCH(D2186,$O:$O,0)</f>
        <v>12</v>
      </c>
      <c r="J2186" s="65" t="s">
        <v>39</v>
      </c>
      <c r="K2186" s="65" t="s">
        <v>1398</v>
      </c>
      <c r="L2186" s="65" t="s">
        <v>252</v>
      </c>
    </row>
    <row r="2187" spans="1:12" x14ac:dyDescent="0.25">
      <c r="A2187" s="65" t="s">
        <v>236</v>
      </c>
      <c r="B2187" s="66">
        <v>42632</v>
      </c>
      <c r="C2187" s="65" t="s">
        <v>1395</v>
      </c>
      <c r="D2187" s="55" t="str">
        <f>IF(ISNA(VLOOKUP(E2187,$L$2:$M$26,2,FALSE)),E2187,VLOOKUP(E2187,$L$2:$M$26,2,FALSE))</f>
        <v>Grocery</v>
      </c>
      <c r="E2187" s="65" t="s">
        <v>192</v>
      </c>
      <c r="F2187" s="65" t="s">
        <v>238</v>
      </c>
      <c r="G2187" s="65">
        <v>-5.99</v>
      </c>
      <c r="H2187" s="55">
        <f>YEAR(B2187)*100+MONTH(B2187)</f>
        <v>201609</v>
      </c>
      <c r="I2187" s="55">
        <f>MATCH(D2187,$O:$O,0)</f>
        <v>12</v>
      </c>
      <c r="J2187" s="65" t="s">
        <v>39</v>
      </c>
      <c r="K2187" s="65" t="s">
        <v>1394</v>
      </c>
      <c r="L2187" s="65" t="s">
        <v>310</v>
      </c>
    </row>
    <row r="2188" spans="1:12" x14ac:dyDescent="0.25">
      <c r="A2188" s="65" t="s">
        <v>236</v>
      </c>
      <c r="B2188" s="66">
        <v>42633</v>
      </c>
      <c r="C2188" s="65" t="s">
        <v>847</v>
      </c>
      <c r="D2188" s="55" t="str">
        <f>IF(ISNA(VLOOKUP(E2188,$L$2:$M$26,2,FALSE)),E2188,VLOOKUP(E2188,$L$2:$M$26,2,FALSE))</f>
        <v>Grocery</v>
      </c>
      <c r="E2188" s="65" t="s">
        <v>192</v>
      </c>
      <c r="F2188" s="65" t="s">
        <v>238</v>
      </c>
      <c r="G2188" s="65">
        <v>-7.01</v>
      </c>
      <c r="H2188" s="55">
        <f>YEAR(B2188)*100+MONTH(B2188)</f>
        <v>201609</v>
      </c>
      <c r="I2188" s="55">
        <f>MATCH(D2188,$O:$O,0)</f>
        <v>12</v>
      </c>
      <c r="J2188" s="65" t="s">
        <v>39</v>
      </c>
      <c r="K2188" s="65" t="s">
        <v>1398</v>
      </c>
      <c r="L2188" s="65" t="s">
        <v>927</v>
      </c>
    </row>
    <row r="2189" spans="1:12" x14ac:dyDescent="0.25">
      <c r="A2189" s="65" t="s">
        <v>236</v>
      </c>
      <c r="B2189" s="66">
        <v>42634</v>
      </c>
      <c r="C2189" s="65" t="s">
        <v>565</v>
      </c>
      <c r="D2189" s="55" t="str">
        <f>IF(ISNA(VLOOKUP(E2189,$L$2:$M$26,2,FALSE)),E2189,VLOOKUP(E2189,$L$2:$M$26,2,FALSE))</f>
        <v>Grocery</v>
      </c>
      <c r="E2189" s="65" t="s">
        <v>192</v>
      </c>
      <c r="F2189" s="65" t="s">
        <v>238</v>
      </c>
      <c r="G2189" s="65">
        <v>-5.1100000000000003</v>
      </c>
      <c r="H2189" s="55">
        <f>YEAR(B2189)*100+MONTH(B2189)</f>
        <v>201609</v>
      </c>
      <c r="I2189" s="55">
        <f>MATCH(D2189,$O:$O,0)</f>
        <v>12</v>
      </c>
      <c r="J2189" s="65" t="s">
        <v>39</v>
      </c>
      <c r="K2189" s="65" t="s">
        <v>1398</v>
      </c>
      <c r="L2189" s="65" t="s">
        <v>927</v>
      </c>
    </row>
    <row r="2190" spans="1:12" x14ac:dyDescent="0.25">
      <c r="A2190" s="65" t="s">
        <v>236</v>
      </c>
      <c r="B2190" s="66">
        <v>42637</v>
      </c>
      <c r="C2190" s="65" t="s">
        <v>1350</v>
      </c>
      <c r="D2190" s="55" t="str">
        <f>IF(ISNA(VLOOKUP(E2190,$L$2:$M$26,2,FALSE)),E2190,VLOOKUP(E2190,$L$2:$M$26,2,FALSE))</f>
        <v>Grocery</v>
      </c>
      <c r="E2190" s="65" t="s">
        <v>385</v>
      </c>
      <c r="F2190" s="65" t="s">
        <v>238</v>
      </c>
      <c r="G2190" s="65">
        <v>-51.35</v>
      </c>
      <c r="H2190" s="55">
        <f>YEAR(B2190)*100+MONTH(B2190)</f>
        <v>201609</v>
      </c>
      <c r="I2190" s="55">
        <f>MATCH(D2190,$O:$O,0)</f>
        <v>12</v>
      </c>
      <c r="J2190" s="65" t="s">
        <v>39</v>
      </c>
      <c r="K2190" s="65" t="s">
        <v>1394</v>
      </c>
      <c r="L2190" s="65" t="s">
        <v>1084</v>
      </c>
    </row>
    <row r="2191" spans="1:12" x14ac:dyDescent="0.25">
      <c r="A2191" s="65" t="s">
        <v>236</v>
      </c>
      <c r="B2191" s="66">
        <v>42637</v>
      </c>
      <c r="C2191" s="65" t="s">
        <v>775</v>
      </c>
      <c r="D2191" s="55" t="str">
        <f>IF(ISNA(VLOOKUP(E2191,$L$2:$M$26,2,FALSE)),E2191,VLOOKUP(E2191,$L$2:$M$26,2,FALSE))</f>
        <v>Grocery</v>
      </c>
      <c r="E2191" s="65" t="s">
        <v>192</v>
      </c>
      <c r="F2191" s="65" t="s">
        <v>238</v>
      </c>
      <c r="G2191" s="65">
        <v>-22.38</v>
      </c>
      <c r="H2191" s="55">
        <f>YEAR(B2191)*100+MONTH(B2191)</f>
        <v>201609</v>
      </c>
      <c r="I2191" s="55">
        <f>MATCH(D2191,$O:$O,0)</f>
        <v>12</v>
      </c>
      <c r="J2191" s="65" t="s">
        <v>39</v>
      </c>
      <c r="K2191" s="65" t="s">
        <v>1398</v>
      </c>
      <c r="L2191" s="65" t="s">
        <v>326</v>
      </c>
    </row>
    <row r="2192" spans="1:12" x14ac:dyDescent="0.25">
      <c r="A2192" s="65" t="s">
        <v>236</v>
      </c>
      <c r="B2192" s="66">
        <v>42638</v>
      </c>
      <c r="C2192" s="65" t="s">
        <v>1350</v>
      </c>
      <c r="D2192" s="55" t="str">
        <f>IF(ISNA(VLOOKUP(E2192,$L$2:$M$26,2,FALSE)),E2192,VLOOKUP(E2192,$L$2:$M$26,2,FALSE))</f>
        <v>Grocery</v>
      </c>
      <c r="E2192" s="65" t="s">
        <v>385</v>
      </c>
      <c r="F2192" s="65" t="s">
        <v>238</v>
      </c>
      <c r="G2192" s="65">
        <v>-25.98</v>
      </c>
      <c r="H2192" s="55">
        <f>YEAR(B2192)*100+MONTH(B2192)</f>
        <v>201609</v>
      </c>
      <c r="I2192" s="55">
        <f>MATCH(D2192,$O:$O,0)</f>
        <v>12</v>
      </c>
      <c r="J2192" s="65" t="s">
        <v>39</v>
      </c>
      <c r="K2192" s="65" t="s">
        <v>1394</v>
      </c>
      <c r="L2192" s="65"/>
    </row>
    <row r="2193" spans="1:12" x14ac:dyDescent="0.25">
      <c r="A2193" s="65" t="s">
        <v>236</v>
      </c>
      <c r="B2193" s="66">
        <v>42639</v>
      </c>
      <c r="C2193" s="65" t="s">
        <v>1558</v>
      </c>
      <c r="D2193" s="55" t="str">
        <f>IF(ISNA(VLOOKUP(E2193,$L$2:$M$26,2,FALSE)),E2193,VLOOKUP(E2193,$L$2:$M$26,2,FALSE))</f>
        <v>Grocery</v>
      </c>
      <c r="E2193" s="65" t="s">
        <v>192</v>
      </c>
      <c r="F2193" s="65" t="s">
        <v>238</v>
      </c>
      <c r="G2193" s="65">
        <v>-4</v>
      </c>
      <c r="H2193" s="55">
        <f>YEAR(B2193)*100+MONTH(B2193)</f>
        <v>201609</v>
      </c>
      <c r="I2193" s="55">
        <f>MATCH(D2193,$O:$O,0)</f>
        <v>12</v>
      </c>
      <c r="J2193" s="65" t="s">
        <v>39</v>
      </c>
      <c r="K2193" s="65" t="s">
        <v>1398</v>
      </c>
      <c r="L2193" s="65"/>
    </row>
    <row r="2194" spans="1:12" x14ac:dyDescent="0.25">
      <c r="A2194" s="65" t="s">
        <v>236</v>
      </c>
      <c r="B2194" s="66">
        <v>42639</v>
      </c>
      <c r="C2194" s="65" t="s">
        <v>842</v>
      </c>
      <c r="D2194" s="55" t="str">
        <f>IF(ISNA(VLOOKUP(E2194,$L$2:$M$26,2,FALSE)),E2194,VLOOKUP(E2194,$L$2:$M$26,2,FALSE))</f>
        <v>Grocery</v>
      </c>
      <c r="E2194" s="65" t="s">
        <v>1586</v>
      </c>
      <c r="F2194" s="65" t="s">
        <v>238</v>
      </c>
      <c r="G2194" s="65">
        <v>-13.84</v>
      </c>
      <c r="H2194" s="55">
        <f>YEAR(B2194)*100+MONTH(B2194)</f>
        <v>201609</v>
      </c>
      <c r="I2194" s="55">
        <f>MATCH(D2194,$O:$O,0)</f>
        <v>12</v>
      </c>
      <c r="J2194" s="65" t="s">
        <v>39</v>
      </c>
      <c r="K2194" s="65" t="s">
        <v>1398</v>
      </c>
      <c r="L2194" s="65"/>
    </row>
    <row r="2195" spans="1:12" x14ac:dyDescent="0.25">
      <c r="A2195" s="65" t="s">
        <v>236</v>
      </c>
      <c r="B2195" s="66">
        <v>42639</v>
      </c>
      <c r="C2195" s="65" t="s">
        <v>1338</v>
      </c>
      <c r="D2195" s="55" t="str">
        <f>IF(ISNA(VLOOKUP(E2195,$L$2:$M$26,2,FALSE)),E2195,VLOOKUP(E2195,$L$2:$M$26,2,FALSE))</f>
        <v>Grocery</v>
      </c>
      <c r="E2195" s="65" t="s">
        <v>1586</v>
      </c>
      <c r="F2195" s="65" t="s">
        <v>238</v>
      </c>
      <c r="G2195" s="65">
        <v>-10.27</v>
      </c>
      <c r="H2195" s="55">
        <f>YEAR(B2195)*100+MONTH(B2195)</f>
        <v>201609</v>
      </c>
      <c r="I2195" s="55">
        <f>MATCH(D2195,$O:$O,0)</f>
        <v>12</v>
      </c>
      <c r="J2195" s="65" t="s">
        <v>39</v>
      </c>
      <c r="K2195" s="65" t="s">
        <v>1398</v>
      </c>
      <c r="L2195" s="65"/>
    </row>
    <row r="2196" spans="1:12" x14ac:dyDescent="0.25">
      <c r="A2196" s="65" t="s">
        <v>236</v>
      </c>
      <c r="B2196" s="66">
        <v>42643</v>
      </c>
      <c r="C2196" s="65" t="s">
        <v>1350</v>
      </c>
      <c r="D2196" s="55" t="str">
        <f>IF(ISNA(VLOOKUP(E2196,$L$2:$M$26,2,FALSE)),E2196,VLOOKUP(E2196,$L$2:$M$26,2,FALSE))</f>
        <v>Grocery</v>
      </c>
      <c r="E2196" s="65" t="s">
        <v>385</v>
      </c>
      <c r="F2196" s="65" t="s">
        <v>238</v>
      </c>
      <c r="G2196" s="65">
        <v>-88.43</v>
      </c>
      <c r="H2196" s="55">
        <f>YEAR(B2196)*100+MONTH(B2196)</f>
        <v>201609</v>
      </c>
      <c r="I2196" s="55">
        <f>MATCH(D2196,$O:$O,0)</f>
        <v>12</v>
      </c>
      <c r="J2196" s="65" t="s">
        <v>39</v>
      </c>
      <c r="K2196" s="65" t="s">
        <v>1394</v>
      </c>
      <c r="L2196" s="65" t="s">
        <v>252</v>
      </c>
    </row>
    <row r="2197" spans="1:12" x14ac:dyDescent="0.25">
      <c r="A2197" s="65" t="s">
        <v>236</v>
      </c>
      <c r="B2197" s="66">
        <v>42636</v>
      </c>
      <c r="C2197" s="65" t="s">
        <v>1447</v>
      </c>
      <c r="D2197" s="55" t="str">
        <f>IF(ISNA(VLOOKUP(E2197,$L$2:$M$26,2,FALSE)),E2197,VLOOKUP(E2197,$L$2:$M$26,2,FALSE))</f>
        <v>Health Care</v>
      </c>
      <c r="E2197" s="55" t="s">
        <v>160</v>
      </c>
      <c r="F2197" s="65" t="s">
        <v>238</v>
      </c>
      <c r="G2197" s="65">
        <v>-542.48</v>
      </c>
      <c r="H2197" s="55">
        <f>YEAR(B2197)*100+MONTH(B2197)</f>
        <v>201609</v>
      </c>
      <c r="I2197" s="55">
        <f>MATCH(D2197,$O:$O,0)</f>
        <v>14</v>
      </c>
      <c r="J2197" s="65" t="s">
        <v>39</v>
      </c>
      <c r="K2197" s="65" t="s">
        <v>803</v>
      </c>
      <c r="L2197" s="65" t="s">
        <v>310</v>
      </c>
    </row>
    <row r="2198" spans="1:12" x14ac:dyDescent="0.25">
      <c r="A2198" s="65" t="s">
        <v>236</v>
      </c>
      <c r="B2198" s="66">
        <v>42632</v>
      </c>
      <c r="C2198" s="65" t="s">
        <v>1566</v>
      </c>
      <c r="D2198" s="55" t="str">
        <f>IF(ISNA(VLOOKUP(E2198,$L$2:$M$26,2,FALSE)),E2198,VLOOKUP(E2198,$L$2:$M$26,2,FALSE))</f>
        <v>Home Maintainence/Improvement</v>
      </c>
      <c r="E2198" s="65" t="s">
        <v>342</v>
      </c>
      <c r="F2198" s="65" t="s">
        <v>238</v>
      </c>
      <c r="G2198" s="65">
        <v>-5.42</v>
      </c>
      <c r="H2198" s="55">
        <f>YEAR(B2198)*100+MONTH(B2198)</f>
        <v>201609</v>
      </c>
      <c r="I2198" s="55">
        <f>MATCH(D2198,$O:$O,0)</f>
        <v>16</v>
      </c>
      <c r="J2198" s="65" t="s">
        <v>39</v>
      </c>
      <c r="K2198" s="65" t="s">
        <v>1398</v>
      </c>
      <c r="L2198" s="65"/>
    </row>
    <row r="2199" spans="1:12" x14ac:dyDescent="0.25">
      <c r="A2199" s="65" t="s">
        <v>236</v>
      </c>
      <c r="B2199" s="66">
        <v>42627</v>
      </c>
      <c r="C2199" s="65" t="s">
        <v>412</v>
      </c>
      <c r="D2199" s="55" t="str">
        <f>IF(ISNA(VLOOKUP(E2199,$L$2:$M$26,2,FALSE)),E2199,VLOOKUP(E2199,$L$2:$M$26,2,FALSE))</f>
        <v>Interest</v>
      </c>
      <c r="E2199" s="65" t="s">
        <v>200</v>
      </c>
      <c r="F2199" s="65" t="s">
        <v>238</v>
      </c>
      <c r="G2199" s="65">
        <v>0.25</v>
      </c>
      <c r="H2199" s="55">
        <f>YEAR(B2199)*100+MONTH(B2199)</f>
        <v>201609</v>
      </c>
      <c r="I2199" s="55" t="e">
        <f>MATCH(D2199,$O:$O,0)</f>
        <v>#N/A</v>
      </c>
      <c r="J2199" s="65" t="s">
        <v>39</v>
      </c>
      <c r="K2199" s="65" t="s">
        <v>803</v>
      </c>
      <c r="L2199" s="65" t="s">
        <v>339</v>
      </c>
    </row>
    <row r="2200" spans="1:12" x14ac:dyDescent="0.25">
      <c r="A2200" s="65" t="s">
        <v>236</v>
      </c>
      <c r="B2200" s="66">
        <v>42627</v>
      </c>
      <c r="C2200" s="65" t="s">
        <v>412</v>
      </c>
      <c r="D2200" s="55" t="str">
        <f>IF(ISNA(VLOOKUP(E2200,$L$2:$M$26,2,FALSE)),E2200,VLOOKUP(E2200,$L$2:$M$26,2,FALSE))</f>
        <v>Interest</v>
      </c>
      <c r="E2200" s="65" t="s">
        <v>200</v>
      </c>
      <c r="F2200" s="65" t="s">
        <v>238</v>
      </c>
      <c r="G2200" s="65">
        <v>0.21</v>
      </c>
      <c r="H2200" s="55">
        <f>YEAR(B2200)*100+MONTH(B2200)</f>
        <v>201609</v>
      </c>
      <c r="I2200" s="55" t="e">
        <f>MATCH(D2200,$O:$O,0)</f>
        <v>#N/A</v>
      </c>
      <c r="J2200" s="65" t="s">
        <v>39</v>
      </c>
      <c r="K2200" s="65" t="s">
        <v>628</v>
      </c>
      <c r="L2200" s="65"/>
    </row>
    <row r="2201" spans="1:12" x14ac:dyDescent="0.25">
      <c r="A2201" s="65" t="s">
        <v>236</v>
      </c>
      <c r="B2201" s="66">
        <v>42627</v>
      </c>
      <c r="C2201" s="65" t="s">
        <v>412</v>
      </c>
      <c r="D2201" s="55" t="str">
        <f>IF(ISNA(VLOOKUP(E2201,$L$2:$M$26,2,FALSE)),E2201,VLOOKUP(E2201,$L$2:$M$26,2,FALSE))</f>
        <v>Interest</v>
      </c>
      <c r="E2201" s="65" t="s">
        <v>200</v>
      </c>
      <c r="F2201" s="65" t="s">
        <v>238</v>
      </c>
      <c r="G2201" s="65">
        <v>0.15</v>
      </c>
      <c r="H2201" s="55">
        <f>YEAR(B2201)*100+MONTH(B2201)</f>
        <v>201609</v>
      </c>
      <c r="I2201" s="55" t="e">
        <f>MATCH(D2201,$O:$O,0)</f>
        <v>#N/A</v>
      </c>
      <c r="J2201" s="65" t="s">
        <v>39</v>
      </c>
      <c r="K2201" s="65" t="s">
        <v>676</v>
      </c>
      <c r="L2201" s="65"/>
    </row>
    <row r="2202" spans="1:12" x14ac:dyDescent="0.25">
      <c r="A2202" s="65" t="s">
        <v>236</v>
      </c>
      <c r="B2202" s="66">
        <v>42627</v>
      </c>
      <c r="C2202" s="65" t="s">
        <v>412</v>
      </c>
      <c r="D2202" s="55" t="str">
        <f>IF(ISNA(VLOOKUP(E2202,$L$2:$M$26,2,FALSE)),E2202,VLOOKUP(E2202,$L$2:$M$26,2,FALSE))</f>
        <v>Interest</v>
      </c>
      <c r="E2202" s="65" t="s">
        <v>200</v>
      </c>
      <c r="F2202" s="65" t="s">
        <v>238</v>
      </c>
      <c r="G2202" s="65">
        <v>0.1</v>
      </c>
      <c r="H2202" s="55">
        <f>YEAR(B2202)*100+MONTH(B2202)</f>
        <v>201609</v>
      </c>
      <c r="I2202" s="55" t="e">
        <f>MATCH(D2202,$O:$O,0)</f>
        <v>#N/A</v>
      </c>
      <c r="J2202" s="65" t="s">
        <v>39</v>
      </c>
      <c r="K2202" s="65" t="s">
        <v>675</v>
      </c>
      <c r="L2202" s="65" t="s">
        <v>193</v>
      </c>
    </row>
    <row r="2203" spans="1:12" x14ac:dyDescent="0.25">
      <c r="A2203" s="65" t="s">
        <v>236</v>
      </c>
      <c r="B2203" s="66">
        <v>42635</v>
      </c>
      <c r="C2203" s="65" t="s">
        <v>1562</v>
      </c>
      <c r="D2203" s="55" t="str">
        <f>IF(ISNA(VLOOKUP(E2203,$L$2:$M$26,2,FALSE)),E2203,VLOOKUP(E2203,$L$2:$M$26,2,FALSE))</f>
        <v>Medical</v>
      </c>
      <c r="E2203" s="65" t="s">
        <v>1592</v>
      </c>
      <c r="F2203" s="65" t="s">
        <v>238</v>
      </c>
      <c r="G2203" s="65">
        <v>-35</v>
      </c>
      <c r="H2203" s="55">
        <f>YEAR(B2203)*100+MONTH(B2203)</f>
        <v>201609</v>
      </c>
      <c r="I2203" s="55" t="e">
        <f>MATCH(D2203,$O:$O,0)</f>
        <v>#N/A</v>
      </c>
      <c r="J2203" s="65" t="s">
        <v>39</v>
      </c>
      <c r="K2203" s="65" t="s">
        <v>1398</v>
      </c>
      <c r="L2203" s="65" t="s">
        <v>816</v>
      </c>
    </row>
    <row r="2204" spans="1:12" x14ac:dyDescent="0.25">
      <c r="A2204" s="65" t="s">
        <v>236</v>
      </c>
      <c r="B2204" s="66">
        <v>42614</v>
      </c>
      <c r="C2204" s="65" t="s">
        <v>1584</v>
      </c>
      <c r="D2204" s="55" t="str">
        <f>IF(ISNA(VLOOKUP(E2204,$L$2:$M$26,2,FALSE)),E2204,VLOOKUP(E2204,$L$2:$M$26,2,FALSE))</f>
        <v>Mortgage/Rent</v>
      </c>
      <c r="E2204" s="65" t="s">
        <v>202</v>
      </c>
      <c r="F2204" s="65" t="s">
        <v>238</v>
      </c>
      <c r="G2204" s="67">
        <v>-1955.41</v>
      </c>
      <c r="H2204" s="55">
        <f>YEAR(B2204)*100+MONTH(B2204)</f>
        <v>201609</v>
      </c>
      <c r="I2204" s="55">
        <f>MATCH(D2204,$O:$O,0)</f>
        <v>21</v>
      </c>
      <c r="J2204" s="65" t="s">
        <v>39</v>
      </c>
      <c r="K2204" s="65" t="s">
        <v>803</v>
      </c>
      <c r="L2204" s="65"/>
    </row>
    <row r="2205" spans="1:12" x14ac:dyDescent="0.25">
      <c r="A2205" s="65" t="s">
        <v>236</v>
      </c>
      <c r="B2205" s="66">
        <v>42614</v>
      </c>
      <c r="C2205" s="65" t="s">
        <v>591</v>
      </c>
      <c r="D2205" s="55" t="str">
        <f>IF(ISNA(VLOOKUP(E2205,$L$2:$M$26,2,FALSE)),E2205,VLOOKUP(E2205,$L$2:$M$26,2,FALSE))</f>
        <v>Mortgage/Rent</v>
      </c>
      <c r="E2205" s="65" t="s">
        <v>202</v>
      </c>
      <c r="F2205" s="65" t="s">
        <v>238</v>
      </c>
      <c r="G2205" s="67">
        <v>-3116.77</v>
      </c>
      <c r="H2205" s="55">
        <f>YEAR(B2205)*100+MONTH(B2205)</f>
        <v>201609</v>
      </c>
      <c r="I2205" s="55">
        <f>MATCH(D2205,$O:$O,0)</f>
        <v>21</v>
      </c>
      <c r="J2205" s="65" t="s">
        <v>39</v>
      </c>
      <c r="K2205" s="65" t="s">
        <v>803</v>
      </c>
      <c r="L2205" s="65" t="s">
        <v>193</v>
      </c>
    </row>
    <row r="2206" spans="1:12" x14ac:dyDescent="0.25">
      <c r="A2206" s="65" t="s">
        <v>236</v>
      </c>
      <c r="B2206" s="66">
        <v>42643</v>
      </c>
      <c r="C2206" s="65" t="s">
        <v>1546</v>
      </c>
      <c r="D2206" s="55" t="str">
        <f>IF(ISNA(VLOOKUP(E2206,$L$2:$M$26,2,FALSE)),E2206,VLOOKUP(E2206,$L$2:$M$26,2,FALSE))</f>
        <v>Mortgage/Rent</v>
      </c>
      <c r="E2206" s="65" t="s">
        <v>202</v>
      </c>
      <c r="F2206" s="65" t="s">
        <v>238</v>
      </c>
      <c r="G2206" s="67">
        <v>-1955.41</v>
      </c>
      <c r="H2206" s="55">
        <f>YEAR(B2206)*100+MONTH(B2206)</f>
        <v>201609</v>
      </c>
      <c r="I2206" s="55">
        <f>MATCH(D2206,$O:$O,0)</f>
        <v>21</v>
      </c>
      <c r="J2206" s="65" t="s">
        <v>39</v>
      </c>
      <c r="K2206" s="65" t="s">
        <v>803</v>
      </c>
      <c r="L2206" s="65"/>
    </row>
    <row r="2207" spans="1:12" x14ac:dyDescent="0.25">
      <c r="A2207" s="65" t="s">
        <v>236</v>
      </c>
      <c r="B2207" s="66">
        <v>42640</v>
      </c>
      <c r="C2207" s="65" t="s">
        <v>1553</v>
      </c>
      <c r="D2207" s="55" t="str">
        <f>IF(ISNA(VLOOKUP(E2207,$L$2:$M$26,2,FALSE)),E2207,VLOOKUP(E2207,$L$2:$M$26,2,FALSE))</f>
        <v>Movies/Software/Online Service</v>
      </c>
      <c r="E2207" s="55" t="s">
        <v>167</v>
      </c>
      <c r="F2207" s="65" t="s">
        <v>238</v>
      </c>
      <c r="G2207" s="65">
        <v>-53.41</v>
      </c>
      <c r="H2207" s="55">
        <f>YEAR(B2207)*100+MONTH(B2207)</f>
        <v>201609</v>
      </c>
      <c r="I2207" s="55">
        <f>MATCH(D2207,$O:$O,0)</f>
        <v>22</v>
      </c>
      <c r="J2207" s="65" t="s">
        <v>39</v>
      </c>
      <c r="K2207" s="65" t="s">
        <v>1394</v>
      </c>
      <c r="L2207" s="65"/>
    </row>
    <row r="2208" spans="1:12" x14ac:dyDescent="0.25">
      <c r="A2208" s="65" t="s">
        <v>236</v>
      </c>
      <c r="B2208" s="66">
        <v>42622</v>
      </c>
      <c r="C2208" s="65" t="s">
        <v>1476</v>
      </c>
      <c r="D2208" s="55" t="str">
        <f>IF(ISNA(VLOOKUP(E2208,$L$2:$M$26,2,FALSE)),E2208,VLOOKUP(E2208,$L$2:$M$26,2,FALSE))</f>
        <v>Newspapers</v>
      </c>
      <c r="E2208" s="65" t="s">
        <v>1205</v>
      </c>
      <c r="F2208" s="65" t="s">
        <v>238</v>
      </c>
      <c r="G2208" s="65">
        <v>-14.99</v>
      </c>
      <c r="H2208" s="55">
        <f>YEAR(B2208)*100+MONTH(B2208)</f>
        <v>201609</v>
      </c>
      <c r="I2208" s="55">
        <f>MATCH(D2208,$O:$O,0)</f>
        <v>23</v>
      </c>
      <c r="J2208" s="65" t="s">
        <v>39</v>
      </c>
      <c r="K2208" s="65" t="s">
        <v>1394</v>
      </c>
      <c r="L2208" s="65"/>
    </row>
    <row r="2209" spans="1:12" x14ac:dyDescent="0.25">
      <c r="A2209" s="65" t="s">
        <v>236</v>
      </c>
      <c r="B2209" s="66">
        <v>42637</v>
      </c>
      <c r="C2209" s="65" t="s">
        <v>894</v>
      </c>
      <c r="D2209" s="55" t="str">
        <f>IF(ISNA(VLOOKUP(E2209,$L$2:$M$26,2,FALSE)),E2209,VLOOKUP(E2209,$L$2:$M$26,2,FALSE))</f>
        <v>Newspapers</v>
      </c>
      <c r="E2209" s="65" t="s">
        <v>1205</v>
      </c>
      <c r="F2209" s="65" t="s">
        <v>238</v>
      </c>
      <c r="G2209" s="65">
        <v>-7.99</v>
      </c>
      <c r="H2209" s="55">
        <f>YEAR(B2209)*100+MONTH(B2209)</f>
        <v>201609</v>
      </c>
      <c r="I2209" s="55">
        <f>MATCH(D2209,$O:$O,0)</f>
        <v>23</v>
      </c>
      <c r="J2209" s="65" t="s">
        <v>39</v>
      </c>
      <c r="K2209" s="65" t="s">
        <v>1398</v>
      </c>
      <c r="L2209" s="65" t="s">
        <v>723</v>
      </c>
    </row>
    <row r="2210" spans="1:12" x14ac:dyDescent="0.25">
      <c r="A2210" s="65" t="s">
        <v>236</v>
      </c>
      <c r="B2210" s="66">
        <v>42633</v>
      </c>
      <c r="C2210" s="65" t="s">
        <v>1564</v>
      </c>
      <c r="D2210" s="55" t="str">
        <f>IF(ISNA(VLOOKUP(E2210,$L$2:$M$26,2,FALSE)),E2210,VLOOKUP(E2210,$L$2:$M$26,2,FALSE))</f>
        <v>Parent Support</v>
      </c>
      <c r="E2210" s="65" t="s">
        <v>1602</v>
      </c>
      <c r="F2210" s="65" t="s">
        <v>238</v>
      </c>
      <c r="G2210" s="65">
        <v>-120.6</v>
      </c>
      <c r="H2210" s="55">
        <f>YEAR(B2210)*100+MONTH(B2210)</f>
        <v>201609</v>
      </c>
      <c r="I2210" s="55">
        <f>MATCH(D2210,$O:$O,0)</f>
        <v>24</v>
      </c>
      <c r="J2210" s="65" t="s">
        <v>39</v>
      </c>
      <c r="K2210" s="65" t="s">
        <v>1394</v>
      </c>
      <c r="L2210" s="65"/>
    </row>
    <row r="2211" spans="1:12" x14ac:dyDescent="0.25">
      <c r="A2211" s="65" t="s">
        <v>236</v>
      </c>
      <c r="B2211" s="66">
        <v>42633</v>
      </c>
      <c r="C2211" s="65" t="s">
        <v>1565</v>
      </c>
      <c r="D2211" s="55" t="str">
        <f>IF(ISNA(VLOOKUP(E2211,$L$2:$M$26,2,FALSE)),E2211,VLOOKUP(E2211,$L$2:$M$26,2,FALSE))</f>
        <v>Parent Support</v>
      </c>
      <c r="E2211" s="65" t="s">
        <v>1602</v>
      </c>
      <c r="F2211" s="65" t="s">
        <v>238</v>
      </c>
      <c r="G2211" s="65">
        <v>-120.6</v>
      </c>
      <c r="H2211" s="55">
        <f>YEAR(B2211)*100+MONTH(B2211)</f>
        <v>201609</v>
      </c>
      <c r="I2211" s="55">
        <f>MATCH(D2211,$O:$O,0)</f>
        <v>24</v>
      </c>
      <c r="J2211" s="65" t="s">
        <v>39</v>
      </c>
      <c r="K2211" s="65" t="s">
        <v>1394</v>
      </c>
      <c r="L2211" s="65" t="s">
        <v>1536</v>
      </c>
    </row>
    <row r="2212" spans="1:12" x14ac:dyDescent="0.25">
      <c r="A2212" s="65" t="s">
        <v>236</v>
      </c>
      <c r="B2212" s="66">
        <v>42640</v>
      </c>
      <c r="C2212" s="65" t="s">
        <v>1552</v>
      </c>
      <c r="D2212" s="55" t="str">
        <f>IF(ISNA(VLOOKUP(E2212,$L$2:$M$26,2,FALSE)),E2212,VLOOKUP(E2212,$L$2:$M$26,2,FALSE))</f>
        <v>Parent Support</v>
      </c>
      <c r="E2212" s="55" t="s">
        <v>61</v>
      </c>
      <c r="F2212" s="65" t="s">
        <v>238</v>
      </c>
      <c r="G2212" s="65">
        <v>-30</v>
      </c>
      <c r="H2212" s="55">
        <f>YEAR(B2212)*100+MONTH(B2212)</f>
        <v>201609</v>
      </c>
      <c r="I2212" s="55">
        <f>MATCH(D2212,$O:$O,0)</f>
        <v>24</v>
      </c>
      <c r="J2212" s="65" t="s">
        <v>39</v>
      </c>
      <c r="K2212" s="65" t="s">
        <v>1394</v>
      </c>
      <c r="L2212" s="65" t="s">
        <v>1559</v>
      </c>
    </row>
    <row r="2213" spans="1:12" x14ac:dyDescent="0.25">
      <c r="A2213" s="65" t="s">
        <v>236</v>
      </c>
      <c r="B2213" s="66">
        <v>42641</v>
      </c>
      <c r="C2213" s="65" t="s">
        <v>905</v>
      </c>
      <c r="D2213" s="55" t="str">
        <f>IF(ISNA(VLOOKUP(E2213,$L$2:$M$26,2,FALSE)),E2213,VLOOKUP(E2213,$L$2:$M$26,2,FALSE))</f>
        <v>Parent Support</v>
      </c>
      <c r="E2213" s="55" t="s">
        <v>61</v>
      </c>
      <c r="F2213" s="65" t="s">
        <v>238</v>
      </c>
      <c r="G2213" s="65">
        <v>-13.35</v>
      </c>
      <c r="H2213" s="55">
        <f>YEAR(B2213)*100+MONTH(B2213)</f>
        <v>201609</v>
      </c>
      <c r="I2213" s="55">
        <f>MATCH(D2213,$O:$O,0)</f>
        <v>24</v>
      </c>
      <c r="J2213" s="65" t="s">
        <v>39</v>
      </c>
      <c r="K2213" s="65" t="s">
        <v>1398</v>
      </c>
      <c r="L2213" s="65" t="s">
        <v>333</v>
      </c>
    </row>
    <row r="2214" spans="1:12" x14ac:dyDescent="0.25">
      <c r="A2214" s="65" t="s">
        <v>236</v>
      </c>
      <c r="B2214" s="66">
        <v>42642</v>
      </c>
      <c r="C2214" s="65" t="s">
        <v>1550</v>
      </c>
      <c r="D2214" s="55" t="str">
        <f>IF(ISNA(VLOOKUP(E2214,$L$2:$M$26,2,FALSE)),E2214,VLOOKUP(E2214,$L$2:$M$26,2,FALSE))</f>
        <v>Parking</v>
      </c>
      <c r="E2214" s="65" t="s">
        <v>1595</v>
      </c>
      <c r="F2214" s="65" t="s">
        <v>238</v>
      </c>
      <c r="G2214" s="65">
        <v>-4.5</v>
      </c>
      <c r="H2214" s="55">
        <f>YEAR(B2214)*100+MONTH(B2214)</f>
        <v>201609</v>
      </c>
      <c r="I2214" s="55">
        <f>MATCH(D2214,$O:$O,0)</f>
        <v>32</v>
      </c>
      <c r="J2214" s="65" t="s">
        <v>39</v>
      </c>
      <c r="K2214" s="65" t="s">
        <v>1394</v>
      </c>
      <c r="L2214" s="65" t="s">
        <v>326</v>
      </c>
    </row>
    <row r="2215" spans="1:12" x14ac:dyDescent="0.25">
      <c r="A2215" s="65" t="s">
        <v>236</v>
      </c>
      <c r="B2215" s="66">
        <v>42625</v>
      </c>
      <c r="C2215" s="65" t="s">
        <v>1576</v>
      </c>
      <c r="D2215" s="55" t="str">
        <f>IF(ISNA(VLOOKUP(E2215,$L$2:$M$26,2,FALSE)),E2215,VLOOKUP(E2215,$L$2:$M$26,2,FALSE))</f>
        <v>Paychecks/Salary</v>
      </c>
      <c r="E2215" s="65" t="s">
        <v>1588</v>
      </c>
      <c r="F2215" s="65" t="s">
        <v>238</v>
      </c>
      <c r="G2215" s="67">
        <v>3000</v>
      </c>
      <c r="H2215" s="55">
        <f>YEAR(B2215)*100+MONTH(B2215)</f>
        <v>201609</v>
      </c>
      <c r="I2215" s="55">
        <f>MATCH(D2215,$O:$O,0)</f>
        <v>40</v>
      </c>
      <c r="J2215" s="65" t="s">
        <v>39</v>
      </c>
      <c r="K2215" s="65" t="s">
        <v>675</v>
      </c>
      <c r="L2215" s="65"/>
    </row>
    <row r="2216" spans="1:12" x14ac:dyDescent="0.25">
      <c r="A2216" s="65" t="s">
        <v>236</v>
      </c>
      <c r="B2216" s="66">
        <v>42628</v>
      </c>
      <c r="C2216" s="65" t="s">
        <v>1078</v>
      </c>
      <c r="D2216" s="55" t="str">
        <f>IF(ISNA(VLOOKUP(E2216,$L$2:$M$26,2,FALSE)),E2216,VLOOKUP(E2216,$L$2:$M$26,2,FALSE))</f>
        <v>Paychecks/Salary</v>
      </c>
      <c r="E2216" s="65" t="s">
        <v>261</v>
      </c>
      <c r="F2216" s="65" t="s">
        <v>238</v>
      </c>
      <c r="G2216" s="67">
        <v>1641.84</v>
      </c>
      <c r="H2216" s="55">
        <f>YEAR(B2216)*100+MONTH(B2216)</f>
        <v>201609</v>
      </c>
      <c r="I2216" s="55">
        <f>MATCH(D2216,$O:$O,0)</f>
        <v>40</v>
      </c>
      <c r="J2216" s="65" t="s">
        <v>39</v>
      </c>
      <c r="K2216" s="65" t="s">
        <v>675</v>
      </c>
      <c r="L2216" s="65" t="s">
        <v>1032</v>
      </c>
    </row>
    <row r="2217" spans="1:12" x14ac:dyDescent="0.25">
      <c r="A2217" s="65" t="s">
        <v>236</v>
      </c>
      <c r="B2217" s="66">
        <v>42639</v>
      </c>
      <c r="C2217" s="65" t="s">
        <v>1557</v>
      </c>
      <c r="D2217" s="55" t="str">
        <f>IF(ISNA(VLOOKUP(E2217,$L$2:$M$26,2,FALSE)),E2217,VLOOKUP(E2217,$L$2:$M$26,2,FALSE))</f>
        <v>Paychecks/Salary</v>
      </c>
      <c r="E2217" s="65" t="s">
        <v>1588</v>
      </c>
      <c r="F2217" s="65" t="s">
        <v>238</v>
      </c>
      <c r="G2217" s="65">
        <v>939.96</v>
      </c>
      <c r="H2217" s="55">
        <f>YEAR(B2217)*100+MONTH(B2217)</f>
        <v>201609</v>
      </c>
      <c r="I2217" s="55">
        <f>MATCH(D2217,$O:$O,0)</f>
        <v>40</v>
      </c>
      <c r="J2217" s="65" t="s">
        <v>39</v>
      </c>
      <c r="K2217" s="65" t="s">
        <v>803</v>
      </c>
      <c r="L2217" s="65" t="s">
        <v>310</v>
      </c>
    </row>
    <row r="2218" spans="1:12" x14ac:dyDescent="0.25">
      <c r="A2218" s="65" t="s">
        <v>236</v>
      </c>
      <c r="B2218" s="66">
        <v>42642</v>
      </c>
      <c r="C2218" s="65" t="s">
        <v>1549</v>
      </c>
      <c r="D2218" s="55" t="str">
        <f>IF(ISNA(VLOOKUP(E2218,$L$2:$M$26,2,FALSE)),E2218,VLOOKUP(E2218,$L$2:$M$26,2,FALSE))</f>
        <v>Paychecks/Salary</v>
      </c>
      <c r="E2218" s="65" t="s">
        <v>1588</v>
      </c>
      <c r="F2218" s="65" t="s">
        <v>238</v>
      </c>
      <c r="G2218" s="67">
        <v>1111.51</v>
      </c>
      <c r="H2218" s="55">
        <f>YEAR(B2218)*100+MONTH(B2218)</f>
        <v>201609</v>
      </c>
      <c r="I2218" s="55">
        <f>MATCH(D2218,$O:$O,0)</f>
        <v>40</v>
      </c>
      <c r="J2218" s="65" t="s">
        <v>39</v>
      </c>
      <c r="K2218" s="65" t="s">
        <v>803</v>
      </c>
      <c r="L2218" s="65"/>
    </row>
    <row r="2219" spans="1:12" x14ac:dyDescent="0.25">
      <c r="A2219" s="65" t="s">
        <v>236</v>
      </c>
      <c r="B2219" s="66">
        <v>42643</v>
      </c>
      <c r="C2219" s="65" t="s">
        <v>1078</v>
      </c>
      <c r="D2219" s="55" t="str">
        <f>IF(ISNA(VLOOKUP(E2219,$L$2:$M$26,2,FALSE)),E2219,VLOOKUP(E2219,$L$2:$M$26,2,FALSE))</f>
        <v>Paychecks/Salary</v>
      </c>
      <c r="E2219" s="65" t="s">
        <v>261</v>
      </c>
      <c r="F2219" s="65" t="s">
        <v>238</v>
      </c>
      <c r="G2219" s="67">
        <v>1641.85</v>
      </c>
      <c r="H2219" s="55">
        <f>YEAR(B2219)*100+MONTH(B2219)</f>
        <v>201609</v>
      </c>
      <c r="I2219" s="55">
        <f>MATCH(D2219,$O:$O,0)</f>
        <v>40</v>
      </c>
      <c r="J2219" s="65" t="s">
        <v>39</v>
      </c>
      <c r="K2219" s="65" t="s">
        <v>675</v>
      </c>
      <c r="L2219" s="65" t="s">
        <v>289</v>
      </c>
    </row>
    <row r="2220" spans="1:12" x14ac:dyDescent="0.25">
      <c r="A2220" s="65" t="s">
        <v>236</v>
      </c>
      <c r="B2220" s="66">
        <v>42643</v>
      </c>
      <c r="C2220" s="65" t="s">
        <v>1547</v>
      </c>
      <c r="D2220" s="55" t="str">
        <f>IF(ISNA(VLOOKUP(E2220,$L$2:$M$26,2,FALSE)),E2220,VLOOKUP(E2220,$L$2:$M$26,2,FALSE))</f>
        <v>Mortgage/Rent</v>
      </c>
      <c r="E2220" s="65" t="s">
        <v>1612</v>
      </c>
      <c r="F2220" s="65" t="s">
        <v>238</v>
      </c>
      <c r="G2220" s="67">
        <v>2623.9</v>
      </c>
      <c r="H2220" s="55">
        <f>YEAR(B2220)*100+MONTH(B2220)</f>
        <v>201609</v>
      </c>
      <c r="I2220" s="55">
        <f>MATCH(D2220,$O:$O,0)</f>
        <v>21</v>
      </c>
      <c r="J2220" s="65" t="s">
        <v>39</v>
      </c>
      <c r="K2220" s="65" t="s">
        <v>803</v>
      </c>
      <c r="L2220" s="65"/>
    </row>
    <row r="2221" spans="1:12" x14ac:dyDescent="0.25">
      <c r="A2221" s="65" t="s">
        <v>236</v>
      </c>
      <c r="B2221" s="66">
        <v>42627</v>
      </c>
      <c r="C2221" s="65" t="s">
        <v>221</v>
      </c>
      <c r="D2221" s="55" t="str">
        <f>IF(ISNA(VLOOKUP(E2221,$L$2:$M$26,2,FALSE)),E2221,VLOOKUP(E2221,$L$2:$M$26,2,FALSE))</f>
        <v>Tax</v>
      </c>
      <c r="E2221" s="65" t="s">
        <v>222</v>
      </c>
      <c r="F2221" s="65" t="s">
        <v>238</v>
      </c>
      <c r="G2221" s="65">
        <v>-7.0000000000000007E-2</v>
      </c>
      <c r="H2221" s="55">
        <f>YEAR(B2221)*100+MONTH(B2221)</f>
        <v>201609</v>
      </c>
      <c r="I2221" s="55">
        <f>MATCH(D2221,$O:$O,0)</f>
        <v>29</v>
      </c>
      <c r="J2221" s="65" t="s">
        <v>39</v>
      </c>
      <c r="K2221" s="65" t="s">
        <v>803</v>
      </c>
      <c r="L2221" s="65" t="s">
        <v>351</v>
      </c>
    </row>
    <row r="2222" spans="1:12" x14ac:dyDescent="0.25">
      <c r="A2222" s="65" t="s">
        <v>236</v>
      </c>
      <c r="B2222" s="66">
        <v>42627</v>
      </c>
      <c r="C2222" s="65" t="s">
        <v>221</v>
      </c>
      <c r="D2222" s="55" t="str">
        <f>IF(ISNA(VLOOKUP(E2222,$L$2:$M$26,2,FALSE)),E2222,VLOOKUP(E2222,$L$2:$M$26,2,FALSE))</f>
        <v>Tax</v>
      </c>
      <c r="E2222" s="65" t="s">
        <v>222</v>
      </c>
      <c r="F2222" s="65" t="s">
        <v>238</v>
      </c>
      <c r="G2222" s="65">
        <v>-0.06</v>
      </c>
      <c r="H2222" s="55">
        <f>YEAR(B2222)*100+MONTH(B2222)</f>
        <v>201609</v>
      </c>
      <c r="I2222" s="55">
        <f>MATCH(D2222,$O:$O,0)</f>
        <v>29</v>
      </c>
      <c r="J2222" s="65" t="s">
        <v>39</v>
      </c>
      <c r="K2222" s="65" t="s">
        <v>628</v>
      </c>
      <c r="L2222" s="65" t="s">
        <v>723</v>
      </c>
    </row>
    <row r="2223" spans="1:12" x14ac:dyDescent="0.25">
      <c r="A2223" s="65" t="s">
        <v>236</v>
      </c>
      <c r="B2223" s="66">
        <v>42629</v>
      </c>
      <c r="C2223" s="65" t="s">
        <v>1570</v>
      </c>
      <c r="D2223" s="55" t="str">
        <f>IF(ISNA(VLOOKUP(E2223,$L$2:$M$26,2,FALSE)),E2223,VLOOKUP(E2223,$L$2:$M$26,2,FALSE))</f>
        <v>Taxi and rental</v>
      </c>
      <c r="E2223" s="55" t="s">
        <v>92</v>
      </c>
      <c r="F2223" s="65" t="s">
        <v>238</v>
      </c>
      <c r="G2223" s="65">
        <v>-8.0500000000000007</v>
      </c>
      <c r="H2223" s="55">
        <f>YEAR(B2223)*100+MONTH(B2223)</f>
        <v>201609</v>
      </c>
      <c r="I2223" s="55">
        <f>MATCH(D2223,$O:$O,0)</f>
        <v>28</v>
      </c>
      <c r="J2223" s="65" t="s">
        <v>39</v>
      </c>
      <c r="K2223" s="65" t="s">
        <v>1394</v>
      </c>
      <c r="L2223" s="65" t="s">
        <v>1551</v>
      </c>
    </row>
    <row r="2224" spans="1:12" x14ac:dyDescent="0.25">
      <c r="A2224" s="65" t="s">
        <v>236</v>
      </c>
      <c r="B2224" s="66">
        <v>42616</v>
      </c>
      <c r="C2224" s="65" t="s">
        <v>1583</v>
      </c>
      <c r="D2224" s="55" t="str">
        <f>IF(ISNA(VLOOKUP(E2224,$L$2:$M$26,2,FALSE)),E2224,VLOOKUP(E2224,$L$2:$M$26,2,FALSE))</f>
        <v>Uncategorized</v>
      </c>
      <c r="E2224" s="65" t="s">
        <v>102</v>
      </c>
      <c r="F2224" s="65" t="s">
        <v>238</v>
      </c>
      <c r="G2224" s="65">
        <v>-2.75</v>
      </c>
      <c r="H2224" s="55">
        <f>YEAR(B2224)*100+MONTH(B2224)</f>
        <v>201609</v>
      </c>
      <c r="I2224" s="55">
        <f>MATCH(D2224,$O:$O,0)</f>
        <v>33</v>
      </c>
      <c r="J2224" s="65" t="s">
        <v>39</v>
      </c>
      <c r="K2224" s="65" t="s">
        <v>1394</v>
      </c>
      <c r="L2224" s="65"/>
    </row>
    <row r="2225" spans="1:12" x14ac:dyDescent="0.25">
      <c r="A2225" s="65" t="s">
        <v>236</v>
      </c>
      <c r="B2225" s="66">
        <v>42639</v>
      </c>
      <c r="C2225" s="65" t="s">
        <v>1560</v>
      </c>
      <c r="D2225" s="55" t="str">
        <f>IF(ISNA(VLOOKUP(E2225,$L$2:$M$26,2,FALSE)),E2225,VLOOKUP(E2225,$L$2:$M$26,2,FALSE))</f>
        <v>Uncategorized</v>
      </c>
      <c r="E2225" s="65" t="s">
        <v>1594</v>
      </c>
      <c r="F2225" s="65" t="s">
        <v>238</v>
      </c>
      <c r="G2225" s="65">
        <v>-32.15</v>
      </c>
      <c r="H2225" s="55">
        <f>YEAR(B2225)*100+MONTH(B2225)</f>
        <v>201609</v>
      </c>
      <c r="I2225" s="55">
        <f>MATCH(D2225,$O:$O,0)</f>
        <v>33</v>
      </c>
      <c r="J2225" s="65" t="s">
        <v>39</v>
      </c>
      <c r="K2225" s="65" t="s">
        <v>1398</v>
      </c>
      <c r="L2225" s="65"/>
    </row>
    <row r="2226" spans="1:12" x14ac:dyDescent="0.25">
      <c r="A2226" s="65" t="s">
        <v>236</v>
      </c>
      <c r="B2226" s="66">
        <v>42625</v>
      </c>
      <c r="C2226" s="65" t="s">
        <v>863</v>
      </c>
      <c r="D2226" s="55" t="str">
        <f>IF(ISNA(VLOOKUP(E2226,$L$2:$M$26,2,FALSE)),E2226,VLOOKUP(E2226,$L$2:$M$26,2,FALSE))</f>
        <v>Utility</v>
      </c>
      <c r="E2226" s="65" t="s">
        <v>1589</v>
      </c>
      <c r="F2226" s="65" t="s">
        <v>238</v>
      </c>
      <c r="G2226" s="65">
        <v>-6</v>
      </c>
      <c r="H2226" s="55">
        <f>YEAR(B2226)*100+MONTH(B2226)</f>
        <v>201609</v>
      </c>
      <c r="I2226" s="55">
        <f>MATCH(D2226,$O:$O,0)</f>
        <v>34</v>
      </c>
      <c r="J2226" s="65" t="s">
        <v>39</v>
      </c>
      <c r="K2226" s="65" t="s">
        <v>1398</v>
      </c>
      <c r="L2226" s="65" t="s">
        <v>723</v>
      </c>
    </row>
    <row r="2227" spans="1:12" x14ac:dyDescent="0.25">
      <c r="A2227" s="65" t="s">
        <v>236</v>
      </c>
      <c r="B2227" s="66">
        <v>42626</v>
      </c>
      <c r="C2227" s="65" t="s">
        <v>1310</v>
      </c>
      <c r="D2227" s="55" t="str">
        <f>IF(ISNA(VLOOKUP(E2227,$L$2:$M$26,2,FALSE)),E2227,VLOOKUP(E2227,$L$2:$M$26,2,FALSE))</f>
        <v>Utility</v>
      </c>
      <c r="E2227" s="65" t="s">
        <v>19</v>
      </c>
      <c r="F2227" s="65" t="s">
        <v>238</v>
      </c>
      <c r="G2227" s="65">
        <v>-62.68</v>
      </c>
      <c r="H2227" s="55">
        <f>YEAR(B2227)*100+MONTH(B2227)</f>
        <v>201609</v>
      </c>
      <c r="I2227" s="55">
        <f>MATCH(D2227,$O:$O,0)</f>
        <v>34</v>
      </c>
      <c r="J2227" s="65" t="s">
        <v>39</v>
      </c>
      <c r="K2227" s="65" t="s">
        <v>803</v>
      </c>
      <c r="L2227" s="65" t="s">
        <v>193</v>
      </c>
    </row>
    <row r="2228" spans="1:12" x14ac:dyDescent="0.25">
      <c r="A2228" s="65" t="s">
        <v>236</v>
      </c>
      <c r="B2228" s="66">
        <v>42633</v>
      </c>
      <c r="C2228" s="65" t="s">
        <v>904</v>
      </c>
      <c r="D2228" s="55" t="str">
        <f>IF(ISNA(VLOOKUP(E2228,$L$2:$M$26,2,FALSE)),E2228,VLOOKUP(E2228,$L$2:$M$26,2,FALSE))</f>
        <v>Utility</v>
      </c>
      <c r="E2228" s="65" t="s">
        <v>19</v>
      </c>
      <c r="F2228" s="65" t="s">
        <v>238</v>
      </c>
      <c r="G2228" s="65">
        <v>-307.8</v>
      </c>
      <c r="H2228" s="55">
        <f>YEAR(B2228)*100+MONTH(B2228)</f>
        <v>201609</v>
      </c>
      <c r="I2228" s="55">
        <f>MATCH(D2228,$O:$O,0)</f>
        <v>34</v>
      </c>
      <c r="J2228" s="65" t="s">
        <v>39</v>
      </c>
      <c r="K2228" s="65" t="s">
        <v>1398</v>
      </c>
      <c r="L2228" s="65" t="s">
        <v>363</v>
      </c>
    </row>
    <row r="2229" spans="1:12" x14ac:dyDescent="0.25">
      <c r="A2229" s="65" t="s">
        <v>236</v>
      </c>
      <c r="B2229" s="66">
        <v>42647</v>
      </c>
      <c r="C2229" s="65" t="s">
        <v>1155</v>
      </c>
      <c r="D2229" s="55" t="str">
        <f>IF(ISNA(VLOOKUP(E2229,$L$2:$M$26,2,FALSE)),E2229,VLOOKUP(E2229,$L$2:$M$26,2,FALSE))</f>
        <v>Car Related</v>
      </c>
      <c r="E2229" s="65" t="s">
        <v>1593</v>
      </c>
      <c r="F2229" s="65" t="s">
        <v>238</v>
      </c>
      <c r="G2229" s="65">
        <v>-321.52</v>
      </c>
      <c r="H2229" s="55">
        <f>YEAR(B2229)*100+MONTH(B2229)</f>
        <v>201610</v>
      </c>
      <c r="I2229" s="55">
        <f>MATCH(D2229,$O:$O,0)</f>
        <v>31</v>
      </c>
      <c r="J2229" s="65" t="s">
        <v>39</v>
      </c>
      <c r="K2229" s="65" t="s">
        <v>675</v>
      </c>
      <c r="L2229" s="65"/>
    </row>
    <row r="2230" spans="1:12" x14ac:dyDescent="0.25">
      <c r="A2230" s="65" t="s">
        <v>236</v>
      </c>
      <c r="B2230" s="66">
        <v>42669</v>
      </c>
      <c r="C2230" s="65" t="s">
        <v>1524</v>
      </c>
      <c r="D2230" s="55" t="str">
        <f>IF(ISNA(VLOOKUP(E2230,$L$2:$M$26,2,FALSE)),E2230,VLOOKUP(E2230,$L$2:$M$26,2,FALSE))</f>
        <v>Car Related</v>
      </c>
      <c r="E2230" s="65" t="s">
        <v>1593</v>
      </c>
      <c r="F2230" s="65" t="s">
        <v>238</v>
      </c>
      <c r="G2230" s="65">
        <v>-438.45</v>
      </c>
      <c r="H2230" s="55">
        <f>YEAR(B2230)*100+MONTH(B2230)</f>
        <v>201610</v>
      </c>
      <c r="I2230" s="55">
        <f>MATCH(D2230,$O:$O,0)</f>
        <v>31</v>
      </c>
      <c r="J2230" s="65" t="s">
        <v>39</v>
      </c>
      <c r="K2230" s="65" t="s">
        <v>803</v>
      </c>
      <c r="L2230" s="65"/>
    </row>
    <row r="2231" spans="1:12" x14ac:dyDescent="0.25">
      <c r="A2231" s="65" t="s">
        <v>236</v>
      </c>
      <c r="B2231" s="66">
        <v>42668</v>
      </c>
      <c r="C2231" s="65" t="s">
        <v>747</v>
      </c>
      <c r="D2231" s="55" t="str">
        <f>IF(ISNA(VLOOKUP(E2231,$L$2:$M$26,2,FALSE)),E2231,VLOOKUP(E2231,$L$2:$M$26,2,FALSE))</f>
        <v>Cell Phone</v>
      </c>
      <c r="E2231" s="65" t="s">
        <v>224</v>
      </c>
      <c r="F2231" s="65" t="s">
        <v>238</v>
      </c>
      <c r="G2231" s="65">
        <v>-139.33000000000001</v>
      </c>
      <c r="H2231" s="55">
        <f>YEAR(B2231)*100+MONTH(B2231)</f>
        <v>201610</v>
      </c>
      <c r="I2231" s="55">
        <f>MATCH(D2231,$O:$O,0)</f>
        <v>4</v>
      </c>
      <c r="J2231" s="65" t="s">
        <v>39</v>
      </c>
      <c r="K2231" s="65" t="s">
        <v>1398</v>
      </c>
      <c r="L2231" s="65" t="s">
        <v>223</v>
      </c>
    </row>
    <row r="2232" spans="1:12" x14ac:dyDescent="0.25">
      <c r="A2232" s="65" t="s">
        <v>236</v>
      </c>
      <c r="B2232" s="66">
        <v>42674</v>
      </c>
      <c r="C2232" s="65" t="s">
        <v>1208</v>
      </c>
      <c r="D2232" s="55" t="str">
        <f>IF(ISNA(VLOOKUP(E2232,$L$2:$M$26,2,FALSE)),E2232,VLOOKUP(E2232,$L$2:$M$26,2,FALSE))</f>
        <v>Cell Phone</v>
      </c>
      <c r="E2232" s="65" t="s">
        <v>224</v>
      </c>
      <c r="F2232" s="65" t="s">
        <v>238</v>
      </c>
      <c r="G2232" s="65">
        <v>-177.2</v>
      </c>
      <c r="H2232" s="55">
        <f>YEAR(B2232)*100+MONTH(B2232)</f>
        <v>201610</v>
      </c>
      <c r="I2232" s="55">
        <f>MATCH(D2232,$O:$O,0)</f>
        <v>4</v>
      </c>
      <c r="J2232" s="65" t="s">
        <v>39</v>
      </c>
      <c r="K2232" s="65" t="s">
        <v>1403</v>
      </c>
      <c r="L2232" s="65" t="s">
        <v>363</v>
      </c>
    </row>
    <row r="2233" spans="1:12" x14ac:dyDescent="0.25">
      <c r="A2233" s="65" t="s">
        <v>236</v>
      </c>
      <c r="B2233" s="66">
        <v>42649</v>
      </c>
      <c r="C2233" s="65" t="s">
        <v>1541</v>
      </c>
      <c r="D2233" s="55" t="str">
        <f>IF(ISNA(VLOOKUP(E2233,$L$2:$M$26,2,FALSE)),E2233,VLOOKUP(E2233,$L$2:$M$26,2,FALSE))</f>
        <v>Charity</v>
      </c>
      <c r="E2233" s="65" t="s">
        <v>1597</v>
      </c>
      <c r="F2233" s="65" t="s">
        <v>238</v>
      </c>
      <c r="G2233" s="65">
        <v>-10</v>
      </c>
      <c r="H2233" s="55">
        <f>YEAR(B2233)*100+MONTH(B2233)</f>
        <v>201610</v>
      </c>
      <c r="I2233" s="55">
        <f>MATCH(D2233,$O:$O,0)</f>
        <v>5</v>
      </c>
      <c r="J2233" s="65" t="s">
        <v>39</v>
      </c>
      <c r="K2233" s="65" t="s">
        <v>1394</v>
      </c>
      <c r="L2233" s="65"/>
    </row>
    <row r="2234" spans="1:12" x14ac:dyDescent="0.25">
      <c r="A2234" s="65" t="s">
        <v>236</v>
      </c>
      <c r="B2234" s="66">
        <v>42657</v>
      </c>
      <c r="C2234" s="65" t="s">
        <v>1424</v>
      </c>
      <c r="D2234" s="55" t="str">
        <f>IF(ISNA(VLOOKUP(E2234,$L$2:$M$26,2,FALSE)),E2234,VLOOKUP(E2234,$L$2:$M$26,2,FALSE))</f>
        <v>Credit Card Payments</v>
      </c>
      <c r="E2234" s="65" t="s">
        <v>242</v>
      </c>
      <c r="F2234" s="65" t="s">
        <v>238</v>
      </c>
      <c r="G2234" s="67">
        <v>2253.4499999999998</v>
      </c>
      <c r="H2234" s="55">
        <f>YEAR(B2234)*100+MONTH(B2234)</f>
        <v>201610</v>
      </c>
      <c r="I2234" s="55">
        <f>MATCH(D2234,$O:$O,0)</f>
        <v>38</v>
      </c>
      <c r="J2234" s="65" t="s">
        <v>39</v>
      </c>
      <c r="K2234" s="65" t="s">
        <v>1394</v>
      </c>
      <c r="L2234" s="65"/>
    </row>
    <row r="2235" spans="1:12" x14ac:dyDescent="0.25">
      <c r="A2235" s="65" t="s">
        <v>236</v>
      </c>
      <c r="B2235" s="66">
        <v>42660</v>
      </c>
      <c r="C2235" s="65" t="s">
        <v>1529</v>
      </c>
      <c r="D2235" s="55" t="str">
        <f>IF(ISNA(VLOOKUP(E2235,$L$2:$M$26,2,FALSE)),E2235,VLOOKUP(E2235,$L$2:$M$26,2,FALSE))</f>
        <v>Credit Card Payments</v>
      </c>
      <c r="E2235" s="65" t="s">
        <v>242</v>
      </c>
      <c r="F2235" s="65" t="s">
        <v>238</v>
      </c>
      <c r="G2235" s="67">
        <v>-2253.4499999999998</v>
      </c>
      <c r="H2235" s="55">
        <f>YEAR(B2235)*100+MONTH(B2235)</f>
        <v>201610</v>
      </c>
      <c r="I2235" s="55">
        <f>MATCH(D2235,$O:$O,0)</f>
        <v>38</v>
      </c>
      <c r="J2235" s="65" t="s">
        <v>39</v>
      </c>
      <c r="K2235" s="65" t="s">
        <v>803</v>
      </c>
      <c r="L2235" s="65" t="s">
        <v>1421</v>
      </c>
    </row>
    <row r="2236" spans="1:12" x14ac:dyDescent="0.25">
      <c r="A2236" s="65" t="s">
        <v>236</v>
      </c>
      <c r="B2236" s="66">
        <v>42650</v>
      </c>
      <c r="C2236" s="65" t="s">
        <v>1538</v>
      </c>
      <c r="D2236" s="55" t="str">
        <f>IF(ISNA(VLOOKUP(E2236,$L$2:$M$26,2,FALSE)),E2236,VLOOKUP(E2236,$L$2:$M$26,2,FALSE))</f>
        <v>D-Coffee</v>
      </c>
      <c r="E2236" s="65" t="s">
        <v>1599</v>
      </c>
      <c r="F2236" s="65" t="s">
        <v>238</v>
      </c>
      <c r="G2236" s="65">
        <v>-7</v>
      </c>
      <c r="H2236" s="55">
        <f>YEAR(B2236)*100+MONTH(B2236)</f>
        <v>201610</v>
      </c>
      <c r="I2236" s="55">
        <f>MATCH(D2236,$O:$O,0)</f>
        <v>7</v>
      </c>
      <c r="J2236" s="65" t="s">
        <v>39</v>
      </c>
      <c r="K2236" s="65" t="s">
        <v>1394</v>
      </c>
      <c r="L2236" s="65" t="s">
        <v>1539</v>
      </c>
    </row>
    <row r="2237" spans="1:12" x14ac:dyDescent="0.25">
      <c r="A2237" s="65" t="s">
        <v>236</v>
      </c>
      <c r="B2237" s="66">
        <v>42655</v>
      </c>
      <c r="C2237" s="65" t="s">
        <v>650</v>
      </c>
      <c r="D2237" s="55" t="str">
        <f>IF(ISNA(VLOOKUP(E2237,$L$2:$M$26,2,FALSE)),E2237,VLOOKUP(E2237,$L$2:$M$26,2,FALSE))</f>
        <v>D-Coffee</v>
      </c>
      <c r="E2237" s="65" t="s">
        <v>215</v>
      </c>
      <c r="F2237" s="65" t="s">
        <v>238</v>
      </c>
      <c r="G2237" s="65">
        <v>-25</v>
      </c>
      <c r="H2237" s="55">
        <f>YEAR(B2237)*100+MONTH(B2237)</f>
        <v>201610</v>
      </c>
      <c r="I2237" s="55">
        <f>MATCH(D2237,$O:$O,0)</f>
        <v>7</v>
      </c>
      <c r="J2237" s="65" t="s">
        <v>39</v>
      </c>
      <c r="K2237" s="65" t="s">
        <v>1398</v>
      </c>
      <c r="L2237" s="65"/>
    </row>
    <row r="2238" spans="1:12" x14ac:dyDescent="0.25">
      <c r="A2238" s="65" t="s">
        <v>236</v>
      </c>
      <c r="B2238" s="66">
        <v>42648</v>
      </c>
      <c r="C2238" s="65" t="s">
        <v>1543</v>
      </c>
      <c r="D2238" s="55" t="str">
        <f>IF(ISNA(VLOOKUP(E2238,$L$2:$M$26,2,FALSE)),E2238,VLOOKUP(E2238,$L$2:$M$26,2,FALSE))</f>
        <v>D-Restaurant</v>
      </c>
      <c r="E2238" s="65" t="s">
        <v>204</v>
      </c>
      <c r="F2238" s="65" t="s">
        <v>238</v>
      </c>
      <c r="G2238" s="65">
        <v>-5.88</v>
      </c>
      <c r="H2238" s="55">
        <f>YEAR(B2238)*100+MONTH(B2238)</f>
        <v>201610</v>
      </c>
      <c r="I2238" s="55">
        <f>MATCH(D2238,$O:$O,0)</f>
        <v>9</v>
      </c>
      <c r="J2238" s="65" t="s">
        <v>39</v>
      </c>
      <c r="K2238" s="65" t="s">
        <v>1394</v>
      </c>
      <c r="L2238" s="65" t="s">
        <v>804</v>
      </c>
    </row>
    <row r="2239" spans="1:12" x14ac:dyDescent="0.25">
      <c r="A2239" s="65" t="s">
        <v>236</v>
      </c>
      <c r="B2239" s="66">
        <v>42652</v>
      </c>
      <c r="C2239" s="65" t="s">
        <v>1348</v>
      </c>
      <c r="D2239" s="55" t="str">
        <f>IF(ISNA(VLOOKUP(E2239,$L$2:$M$26,2,FALSE)),E2239,VLOOKUP(E2239,$L$2:$M$26,2,FALSE))</f>
        <v>Gas</v>
      </c>
      <c r="E2239" s="65" t="s">
        <v>311</v>
      </c>
      <c r="F2239" s="65" t="s">
        <v>238</v>
      </c>
      <c r="G2239" s="65">
        <v>-32.53</v>
      </c>
      <c r="H2239" s="55">
        <f>YEAR(B2239)*100+MONTH(B2239)</f>
        <v>201610</v>
      </c>
      <c r="I2239" s="55">
        <f>MATCH(D2239,$O:$O,0)</f>
        <v>30</v>
      </c>
      <c r="J2239" s="65" t="s">
        <v>39</v>
      </c>
      <c r="K2239" s="65" t="s">
        <v>1394</v>
      </c>
      <c r="L2239" s="65" t="s">
        <v>310</v>
      </c>
    </row>
    <row r="2240" spans="1:12" x14ac:dyDescent="0.25">
      <c r="A2240" s="65" t="s">
        <v>236</v>
      </c>
      <c r="B2240" s="66">
        <v>42673</v>
      </c>
      <c r="C2240" s="65" t="s">
        <v>1348</v>
      </c>
      <c r="D2240" s="55" t="str">
        <f>IF(ISNA(VLOOKUP(E2240,$L$2:$M$26,2,FALSE)),E2240,VLOOKUP(E2240,$L$2:$M$26,2,FALSE))</f>
        <v>Gas</v>
      </c>
      <c r="E2240" s="65" t="s">
        <v>311</v>
      </c>
      <c r="F2240" s="65" t="s">
        <v>238</v>
      </c>
      <c r="G2240" s="65">
        <v>-25.33</v>
      </c>
      <c r="H2240" s="55">
        <f>YEAR(B2240)*100+MONTH(B2240)</f>
        <v>201610</v>
      </c>
      <c r="I2240" s="55">
        <f>MATCH(D2240,$O:$O,0)</f>
        <v>30</v>
      </c>
      <c r="J2240" s="65" t="s">
        <v>39</v>
      </c>
      <c r="K2240" s="65" t="s">
        <v>1394</v>
      </c>
      <c r="L2240" s="65" t="s">
        <v>310</v>
      </c>
    </row>
    <row r="2241" spans="1:12" x14ac:dyDescent="0.25">
      <c r="A2241" s="65" t="s">
        <v>236</v>
      </c>
      <c r="B2241" s="66">
        <v>42661</v>
      </c>
      <c r="C2241" s="65" t="s">
        <v>1027</v>
      </c>
      <c r="D2241" s="55" t="str">
        <f>IF(ISNA(VLOOKUP(E2241,$L$2:$M$26,2,FALSE)),E2241,VLOOKUP(E2241,$L$2:$M$26,2,FALSE))</f>
        <v>Gifts</v>
      </c>
      <c r="E2241" s="65" t="s">
        <v>1591</v>
      </c>
      <c r="F2241" s="65" t="s">
        <v>238</v>
      </c>
      <c r="G2241" s="65">
        <v>-39.99</v>
      </c>
      <c r="H2241" s="55">
        <f>YEAR(B2241)*100+MONTH(B2241)</f>
        <v>201610</v>
      </c>
      <c r="I2241" s="55">
        <f>MATCH(D2241,$O:$O,0)</f>
        <v>11</v>
      </c>
      <c r="J2241" s="65" t="s">
        <v>39</v>
      </c>
      <c r="K2241" s="65" t="s">
        <v>1398</v>
      </c>
      <c r="L2241" s="65" t="s">
        <v>723</v>
      </c>
    </row>
    <row r="2242" spans="1:12" x14ac:dyDescent="0.25">
      <c r="A2242" s="65" t="s">
        <v>236</v>
      </c>
      <c r="B2242" s="66">
        <v>42674</v>
      </c>
      <c r="C2242" s="65" t="s">
        <v>1521</v>
      </c>
      <c r="D2242" s="55" t="str">
        <f>IF(ISNA(VLOOKUP(E2242,$L$2:$M$26,2,FALSE)),E2242,VLOOKUP(E2242,$L$2:$M$26,2,FALSE))</f>
        <v>Gifts</v>
      </c>
      <c r="E2242" s="65" t="s">
        <v>1591</v>
      </c>
      <c r="F2242" s="65" t="s">
        <v>238</v>
      </c>
      <c r="G2242" s="65">
        <v>200</v>
      </c>
      <c r="H2242" s="55">
        <f>YEAR(B2242)*100+MONTH(B2242)</f>
        <v>201610</v>
      </c>
      <c r="I2242" s="55">
        <f>MATCH(D2242,$O:$O,0)</f>
        <v>11</v>
      </c>
      <c r="J2242" s="65" t="s">
        <v>39</v>
      </c>
      <c r="K2242" s="65" t="s">
        <v>803</v>
      </c>
      <c r="L2242" s="65" t="s">
        <v>1028</v>
      </c>
    </row>
    <row r="2243" spans="1:12" x14ac:dyDescent="0.25">
      <c r="A2243" s="65" t="s">
        <v>236</v>
      </c>
      <c r="B2243" s="66">
        <v>42644</v>
      </c>
      <c r="C2243" s="65" t="s">
        <v>1350</v>
      </c>
      <c r="D2243" s="55" t="str">
        <f>IF(ISNA(VLOOKUP(E2243,$L$2:$M$26,2,FALSE)),E2243,VLOOKUP(E2243,$L$2:$M$26,2,FALSE))</f>
        <v>Grocery</v>
      </c>
      <c r="E2243" s="65" t="s">
        <v>385</v>
      </c>
      <c r="F2243" s="65" t="s">
        <v>238</v>
      </c>
      <c r="G2243" s="65">
        <v>-53.05</v>
      </c>
      <c r="H2243" s="55">
        <f>YEAR(B2243)*100+MONTH(B2243)</f>
        <v>201610</v>
      </c>
      <c r="I2243" s="55">
        <f>MATCH(D2243,$O:$O,0)</f>
        <v>12</v>
      </c>
      <c r="J2243" s="65" t="s">
        <v>39</v>
      </c>
      <c r="K2243" s="65" t="s">
        <v>1394</v>
      </c>
      <c r="L2243" s="65" t="s">
        <v>239</v>
      </c>
    </row>
    <row r="2244" spans="1:12" x14ac:dyDescent="0.25">
      <c r="A2244" s="65" t="s">
        <v>236</v>
      </c>
      <c r="B2244" s="66">
        <v>42645</v>
      </c>
      <c r="C2244" s="65" t="s">
        <v>1350</v>
      </c>
      <c r="D2244" s="55" t="str">
        <f>IF(ISNA(VLOOKUP(E2244,$L$2:$M$26,2,FALSE)),E2244,VLOOKUP(E2244,$L$2:$M$26,2,FALSE))</f>
        <v>Grocery</v>
      </c>
      <c r="E2244" s="65" t="s">
        <v>385</v>
      </c>
      <c r="F2244" s="65" t="s">
        <v>238</v>
      </c>
      <c r="G2244" s="65">
        <v>-641.04</v>
      </c>
      <c r="H2244" s="55">
        <f>YEAR(B2244)*100+MONTH(B2244)</f>
        <v>201610</v>
      </c>
      <c r="I2244" s="55">
        <f>MATCH(D2244,$O:$O,0)</f>
        <v>12</v>
      </c>
      <c r="J2244" s="65" t="s">
        <v>39</v>
      </c>
      <c r="K2244" s="65" t="s">
        <v>1394</v>
      </c>
      <c r="L2244" s="65" t="s">
        <v>193</v>
      </c>
    </row>
    <row r="2245" spans="1:12" x14ac:dyDescent="0.25">
      <c r="A2245" s="65" t="s">
        <v>236</v>
      </c>
      <c r="B2245" s="66">
        <v>42646</v>
      </c>
      <c r="C2245" s="65" t="s">
        <v>1350</v>
      </c>
      <c r="D2245" s="55" t="str">
        <f>IF(ISNA(VLOOKUP(E2245,$L$2:$M$26,2,FALSE)),E2245,VLOOKUP(E2245,$L$2:$M$26,2,FALSE))</f>
        <v>Grocery</v>
      </c>
      <c r="E2245" s="65" t="s">
        <v>385</v>
      </c>
      <c r="F2245" s="65" t="s">
        <v>238</v>
      </c>
      <c r="G2245" s="65">
        <v>87.59</v>
      </c>
      <c r="H2245" s="55">
        <f>YEAR(B2245)*100+MONTH(B2245)</f>
        <v>201610</v>
      </c>
      <c r="I2245" s="55">
        <f>MATCH(D2245,$O:$O,0)</f>
        <v>12</v>
      </c>
      <c r="J2245" s="65" t="s">
        <v>39</v>
      </c>
      <c r="K2245" s="65" t="s">
        <v>1394</v>
      </c>
      <c r="L2245" s="65" t="s">
        <v>193</v>
      </c>
    </row>
    <row r="2246" spans="1:12" x14ac:dyDescent="0.25">
      <c r="A2246" s="65" t="s">
        <v>236</v>
      </c>
      <c r="B2246" s="66">
        <v>42651</v>
      </c>
      <c r="C2246" s="65" t="s">
        <v>1535</v>
      </c>
      <c r="D2246" s="55" t="str">
        <f>IF(ISNA(VLOOKUP(E2246,$L$2:$M$26,2,FALSE)),E2246,VLOOKUP(E2246,$L$2:$M$26,2,FALSE))</f>
        <v>Grocery</v>
      </c>
      <c r="E2246" s="65" t="s">
        <v>192</v>
      </c>
      <c r="F2246" s="65" t="s">
        <v>238</v>
      </c>
      <c r="G2246" s="65">
        <v>-5.22</v>
      </c>
      <c r="H2246" s="55">
        <f>YEAR(B2246)*100+MONTH(B2246)</f>
        <v>201610</v>
      </c>
      <c r="I2246" s="55">
        <f>MATCH(D2246,$O:$O,0)</f>
        <v>12</v>
      </c>
      <c r="J2246" s="65" t="s">
        <v>39</v>
      </c>
      <c r="K2246" s="65" t="s">
        <v>1394</v>
      </c>
      <c r="L2246" s="65" t="s">
        <v>193</v>
      </c>
    </row>
    <row r="2247" spans="1:12" x14ac:dyDescent="0.25">
      <c r="A2247" s="65" t="s">
        <v>236</v>
      </c>
      <c r="B2247" s="66">
        <v>42652</v>
      </c>
      <c r="C2247" s="65" t="s">
        <v>1395</v>
      </c>
      <c r="D2247" s="55" t="str">
        <f>IF(ISNA(VLOOKUP(E2247,$L$2:$M$26,2,FALSE)),E2247,VLOOKUP(E2247,$L$2:$M$26,2,FALSE))</f>
        <v>Grocery</v>
      </c>
      <c r="E2247" s="65" t="s">
        <v>192</v>
      </c>
      <c r="F2247" s="65" t="s">
        <v>238</v>
      </c>
      <c r="G2247" s="65">
        <v>-6.2</v>
      </c>
      <c r="H2247" s="55">
        <f>YEAR(B2247)*100+MONTH(B2247)</f>
        <v>201610</v>
      </c>
      <c r="I2247" s="55">
        <f>MATCH(D2247,$O:$O,0)</f>
        <v>12</v>
      </c>
      <c r="J2247" s="65" t="s">
        <v>39</v>
      </c>
      <c r="K2247" s="65" t="s">
        <v>1394</v>
      </c>
      <c r="L2247" s="65" t="s">
        <v>1536</v>
      </c>
    </row>
    <row r="2248" spans="1:12" x14ac:dyDescent="0.25">
      <c r="A2248" s="65" t="s">
        <v>236</v>
      </c>
      <c r="B2248" s="66">
        <v>42655</v>
      </c>
      <c r="C2248" s="65" t="s">
        <v>1515</v>
      </c>
      <c r="D2248" s="55" t="str">
        <f>IF(ISNA(VLOOKUP(E2248,$L$2:$M$26,2,FALSE)),E2248,VLOOKUP(E2248,$L$2:$M$26,2,FALSE))</f>
        <v>Grocery</v>
      </c>
      <c r="E2248" s="65" t="s">
        <v>1586</v>
      </c>
      <c r="F2248" s="65" t="s">
        <v>238</v>
      </c>
      <c r="G2248" s="65">
        <v>-10.89</v>
      </c>
      <c r="H2248" s="55">
        <f>YEAR(B2248)*100+MONTH(B2248)</f>
        <v>201610</v>
      </c>
      <c r="I2248" s="55">
        <f>MATCH(D2248,$O:$O,0)</f>
        <v>12</v>
      </c>
      <c r="J2248" s="65" t="s">
        <v>39</v>
      </c>
      <c r="K2248" s="65" t="s">
        <v>1394</v>
      </c>
      <c r="L2248" s="65" t="s">
        <v>252</v>
      </c>
    </row>
    <row r="2249" spans="1:12" x14ac:dyDescent="0.25">
      <c r="A2249" s="65" t="s">
        <v>236</v>
      </c>
      <c r="B2249" s="66">
        <v>42657</v>
      </c>
      <c r="C2249" s="65" t="s">
        <v>1515</v>
      </c>
      <c r="D2249" s="55" t="str">
        <f>IF(ISNA(VLOOKUP(E2249,$L$2:$M$26,2,FALSE)),E2249,VLOOKUP(E2249,$L$2:$M$26,2,FALSE))</f>
        <v>Grocery</v>
      </c>
      <c r="E2249" s="65" t="s">
        <v>1586</v>
      </c>
      <c r="F2249" s="65" t="s">
        <v>238</v>
      </c>
      <c r="G2249" s="65">
        <v>-10.89</v>
      </c>
      <c r="H2249" s="55">
        <f>YEAR(B2249)*100+MONTH(B2249)</f>
        <v>201610</v>
      </c>
      <c r="I2249" s="55">
        <f>MATCH(D2249,$O:$O,0)</f>
        <v>12</v>
      </c>
      <c r="J2249" s="65" t="s">
        <v>39</v>
      </c>
      <c r="K2249" s="65" t="s">
        <v>1394</v>
      </c>
      <c r="L2249" s="65" t="s">
        <v>326</v>
      </c>
    </row>
    <row r="2250" spans="1:12" x14ac:dyDescent="0.25">
      <c r="A2250" s="65" t="s">
        <v>236</v>
      </c>
      <c r="B2250" s="66">
        <v>42673</v>
      </c>
      <c r="C2250" s="65" t="s">
        <v>1350</v>
      </c>
      <c r="D2250" s="55" t="str">
        <f>IF(ISNA(VLOOKUP(E2250,$L$2:$M$26,2,FALSE)),E2250,VLOOKUP(E2250,$L$2:$M$26,2,FALSE))</f>
        <v>Grocery</v>
      </c>
      <c r="E2250" s="65" t="s">
        <v>385</v>
      </c>
      <c r="F2250" s="65" t="s">
        <v>238</v>
      </c>
      <c r="G2250" s="65">
        <v>-14.22</v>
      </c>
      <c r="H2250" s="55">
        <f>YEAR(B2250)*100+MONTH(B2250)</f>
        <v>201610</v>
      </c>
      <c r="I2250" s="55">
        <f>MATCH(D2250,$O:$O,0)</f>
        <v>12</v>
      </c>
      <c r="J2250" s="65" t="s">
        <v>39</v>
      </c>
      <c r="K2250" s="65" t="s">
        <v>1394</v>
      </c>
      <c r="L2250" s="65" t="s">
        <v>326</v>
      </c>
    </row>
    <row r="2251" spans="1:12" x14ac:dyDescent="0.25">
      <c r="A2251" s="65" t="s">
        <v>236</v>
      </c>
      <c r="B2251" s="66">
        <v>42674</v>
      </c>
      <c r="C2251" s="65" t="s">
        <v>1395</v>
      </c>
      <c r="D2251" s="55" t="str">
        <f>IF(ISNA(VLOOKUP(E2251,$L$2:$M$26,2,FALSE)),E2251,VLOOKUP(E2251,$L$2:$M$26,2,FALSE))</f>
        <v>Grocery</v>
      </c>
      <c r="E2251" s="65" t="s">
        <v>192</v>
      </c>
      <c r="F2251" s="65" t="s">
        <v>238</v>
      </c>
      <c r="G2251" s="65">
        <v>-9.7899999999999991</v>
      </c>
      <c r="H2251" s="55">
        <f>YEAR(B2251)*100+MONTH(B2251)</f>
        <v>201610</v>
      </c>
      <c r="I2251" s="55">
        <f>MATCH(D2251,$O:$O,0)</f>
        <v>12</v>
      </c>
      <c r="J2251" s="65" t="s">
        <v>39</v>
      </c>
      <c r="K2251" s="65" t="s">
        <v>1394</v>
      </c>
      <c r="L2251" s="65" t="s">
        <v>193</v>
      </c>
    </row>
    <row r="2252" spans="1:12" x14ac:dyDescent="0.25">
      <c r="A2252" s="65" t="s">
        <v>236</v>
      </c>
      <c r="B2252" s="66">
        <v>42674</v>
      </c>
      <c r="C2252" s="65" t="s">
        <v>648</v>
      </c>
      <c r="D2252" s="55" t="str">
        <f>IF(ISNA(VLOOKUP(E2252,$L$2:$M$26,2,FALSE)),E2252,VLOOKUP(E2252,$L$2:$M$26,2,FALSE))</f>
        <v>Grocery</v>
      </c>
      <c r="E2252" s="65" t="s">
        <v>1586</v>
      </c>
      <c r="F2252" s="65" t="s">
        <v>238</v>
      </c>
      <c r="G2252" s="65">
        <v>-14.16</v>
      </c>
      <c r="H2252" s="55">
        <f>YEAR(B2252)*100+MONTH(B2252)</f>
        <v>201610</v>
      </c>
      <c r="I2252" s="55">
        <f>MATCH(D2252,$O:$O,0)</f>
        <v>12</v>
      </c>
      <c r="J2252" s="65" t="s">
        <v>39</v>
      </c>
      <c r="K2252" s="65" t="s">
        <v>1398</v>
      </c>
      <c r="L2252" s="65" t="s">
        <v>252</v>
      </c>
    </row>
    <row r="2253" spans="1:12" x14ac:dyDescent="0.25">
      <c r="A2253" s="65" t="s">
        <v>236</v>
      </c>
      <c r="B2253" s="66">
        <v>42667</v>
      </c>
      <c r="C2253" s="65" t="s">
        <v>1447</v>
      </c>
      <c r="D2253" s="55" t="str">
        <f>IF(ISNA(VLOOKUP(E2253,$L$2:$M$26,2,FALSE)),E2253,VLOOKUP(E2253,$L$2:$M$26,2,FALSE))</f>
        <v>Health Care</v>
      </c>
      <c r="E2253" s="65" t="s">
        <v>1604</v>
      </c>
      <c r="F2253" s="65" t="s">
        <v>238</v>
      </c>
      <c r="G2253" s="67">
        <v>-1284.43</v>
      </c>
      <c r="H2253" s="55">
        <f>YEAR(B2253)*100+MONTH(B2253)</f>
        <v>201610</v>
      </c>
      <c r="I2253" s="55">
        <f>MATCH(D2253,$O:$O,0)</f>
        <v>14</v>
      </c>
      <c r="J2253" s="65" t="s">
        <v>39</v>
      </c>
      <c r="K2253" s="65" t="s">
        <v>803</v>
      </c>
      <c r="L2253" s="65" t="s">
        <v>326</v>
      </c>
    </row>
    <row r="2254" spans="1:12" x14ac:dyDescent="0.25">
      <c r="A2254" s="65" t="s">
        <v>236</v>
      </c>
      <c r="B2254" s="66">
        <v>42673</v>
      </c>
      <c r="C2254" s="65" t="s">
        <v>1522</v>
      </c>
      <c r="D2254" s="55" t="str">
        <f>IF(ISNA(VLOOKUP(E2254,$L$2:$M$26,2,FALSE)),E2254,VLOOKUP(E2254,$L$2:$M$26,2,FALSE))</f>
        <v>Health Care</v>
      </c>
      <c r="E2254" s="65" t="s">
        <v>1604</v>
      </c>
      <c r="F2254" s="65" t="s">
        <v>238</v>
      </c>
      <c r="G2254" s="65">
        <v>-13.07</v>
      </c>
      <c r="H2254" s="55">
        <f>YEAR(B2254)*100+MONTH(B2254)</f>
        <v>201610</v>
      </c>
      <c r="I2254" s="55">
        <f>MATCH(D2254,$O:$O,0)</f>
        <v>14</v>
      </c>
      <c r="J2254" s="65" t="s">
        <v>39</v>
      </c>
      <c r="K2254" s="65" t="s">
        <v>1394</v>
      </c>
      <c r="L2254" s="65" t="s">
        <v>339</v>
      </c>
    </row>
    <row r="2255" spans="1:12" x14ac:dyDescent="0.25">
      <c r="A2255" s="65" t="s">
        <v>236</v>
      </c>
      <c r="B2255" s="66">
        <v>42647</v>
      </c>
      <c r="C2255" s="65" t="s">
        <v>1544</v>
      </c>
      <c r="D2255" s="55" t="str">
        <f>IF(ISNA(VLOOKUP(E2255,$L$2:$M$26,2,FALSE)),E2255,VLOOKUP(E2255,$L$2:$M$26,2,FALSE))</f>
        <v>Home Maintainence/Improvement</v>
      </c>
      <c r="E2255" s="65" t="s">
        <v>342</v>
      </c>
      <c r="F2255" s="65" t="s">
        <v>238</v>
      </c>
      <c r="G2255" s="65">
        <v>-796.2</v>
      </c>
      <c r="H2255" s="55">
        <f>YEAR(B2255)*100+MONTH(B2255)</f>
        <v>201610</v>
      </c>
      <c r="I2255" s="55">
        <f>MATCH(D2255,$O:$O,0)</f>
        <v>16</v>
      </c>
      <c r="J2255" s="65" t="s">
        <v>39</v>
      </c>
      <c r="K2255" s="65" t="s">
        <v>1394</v>
      </c>
      <c r="L2255" s="65" t="s">
        <v>1523</v>
      </c>
    </row>
    <row r="2256" spans="1:12" x14ac:dyDescent="0.25">
      <c r="A2256" s="65" t="s">
        <v>236</v>
      </c>
      <c r="B2256" s="66">
        <v>42651</v>
      </c>
      <c r="C2256" s="65" t="s">
        <v>1511</v>
      </c>
      <c r="D2256" s="55" t="str">
        <f>IF(ISNA(VLOOKUP(E2256,$L$2:$M$26,2,FALSE)),E2256,VLOOKUP(E2256,$L$2:$M$26,2,FALSE))</f>
        <v>Home Maintainence/Improvement</v>
      </c>
      <c r="E2256" s="65" t="s">
        <v>342</v>
      </c>
      <c r="F2256" s="65" t="s">
        <v>238</v>
      </c>
      <c r="G2256" s="65">
        <v>-1.99</v>
      </c>
      <c r="H2256" s="55">
        <f>YEAR(B2256)*100+MONTH(B2256)</f>
        <v>201610</v>
      </c>
      <c r="I2256" s="55">
        <f>MATCH(D2256,$O:$O,0)</f>
        <v>16</v>
      </c>
      <c r="J2256" s="65" t="s">
        <v>39</v>
      </c>
      <c r="K2256" s="65" t="s">
        <v>1394</v>
      </c>
      <c r="L2256" s="65" t="s">
        <v>1545</v>
      </c>
    </row>
    <row r="2257" spans="1:12" x14ac:dyDescent="0.25">
      <c r="A2257" s="65" t="s">
        <v>236</v>
      </c>
      <c r="B2257" s="66">
        <v>42652</v>
      </c>
      <c r="C2257" s="65" t="s">
        <v>1532</v>
      </c>
      <c r="D2257" s="55" t="str">
        <f>IF(ISNA(VLOOKUP(E2257,$L$2:$M$26,2,FALSE)),E2257,VLOOKUP(E2257,$L$2:$M$26,2,FALSE))</f>
        <v>Home Maintainence/Improvement</v>
      </c>
      <c r="E2257" s="65" t="s">
        <v>342</v>
      </c>
      <c r="F2257" s="65" t="s">
        <v>238</v>
      </c>
      <c r="G2257" s="65">
        <v>-7.62</v>
      </c>
      <c r="H2257" s="55">
        <f>YEAR(B2257)*100+MONTH(B2257)</f>
        <v>201610</v>
      </c>
      <c r="I2257" s="55">
        <f>MATCH(D2257,$O:$O,0)</f>
        <v>16</v>
      </c>
      <c r="J2257" s="65" t="s">
        <v>39</v>
      </c>
      <c r="K2257" s="65" t="s">
        <v>1394</v>
      </c>
      <c r="L2257" s="65" t="s">
        <v>1501</v>
      </c>
    </row>
    <row r="2258" spans="1:12" x14ac:dyDescent="0.25">
      <c r="A2258" s="65" t="s">
        <v>236</v>
      </c>
      <c r="B2258" s="66">
        <v>42672</v>
      </c>
      <c r="C2258" s="65" t="s">
        <v>1500</v>
      </c>
      <c r="D2258" s="55" t="str">
        <f>IF(ISNA(VLOOKUP(E2258,$L$2:$M$26,2,FALSE)),E2258,VLOOKUP(E2258,$L$2:$M$26,2,FALSE))</f>
        <v>Home Maintainence/Improvement</v>
      </c>
      <c r="E2258" s="65" t="s">
        <v>342</v>
      </c>
      <c r="F2258" s="65" t="s">
        <v>238</v>
      </c>
      <c r="G2258" s="65">
        <v>-12.3</v>
      </c>
      <c r="H2258" s="55">
        <f>YEAR(B2258)*100+MONTH(B2258)</f>
        <v>201610</v>
      </c>
      <c r="I2258" s="55">
        <f>MATCH(D2258,$O:$O,0)</f>
        <v>16</v>
      </c>
      <c r="J2258" s="65" t="s">
        <v>39</v>
      </c>
      <c r="K2258" s="65" t="s">
        <v>1398</v>
      </c>
      <c r="L2258" s="65" t="s">
        <v>1533</v>
      </c>
    </row>
    <row r="2259" spans="1:12" x14ac:dyDescent="0.25">
      <c r="A2259" s="65" t="s">
        <v>236</v>
      </c>
      <c r="B2259" s="66">
        <v>42672</v>
      </c>
      <c r="C2259" s="65" t="s">
        <v>1500</v>
      </c>
      <c r="D2259" s="55" t="str">
        <f>IF(ISNA(VLOOKUP(E2259,$L$2:$M$26,2,FALSE)),E2259,VLOOKUP(E2259,$L$2:$M$26,2,FALSE))</f>
        <v>Home Maintainence/Improvement</v>
      </c>
      <c r="E2259" s="65" t="s">
        <v>342</v>
      </c>
      <c r="F2259" s="65" t="s">
        <v>238</v>
      </c>
      <c r="G2259" s="65">
        <v>-4.3499999999999996</v>
      </c>
      <c r="H2259" s="55">
        <f>YEAR(B2259)*100+MONTH(B2259)</f>
        <v>201610</v>
      </c>
      <c r="I2259" s="55">
        <f>MATCH(D2259,$O:$O,0)</f>
        <v>16</v>
      </c>
      <c r="J2259" s="65" t="s">
        <v>39</v>
      </c>
      <c r="K2259" s="65" t="s">
        <v>1398</v>
      </c>
      <c r="L2259" s="65" t="s">
        <v>1501</v>
      </c>
    </row>
    <row r="2260" spans="1:12" x14ac:dyDescent="0.25">
      <c r="A2260" s="65" t="s">
        <v>236</v>
      </c>
      <c r="B2260" s="66">
        <v>42656</v>
      </c>
      <c r="C2260" s="65" t="s">
        <v>412</v>
      </c>
      <c r="D2260" s="55" t="str">
        <f>IF(ISNA(VLOOKUP(E2260,$L$2:$M$26,2,FALSE)),E2260,VLOOKUP(E2260,$L$2:$M$26,2,FALSE))</f>
        <v>Interest</v>
      </c>
      <c r="E2260" s="65" t="s">
        <v>200</v>
      </c>
      <c r="F2260" s="65" t="s">
        <v>238</v>
      </c>
      <c r="G2260" s="65">
        <v>0.24</v>
      </c>
      <c r="H2260" s="55">
        <f>YEAR(B2260)*100+MONTH(B2260)</f>
        <v>201610</v>
      </c>
      <c r="I2260" s="55" t="e">
        <f>MATCH(D2260,$O:$O,0)</f>
        <v>#N/A</v>
      </c>
      <c r="J2260" s="65" t="s">
        <v>39</v>
      </c>
      <c r="K2260" s="65" t="s">
        <v>803</v>
      </c>
      <c r="L2260" s="65" t="s">
        <v>1501</v>
      </c>
    </row>
    <row r="2261" spans="1:12" x14ac:dyDescent="0.25">
      <c r="A2261" s="65" t="s">
        <v>236</v>
      </c>
      <c r="B2261" s="66">
        <v>42656</v>
      </c>
      <c r="C2261" s="65" t="s">
        <v>412</v>
      </c>
      <c r="D2261" s="55" t="str">
        <f>IF(ISNA(VLOOKUP(E2261,$L$2:$M$26,2,FALSE)),E2261,VLOOKUP(E2261,$L$2:$M$26,2,FALSE))</f>
        <v>Interest</v>
      </c>
      <c r="E2261" s="65" t="s">
        <v>200</v>
      </c>
      <c r="F2261" s="65" t="s">
        <v>238</v>
      </c>
      <c r="G2261" s="65">
        <v>0.2</v>
      </c>
      <c r="H2261" s="55">
        <f>YEAR(B2261)*100+MONTH(B2261)</f>
        <v>201610</v>
      </c>
      <c r="I2261" s="55" t="e">
        <f>MATCH(D2261,$O:$O,0)</f>
        <v>#N/A</v>
      </c>
      <c r="J2261" s="65" t="s">
        <v>39</v>
      </c>
      <c r="K2261" s="65" t="s">
        <v>628</v>
      </c>
      <c r="L2261" s="65" t="s">
        <v>200</v>
      </c>
    </row>
    <row r="2262" spans="1:12" x14ac:dyDescent="0.25">
      <c r="A2262" s="65" t="s">
        <v>236</v>
      </c>
      <c r="B2262" s="66">
        <v>42656</v>
      </c>
      <c r="C2262" s="65" t="s">
        <v>412</v>
      </c>
      <c r="D2262" s="55" t="str">
        <f>IF(ISNA(VLOOKUP(E2262,$L$2:$M$26,2,FALSE)),E2262,VLOOKUP(E2262,$L$2:$M$26,2,FALSE))</f>
        <v>Interest</v>
      </c>
      <c r="E2262" s="65" t="s">
        <v>200</v>
      </c>
      <c r="F2262" s="65" t="s">
        <v>238</v>
      </c>
      <c r="G2262" s="65">
        <v>0.14000000000000001</v>
      </c>
      <c r="H2262" s="55">
        <f>YEAR(B2262)*100+MONTH(B2262)</f>
        <v>201610</v>
      </c>
      <c r="I2262" s="55" t="e">
        <f>MATCH(D2262,$O:$O,0)</f>
        <v>#N/A</v>
      </c>
      <c r="J2262" s="65" t="s">
        <v>39</v>
      </c>
      <c r="K2262" s="65" t="s">
        <v>676</v>
      </c>
      <c r="L2262" s="65" t="s">
        <v>200</v>
      </c>
    </row>
    <row r="2263" spans="1:12" x14ac:dyDescent="0.25">
      <c r="A2263" s="65" t="s">
        <v>236</v>
      </c>
      <c r="B2263" s="66">
        <v>42656</v>
      </c>
      <c r="C2263" s="65" t="s">
        <v>412</v>
      </c>
      <c r="D2263" s="55" t="str">
        <f>IF(ISNA(VLOOKUP(E2263,$L$2:$M$26,2,FALSE)),E2263,VLOOKUP(E2263,$L$2:$M$26,2,FALSE))</f>
        <v>Interest</v>
      </c>
      <c r="E2263" s="65" t="s">
        <v>200</v>
      </c>
      <c r="F2263" s="65" t="s">
        <v>238</v>
      </c>
      <c r="G2263" s="65">
        <v>0.15</v>
      </c>
      <c r="H2263" s="55">
        <f>YEAR(B2263)*100+MONTH(B2263)</f>
        <v>201610</v>
      </c>
      <c r="I2263" s="55" t="e">
        <f>MATCH(D2263,$O:$O,0)</f>
        <v>#N/A</v>
      </c>
      <c r="J2263" s="65" t="s">
        <v>39</v>
      </c>
      <c r="K2263" s="65" t="s">
        <v>675</v>
      </c>
      <c r="L2263" s="65" t="s">
        <v>200</v>
      </c>
    </row>
    <row r="2264" spans="1:12" x14ac:dyDescent="0.25">
      <c r="A2264" s="65" t="s">
        <v>236</v>
      </c>
      <c r="B2264" s="66">
        <v>42646</v>
      </c>
      <c r="C2264" s="65" t="s">
        <v>591</v>
      </c>
      <c r="D2264" s="55" t="str">
        <f>IF(ISNA(VLOOKUP(E2264,$L$2:$M$26,2,FALSE)),E2264,VLOOKUP(E2264,$L$2:$M$26,2,FALSE))</f>
        <v>Mortgage/Rent</v>
      </c>
      <c r="E2264" s="65" t="s">
        <v>202</v>
      </c>
      <c r="F2264" s="65" t="s">
        <v>238</v>
      </c>
      <c r="G2264" s="67">
        <v>-3116.77</v>
      </c>
      <c r="H2264" s="55">
        <f>YEAR(B2264)*100+MONTH(B2264)</f>
        <v>201610</v>
      </c>
      <c r="I2264" s="55">
        <f>MATCH(D2264,$O:$O,0)</f>
        <v>21</v>
      </c>
      <c r="J2264" s="65" t="s">
        <v>39</v>
      </c>
      <c r="K2264" s="65" t="s">
        <v>803</v>
      </c>
      <c r="L2264" s="65" t="s">
        <v>200</v>
      </c>
    </row>
    <row r="2265" spans="1:12" x14ac:dyDescent="0.25">
      <c r="A2265" s="65" t="s">
        <v>236</v>
      </c>
      <c r="B2265" s="66">
        <v>42667</v>
      </c>
      <c r="C2265" s="65" t="s">
        <v>894</v>
      </c>
      <c r="D2265" s="55" t="str">
        <f>IF(ISNA(VLOOKUP(E2265,$L$2:$M$26,2,FALSE)),E2265,VLOOKUP(E2265,$L$2:$M$26,2,FALSE))</f>
        <v>Movies/Software/Online Service</v>
      </c>
      <c r="E2265" s="65" t="s">
        <v>1605</v>
      </c>
      <c r="F2265" s="65" t="s">
        <v>238</v>
      </c>
      <c r="G2265" s="65">
        <v>-7.99</v>
      </c>
      <c r="H2265" s="55">
        <f>YEAR(B2265)*100+MONTH(B2265)</f>
        <v>201610</v>
      </c>
      <c r="I2265" s="55">
        <f>MATCH(D2265,$O:$O,0)</f>
        <v>22</v>
      </c>
      <c r="J2265" s="65" t="s">
        <v>39</v>
      </c>
      <c r="K2265" s="65" t="s">
        <v>1398</v>
      </c>
      <c r="L2265" s="65" t="s">
        <v>723</v>
      </c>
    </row>
    <row r="2266" spans="1:12" x14ac:dyDescent="0.25">
      <c r="A2266" s="65" t="s">
        <v>236</v>
      </c>
      <c r="B2266" s="66">
        <v>42652</v>
      </c>
      <c r="C2266" s="65" t="s">
        <v>1534</v>
      </c>
      <c r="D2266" s="55" t="str">
        <f>IF(ISNA(VLOOKUP(E2266,$L$2:$M$26,2,FALSE)),E2266,VLOOKUP(E2266,$L$2:$M$26,2,FALSE))</f>
        <v>Newspapers</v>
      </c>
      <c r="E2266" s="65" t="s">
        <v>1205</v>
      </c>
      <c r="F2266" s="65" t="s">
        <v>238</v>
      </c>
      <c r="G2266" s="65">
        <v>-14.99</v>
      </c>
      <c r="H2266" s="55">
        <f>YEAR(B2266)*100+MONTH(B2266)</f>
        <v>201610</v>
      </c>
      <c r="I2266" s="55">
        <f>MATCH(D2266,$O:$O,0)</f>
        <v>23</v>
      </c>
      <c r="J2266" s="65" t="s">
        <v>39</v>
      </c>
      <c r="K2266" s="65" t="s">
        <v>1394</v>
      </c>
      <c r="L2266" s="65"/>
    </row>
    <row r="2267" spans="1:12" x14ac:dyDescent="0.25">
      <c r="A2267" s="65" t="s">
        <v>236</v>
      </c>
      <c r="B2267" s="66">
        <v>42650</v>
      </c>
      <c r="C2267" s="65" t="s">
        <v>626</v>
      </c>
      <c r="D2267" s="55" t="str">
        <f>IF(ISNA(VLOOKUP(E2267,$L$2:$M$26,2,FALSE)),E2267,VLOOKUP(E2267,$L$2:$M$26,2,FALSE))</f>
        <v>Other Income</v>
      </c>
      <c r="E2267" s="65" t="s">
        <v>250</v>
      </c>
      <c r="F2267" s="65" t="s">
        <v>238</v>
      </c>
      <c r="G2267" s="65">
        <v>0</v>
      </c>
      <c r="H2267" s="55">
        <f>YEAR(B2267)*100+MONTH(B2267)</f>
        <v>201610</v>
      </c>
      <c r="I2267" s="55" t="e">
        <f>MATCH(D2267,$O:$O,0)</f>
        <v>#N/A</v>
      </c>
      <c r="J2267" s="65" t="s">
        <v>39</v>
      </c>
      <c r="K2267" s="65" t="s">
        <v>675</v>
      </c>
      <c r="L2267" s="65"/>
    </row>
    <row r="2268" spans="1:12" x14ac:dyDescent="0.25">
      <c r="A2268" s="65" t="s">
        <v>236</v>
      </c>
      <c r="B2268" s="66">
        <v>42654</v>
      </c>
      <c r="C2268" s="65" t="s">
        <v>626</v>
      </c>
      <c r="D2268" s="55" t="str">
        <f>IF(ISNA(VLOOKUP(E2268,$L$2:$M$26,2,FALSE)),E2268,VLOOKUP(E2268,$L$2:$M$26,2,FALSE))</f>
        <v>Other Income</v>
      </c>
      <c r="E2268" s="65" t="s">
        <v>250</v>
      </c>
      <c r="F2268" s="65" t="s">
        <v>238</v>
      </c>
      <c r="G2268" s="65">
        <v>0</v>
      </c>
      <c r="H2268" s="55">
        <f>YEAR(B2268)*100+MONTH(B2268)</f>
        <v>201610</v>
      </c>
      <c r="I2268" s="55" t="e">
        <f>MATCH(D2268,$O:$O,0)</f>
        <v>#N/A</v>
      </c>
      <c r="J2268" s="65" t="s">
        <v>39</v>
      </c>
      <c r="K2268" s="65" t="s">
        <v>675</v>
      </c>
      <c r="L2268" s="65" t="s">
        <v>255</v>
      </c>
    </row>
    <row r="2269" spans="1:12" x14ac:dyDescent="0.25">
      <c r="A2269" s="65" t="s">
        <v>236</v>
      </c>
      <c r="B2269" s="66">
        <v>42649</v>
      </c>
      <c r="C2269" s="65" t="s">
        <v>1540</v>
      </c>
      <c r="D2269" s="55" t="str">
        <f>IF(ISNA(VLOOKUP(E2269,$L$2:$M$26,2,FALSE)),E2269,VLOOKUP(E2269,$L$2:$M$26,2,FALSE))</f>
        <v>Parent Support</v>
      </c>
      <c r="E2269" s="65" t="s">
        <v>1602</v>
      </c>
      <c r="F2269" s="65" t="s">
        <v>238</v>
      </c>
      <c r="G2269" s="67">
        <v>5600</v>
      </c>
      <c r="H2269" s="55">
        <f>YEAR(B2269)*100+MONTH(B2269)</f>
        <v>201610</v>
      </c>
      <c r="I2269" s="55">
        <f>MATCH(D2269,$O:$O,0)</f>
        <v>24</v>
      </c>
      <c r="J2269" s="65" t="s">
        <v>39</v>
      </c>
      <c r="K2269" s="65" t="s">
        <v>803</v>
      </c>
      <c r="L2269" s="65" t="s">
        <v>255</v>
      </c>
    </row>
    <row r="2270" spans="1:12" x14ac:dyDescent="0.25">
      <c r="A2270" s="65" t="s">
        <v>236</v>
      </c>
      <c r="B2270" s="66">
        <v>42665</v>
      </c>
      <c r="C2270" s="65" t="s">
        <v>1527</v>
      </c>
      <c r="D2270" s="55" t="str">
        <f>IF(ISNA(VLOOKUP(E2270,$L$2:$M$26,2,FALSE)),E2270,VLOOKUP(E2270,$L$2:$M$26,2,FALSE))</f>
        <v>Parent Support</v>
      </c>
      <c r="E2270" s="65" t="s">
        <v>1601</v>
      </c>
      <c r="F2270" s="65" t="s">
        <v>238</v>
      </c>
      <c r="G2270" s="65">
        <v>-103.6</v>
      </c>
      <c r="H2270" s="55">
        <f>YEAR(B2270)*100+MONTH(B2270)</f>
        <v>201610</v>
      </c>
      <c r="I2270" s="55">
        <f>MATCH(D2270,$O:$O,0)</f>
        <v>24</v>
      </c>
      <c r="J2270" s="65" t="s">
        <v>39</v>
      </c>
      <c r="K2270" s="65" t="s">
        <v>1394</v>
      </c>
      <c r="L2270" s="65" t="s">
        <v>713</v>
      </c>
    </row>
    <row r="2271" spans="1:12" x14ac:dyDescent="0.25">
      <c r="A2271" s="65" t="s">
        <v>236</v>
      </c>
      <c r="B2271" s="66">
        <v>42665</v>
      </c>
      <c r="C2271" s="65" t="s">
        <v>1528</v>
      </c>
      <c r="D2271" s="55" t="str">
        <f>IF(ISNA(VLOOKUP(E2271,$L$2:$M$26,2,FALSE)),E2271,VLOOKUP(E2271,$L$2:$M$26,2,FALSE))</f>
        <v>Parent Support</v>
      </c>
      <c r="E2271" s="65" t="s">
        <v>1601</v>
      </c>
      <c r="F2271" s="65" t="s">
        <v>238</v>
      </c>
      <c r="G2271" s="65">
        <v>-103.6</v>
      </c>
      <c r="H2271" s="55">
        <f>YEAR(B2271)*100+MONTH(B2271)</f>
        <v>201610</v>
      </c>
      <c r="I2271" s="55">
        <f>MATCH(D2271,$O:$O,0)</f>
        <v>24</v>
      </c>
      <c r="J2271" s="65" t="s">
        <v>39</v>
      </c>
      <c r="K2271" s="65" t="s">
        <v>1394</v>
      </c>
      <c r="L2271" s="65" t="s">
        <v>713</v>
      </c>
    </row>
    <row r="2272" spans="1:12" x14ac:dyDescent="0.25">
      <c r="A2272" s="65" t="s">
        <v>236</v>
      </c>
      <c r="B2272" s="66">
        <v>42657</v>
      </c>
      <c r="C2272" s="65" t="s">
        <v>1078</v>
      </c>
      <c r="D2272" s="55" t="str">
        <f>IF(ISNA(VLOOKUP(E2272,$L$2:$M$26,2,FALSE)),E2272,VLOOKUP(E2272,$L$2:$M$26,2,FALSE))</f>
        <v>Paychecks/Salary</v>
      </c>
      <c r="E2272" s="65" t="s">
        <v>261</v>
      </c>
      <c r="F2272" s="65" t="s">
        <v>238</v>
      </c>
      <c r="G2272" s="67">
        <v>1660.59</v>
      </c>
      <c r="H2272" s="55">
        <f>YEAR(B2272)*100+MONTH(B2272)</f>
        <v>201610</v>
      </c>
      <c r="I2272" s="55">
        <f>MATCH(D2272,$O:$O,0)</f>
        <v>40</v>
      </c>
      <c r="J2272" s="65" t="s">
        <v>39</v>
      </c>
      <c r="K2272" s="65" t="s">
        <v>675</v>
      </c>
      <c r="L2272" s="65"/>
    </row>
    <row r="2273" spans="1:12" x14ac:dyDescent="0.25">
      <c r="A2273" s="65" t="s">
        <v>236</v>
      </c>
      <c r="B2273" s="66">
        <v>42674</v>
      </c>
      <c r="C2273" s="65" t="s">
        <v>1078</v>
      </c>
      <c r="D2273" s="55" t="str">
        <f>IF(ISNA(VLOOKUP(E2273,$L$2:$M$26,2,FALSE)),E2273,VLOOKUP(E2273,$L$2:$M$26,2,FALSE))</f>
        <v>Paychecks/Salary</v>
      </c>
      <c r="E2273" s="65" t="s">
        <v>261</v>
      </c>
      <c r="F2273" s="65" t="s">
        <v>238</v>
      </c>
      <c r="G2273" s="67">
        <v>1660.59</v>
      </c>
      <c r="H2273" s="55">
        <f>YEAR(B2273)*100+MONTH(B2273)</f>
        <v>201610</v>
      </c>
      <c r="I2273" s="55">
        <f>MATCH(D2273,$O:$O,0)</f>
        <v>40</v>
      </c>
      <c r="J2273" s="65" t="s">
        <v>39</v>
      </c>
      <c r="K2273" s="65" t="s">
        <v>675</v>
      </c>
      <c r="L2273" s="65"/>
    </row>
    <row r="2274" spans="1:12" x14ac:dyDescent="0.25">
      <c r="A2274" s="65" t="s">
        <v>236</v>
      </c>
      <c r="B2274" s="66">
        <v>42648</v>
      </c>
      <c r="C2274" s="65" t="s">
        <v>1542</v>
      </c>
      <c r="D2274" s="55" t="str">
        <f>IF(ISNA(VLOOKUP(E2274,$L$2:$M$26,2,FALSE)),E2274,VLOOKUP(E2274,$L$2:$M$26,2,FALSE))</f>
        <v>Seattle House</v>
      </c>
      <c r="E2274" s="65" t="s">
        <v>1596</v>
      </c>
      <c r="F2274" s="65" t="s">
        <v>238</v>
      </c>
      <c r="G2274" s="65">
        <v>-242.43</v>
      </c>
      <c r="H2274" s="55">
        <f>YEAR(B2274)*100+MONTH(B2274)</f>
        <v>201610</v>
      </c>
      <c r="I2274" s="55">
        <f>MATCH(D2274,$O:$O,0)</f>
        <v>43</v>
      </c>
      <c r="J2274" s="65" t="s">
        <v>39</v>
      </c>
      <c r="K2274" s="65" t="s">
        <v>803</v>
      </c>
      <c r="L2274" s="65"/>
    </row>
    <row r="2275" spans="1:12" x14ac:dyDescent="0.25">
      <c r="A2275" s="65" t="s">
        <v>236</v>
      </c>
      <c r="B2275" s="66">
        <v>42654</v>
      </c>
      <c r="C2275" s="65" t="s">
        <v>1531</v>
      </c>
      <c r="D2275" s="55" t="str">
        <f>IF(ISNA(VLOOKUP(E2275,$L$2:$M$26,2,FALSE)),E2275,VLOOKUP(E2275,$L$2:$M$26,2,FALSE))</f>
        <v>Seattle House</v>
      </c>
      <c r="E2275" s="65" t="s">
        <v>1596</v>
      </c>
      <c r="F2275" s="65" t="s">
        <v>238</v>
      </c>
      <c r="G2275" s="65">
        <v>-218.1</v>
      </c>
      <c r="H2275" s="55">
        <f>YEAR(B2275)*100+MONTH(B2275)</f>
        <v>201610</v>
      </c>
      <c r="I2275" s="55">
        <f>MATCH(D2275,$O:$O,0)</f>
        <v>43</v>
      </c>
      <c r="J2275" s="65" t="s">
        <v>39</v>
      </c>
      <c r="K2275" s="65" t="s">
        <v>803</v>
      </c>
      <c r="L2275" s="65"/>
    </row>
    <row r="2276" spans="1:12" x14ac:dyDescent="0.25">
      <c r="A2276" s="65" t="s">
        <v>236</v>
      </c>
      <c r="B2276" s="66">
        <v>42666</v>
      </c>
      <c r="C2276" s="65" t="s">
        <v>1525</v>
      </c>
      <c r="D2276" s="55" t="str">
        <f>IF(ISNA(VLOOKUP(E2276,$L$2:$M$26,2,FALSE)),E2276,VLOOKUP(E2276,$L$2:$M$26,2,FALSE))</f>
        <v>Seattle House</v>
      </c>
      <c r="E2276" s="65" t="s">
        <v>1603</v>
      </c>
      <c r="F2276" s="65" t="s">
        <v>238</v>
      </c>
      <c r="G2276" s="65">
        <v>-5.76</v>
      </c>
      <c r="H2276" s="55">
        <f>YEAR(B2276)*100+MONTH(B2276)</f>
        <v>201610</v>
      </c>
      <c r="I2276" s="55">
        <f>MATCH(D2276,$O:$O,0)</f>
        <v>43</v>
      </c>
      <c r="J2276" s="65" t="s">
        <v>39</v>
      </c>
      <c r="K2276" s="65" t="s">
        <v>1394</v>
      </c>
      <c r="L2276" s="65" t="s">
        <v>1526</v>
      </c>
    </row>
    <row r="2277" spans="1:12" x14ac:dyDescent="0.25">
      <c r="A2277" s="65" t="s">
        <v>236</v>
      </c>
      <c r="B2277" s="66">
        <v>42656</v>
      </c>
      <c r="C2277" s="65" t="s">
        <v>221</v>
      </c>
      <c r="D2277" s="55" t="str">
        <f>IF(ISNA(VLOOKUP(E2277,$L$2:$M$26,2,FALSE)),E2277,VLOOKUP(E2277,$L$2:$M$26,2,FALSE))</f>
        <v>Tax</v>
      </c>
      <c r="E2277" s="65" t="s">
        <v>222</v>
      </c>
      <c r="F2277" s="65" t="s">
        <v>238</v>
      </c>
      <c r="G2277" s="65">
        <v>-7.0000000000000007E-2</v>
      </c>
      <c r="H2277" s="55">
        <f>YEAR(B2277)*100+MONTH(B2277)</f>
        <v>201610</v>
      </c>
      <c r="I2277" s="55">
        <f>MATCH(D2277,$O:$O,0)</f>
        <v>29</v>
      </c>
      <c r="J2277" s="65" t="s">
        <v>39</v>
      </c>
      <c r="K2277" s="65" t="s">
        <v>803</v>
      </c>
      <c r="L2277" s="65"/>
    </row>
    <row r="2278" spans="1:12" x14ac:dyDescent="0.25">
      <c r="A2278" s="65" t="s">
        <v>236</v>
      </c>
      <c r="B2278" s="66">
        <v>42656</v>
      </c>
      <c r="C2278" s="65" t="s">
        <v>221</v>
      </c>
      <c r="D2278" s="55" t="str">
        <f>IF(ISNA(VLOOKUP(E2278,$L$2:$M$26,2,FALSE)),E2278,VLOOKUP(E2278,$L$2:$M$26,2,FALSE))</f>
        <v>Tax</v>
      </c>
      <c r="E2278" s="65" t="s">
        <v>222</v>
      </c>
      <c r="F2278" s="65" t="s">
        <v>238</v>
      </c>
      <c r="G2278" s="65">
        <v>-0.06</v>
      </c>
      <c r="H2278" s="55">
        <f>YEAR(B2278)*100+MONTH(B2278)</f>
        <v>201610</v>
      </c>
      <c r="I2278" s="55">
        <f>MATCH(D2278,$O:$O,0)</f>
        <v>29</v>
      </c>
      <c r="J2278" s="65" t="s">
        <v>39</v>
      </c>
      <c r="K2278" s="65" t="s">
        <v>628</v>
      </c>
      <c r="L2278" s="65"/>
    </row>
    <row r="2279" spans="1:12" x14ac:dyDescent="0.25">
      <c r="A2279" s="65" t="s">
        <v>236</v>
      </c>
      <c r="B2279" s="66">
        <v>42650</v>
      </c>
      <c r="C2279" s="65" t="s">
        <v>1537</v>
      </c>
      <c r="D2279" s="55" t="str">
        <f>IF(ISNA(VLOOKUP(E2279,$L$2:$M$26,2,FALSE)),E2279,VLOOKUP(E2279,$L$2:$M$26,2,FALSE))</f>
        <v>Transfers</v>
      </c>
      <c r="E2279" s="65" t="s">
        <v>1598</v>
      </c>
      <c r="F2279" s="65" t="s">
        <v>238</v>
      </c>
      <c r="G2279" s="67">
        <v>4979</v>
      </c>
      <c r="H2279" s="55">
        <f>YEAR(B2279)*100+MONTH(B2279)</f>
        <v>201610</v>
      </c>
      <c r="I2279" s="55">
        <f>MATCH(D2279,$O:$O,0)</f>
        <v>37</v>
      </c>
      <c r="J2279" s="65" t="s">
        <v>39</v>
      </c>
      <c r="K2279" s="65" t="s">
        <v>675</v>
      </c>
      <c r="L2279" s="65"/>
    </row>
    <row r="2280" spans="1:12" x14ac:dyDescent="0.25">
      <c r="A2280" s="65" t="s">
        <v>236</v>
      </c>
      <c r="B2280" s="66">
        <v>42654</v>
      </c>
      <c r="C2280" s="65" t="s">
        <v>1530</v>
      </c>
      <c r="D2280" s="55" t="str">
        <f>IF(ISNA(VLOOKUP(E2280,$L$2:$M$26,2,FALSE)),E2280,VLOOKUP(E2280,$L$2:$M$26,2,FALSE))</f>
        <v>Transfers</v>
      </c>
      <c r="E2280" s="65" t="s">
        <v>1600</v>
      </c>
      <c r="F2280" s="65" t="s">
        <v>238</v>
      </c>
      <c r="G2280" s="67">
        <v>4979</v>
      </c>
      <c r="H2280" s="55">
        <f>YEAR(B2280)*100+MONTH(B2280)</f>
        <v>201610</v>
      </c>
      <c r="I2280" s="55">
        <f>MATCH(D2280,$O:$O,0)</f>
        <v>37</v>
      </c>
      <c r="J2280" s="65" t="s">
        <v>39</v>
      </c>
      <c r="K2280" s="65" t="s">
        <v>675</v>
      </c>
      <c r="L2280" s="65"/>
    </row>
    <row r="2281" spans="1:12" x14ac:dyDescent="0.25">
      <c r="A2281" s="65" t="s">
        <v>236</v>
      </c>
      <c r="B2281" s="66">
        <v>42656</v>
      </c>
      <c r="C2281" s="65" t="s">
        <v>1310</v>
      </c>
      <c r="D2281" s="55" t="str">
        <f>IF(ISNA(VLOOKUP(E2281,$L$2:$M$26,2,FALSE)),E2281,VLOOKUP(E2281,$L$2:$M$26,2,FALSE))</f>
        <v>Utility</v>
      </c>
      <c r="E2281" s="65" t="s">
        <v>19</v>
      </c>
      <c r="F2281" s="65" t="s">
        <v>238</v>
      </c>
      <c r="G2281" s="65">
        <v>-47.41</v>
      </c>
      <c r="H2281" s="55">
        <f>YEAR(B2281)*100+MONTH(B2281)</f>
        <v>201610</v>
      </c>
      <c r="I2281" s="55">
        <f>MATCH(D2281,$O:$O,0)</f>
        <v>34</v>
      </c>
      <c r="J2281" s="65" t="s">
        <v>39</v>
      </c>
      <c r="K2281" s="65" t="s">
        <v>803</v>
      </c>
      <c r="L2281" s="65" t="s">
        <v>229</v>
      </c>
    </row>
    <row r="2282" spans="1:12" x14ac:dyDescent="0.25">
      <c r="A2282" s="65" t="s">
        <v>236</v>
      </c>
      <c r="B2282" s="66">
        <v>42697</v>
      </c>
      <c r="C2282" s="65" t="s">
        <v>1497</v>
      </c>
      <c r="D2282" s="55" t="str">
        <f>IF(ISNA(VLOOKUP(E2282,$L$2:$M$26,2,FALSE)),E2282,VLOOKUP(E2282,$L$2:$M$26,2,FALSE))</f>
        <v>Books</v>
      </c>
      <c r="E2282" s="65" t="s">
        <v>1610</v>
      </c>
      <c r="F2282" s="65" t="s">
        <v>238</v>
      </c>
      <c r="G2282" s="65">
        <v>-30.33</v>
      </c>
      <c r="H2282" s="55">
        <f>YEAR(B2282)*100+MONTH(B2282)</f>
        <v>201611</v>
      </c>
      <c r="I2282" s="55">
        <f>MATCH(D2282,$O:$O,0)</f>
        <v>2</v>
      </c>
      <c r="J2282" s="65" t="s">
        <v>39</v>
      </c>
      <c r="K2282" s="65" t="s">
        <v>1398</v>
      </c>
      <c r="L2282" s="65"/>
    </row>
    <row r="2283" spans="1:12" x14ac:dyDescent="0.25">
      <c r="A2283" s="65" t="s">
        <v>236</v>
      </c>
      <c r="B2283" s="66">
        <v>42678</v>
      </c>
      <c r="C2283" s="65" t="s">
        <v>1155</v>
      </c>
      <c r="D2283" s="55" t="str">
        <f>IF(ISNA(VLOOKUP(E2283,$L$2:$M$26,2,FALSE)),E2283,VLOOKUP(E2283,$L$2:$M$26,2,FALSE))</f>
        <v>Car Related</v>
      </c>
      <c r="E2283" s="65" t="s">
        <v>1593</v>
      </c>
      <c r="F2283" s="65" t="s">
        <v>238</v>
      </c>
      <c r="G2283" s="65">
        <v>-321.52</v>
      </c>
      <c r="H2283" s="55">
        <f>YEAR(B2283)*100+MONTH(B2283)</f>
        <v>201611</v>
      </c>
      <c r="I2283" s="55">
        <f>MATCH(D2283,$O:$O,0)</f>
        <v>31</v>
      </c>
      <c r="J2283" s="65" t="s">
        <v>39</v>
      </c>
      <c r="K2283" s="65" t="s">
        <v>675</v>
      </c>
      <c r="L2283" s="65"/>
    </row>
    <row r="2284" spans="1:12" x14ac:dyDescent="0.25">
      <c r="A2284" s="65" t="s">
        <v>236</v>
      </c>
      <c r="B2284" s="66">
        <v>42699</v>
      </c>
      <c r="C2284" s="65" t="s">
        <v>1487</v>
      </c>
      <c r="D2284" s="55" t="str">
        <f>IF(ISNA(VLOOKUP(E2284,$L$2:$M$26,2,FALSE)),E2284,VLOOKUP(E2284,$L$2:$M$26,2,FALSE))</f>
        <v>Car Related</v>
      </c>
      <c r="E2284" s="65" t="s">
        <v>1593</v>
      </c>
      <c r="F2284" s="65" t="s">
        <v>238</v>
      </c>
      <c r="G2284" s="65">
        <v>-438.45</v>
      </c>
      <c r="H2284" s="55">
        <f>YEAR(B2284)*100+MONTH(B2284)</f>
        <v>201611</v>
      </c>
      <c r="I2284" s="55">
        <f>MATCH(D2284,$O:$O,0)</f>
        <v>31</v>
      </c>
      <c r="J2284" s="65" t="s">
        <v>39</v>
      </c>
      <c r="K2284" s="65" t="s">
        <v>803</v>
      </c>
      <c r="L2284" s="65"/>
    </row>
    <row r="2285" spans="1:12" x14ac:dyDescent="0.25">
      <c r="A2285" s="65" t="s">
        <v>236</v>
      </c>
      <c r="B2285" s="66">
        <v>42699</v>
      </c>
      <c r="C2285" s="65" t="s">
        <v>1492</v>
      </c>
      <c r="D2285" s="55" t="str">
        <f>IF(ISNA(VLOOKUP(E2285,$L$2:$M$26,2,FALSE)),E2285,VLOOKUP(E2285,$L$2:$M$26,2,FALSE))</f>
        <v>Cell Phone</v>
      </c>
      <c r="E2285" s="55" t="s">
        <v>96</v>
      </c>
      <c r="F2285" s="65" t="s">
        <v>238</v>
      </c>
      <c r="G2285" s="65">
        <v>-77.849999999999994</v>
      </c>
      <c r="H2285" s="55">
        <f>YEAR(B2285)*100+MONTH(B2285)</f>
        <v>201611</v>
      </c>
      <c r="I2285" s="55">
        <f>MATCH(D2285,$O:$O,0)</f>
        <v>4</v>
      </c>
      <c r="J2285" s="65" t="s">
        <v>39</v>
      </c>
      <c r="K2285" s="65" t="s">
        <v>1398</v>
      </c>
      <c r="L2285" s="65"/>
    </row>
    <row r="2286" spans="1:12" x14ac:dyDescent="0.25">
      <c r="A2286" s="65" t="s">
        <v>236</v>
      </c>
      <c r="B2286" s="66">
        <v>42675</v>
      </c>
      <c r="C2286" s="65" t="s">
        <v>1518</v>
      </c>
      <c r="D2286" s="55" t="str">
        <f>IF(ISNA(VLOOKUP(E2286,$L$2:$M$26,2,FALSE)),E2286,VLOOKUP(E2286,$L$2:$M$26,2,FALSE))</f>
        <v>Credit Card Payments</v>
      </c>
      <c r="E2286" s="65" t="s">
        <v>242</v>
      </c>
      <c r="F2286" s="65" t="s">
        <v>238</v>
      </c>
      <c r="G2286" s="65">
        <v>-177.39</v>
      </c>
      <c r="H2286" s="55">
        <f>YEAR(B2286)*100+MONTH(B2286)</f>
        <v>201611</v>
      </c>
      <c r="I2286" s="55">
        <f>MATCH(D2286,$O:$O,0)</f>
        <v>38</v>
      </c>
      <c r="J2286" s="65" t="s">
        <v>39</v>
      </c>
      <c r="K2286" s="65" t="s">
        <v>675</v>
      </c>
      <c r="L2286" s="65" t="s">
        <v>1501</v>
      </c>
    </row>
    <row r="2287" spans="1:12" x14ac:dyDescent="0.25">
      <c r="A2287" s="65" t="s">
        <v>236</v>
      </c>
      <c r="B2287" s="66">
        <v>42675</v>
      </c>
      <c r="C2287" s="65" t="s">
        <v>1519</v>
      </c>
      <c r="D2287" s="55" t="str">
        <f>IF(ISNA(VLOOKUP(E2287,$L$2:$M$26,2,FALSE)),E2287,VLOOKUP(E2287,$L$2:$M$26,2,FALSE))</f>
        <v>Credit Card Payments</v>
      </c>
      <c r="E2287" s="65" t="s">
        <v>242</v>
      </c>
      <c r="F2287" s="65" t="s">
        <v>238</v>
      </c>
      <c r="G2287" s="67">
        <v>-1155.1199999999999</v>
      </c>
      <c r="H2287" s="55">
        <f>YEAR(B2287)*100+MONTH(B2287)</f>
        <v>201611</v>
      </c>
      <c r="I2287" s="55">
        <f>MATCH(D2287,$O:$O,0)</f>
        <v>38</v>
      </c>
      <c r="J2287" s="65" t="s">
        <v>39</v>
      </c>
      <c r="K2287" s="65" t="s">
        <v>675</v>
      </c>
      <c r="L2287" s="65"/>
    </row>
    <row r="2288" spans="1:12" x14ac:dyDescent="0.25">
      <c r="A2288" s="65" t="s">
        <v>236</v>
      </c>
      <c r="B2288" s="66">
        <v>42675</v>
      </c>
      <c r="C2288" s="65" t="s">
        <v>845</v>
      </c>
      <c r="D2288" s="55" t="str">
        <f>IF(ISNA(VLOOKUP(E2288,$L$2:$M$26,2,FALSE)),E2288,VLOOKUP(E2288,$L$2:$M$26,2,FALSE))</f>
        <v>Credit Card Payments</v>
      </c>
      <c r="E2288" s="65" t="s">
        <v>242</v>
      </c>
      <c r="F2288" s="65" t="s">
        <v>238</v>
      </c>
      <c r="G2288" s="65">
        <v>177.39</v>
      </c>
      <c r="H2288" s="55">
        <f>YEAR(B2288)*100+MONTH(B2288)</f>
        <v>201611</v>
      </c>
      <c r="I2288" s="55">
        <f>MATCH(D2288,$O:$O,0)</f>
        <v>38</v>
      </c>
      <c r="J2288" s="65" t="s">
        <v>39</v>
      </c>
      <c r="K2288" s="65" t="s">
        <v>1403</v>
      </c>
      <c r="L2288" s="65" t="s">
        <v>723</v>
      </c>
    </row>
    <row r="2289" spans="1:12" x14ac:dyDescent="0.25">
      <c r="A2289" s="65" t="s">
        <v>236</v>
      </c>
      <c r="B2289" s="66">
        <v>42675</v>
      </c>
      <c r="C2289" s="65" t="s">
        <v>845</v>
      </c>
      <c r="D2289" s="55" t="str">
        <f>IF(ISNA(VLOOKUP(E2289,$L$2:$M$26,2,FALSE)),E2289,VLOOKUP(E2289,$L$2:$M$26,2,FALSE))</f>
        <v>Credit Card Payments</v>
      </c>
      <c r="E2289" s="65" t="s">
        <v>242</v>
      </c>
      <c r="F2289" s="65" t="s">
        <v>238</v>
      </c>
      <c r="G2289" s="67">
        <v>1155.1199999999999</v>
      </c>
      <c r="H2289" s="55">
        <f>YEAR(B2289)*100+MONTH(B2289)</f>
        <v>201611</v>
      </c>
      <c r="I2289" s="55">
        <f>MATCH(D2289,$O:$O,0)</f>
        <v>38</v>
      </c>
      <c r="J2289" s="65" t="s">
        <v>39</v>
      </c>
      <c r="K2289" s="65" t="s">
        <v>1398</v>
      </c>
      <c r="L2289" s="65" t="s">
        <v>723</v>
      </c>
    </row>
    <row r="2290" spans="1:12" x14ac:dyDescent="0.25">
      <c r="A2290" s="65" t="s">
        <v>236</v>
      </c>
      <c r="B2290" s="66">
        <v>42676</v>
      </c>
      <c r="C2290" s="65" t="s">
        <v>1516</v>
      </c>
      <c r="D2290" s="55" t="str">
        <f>IF(ISNA(VLOOKUP(E2290,$L$2:$M$26,2,FALSE)),E2290,VLOOKUP(E2290,$L$2:$M$26,2,FALSE))</f>
        <v>Credit Card Payments</v>
      </c>
      <c r="E2290" s="65" t="s">
        <v>242</v>
      </c>
      <c r="F2290" s="65" t="s">
        <v>238</v>
      </c>
      <c r="G2290" s="65">
        <v>-2</v>
      </c>
      <c r="H2290" s="55">
        <f>YEAR(B2290)*100+MONTH(B2290)</f>
        <v>201611</v>
      </c>
      <c r="I2290" s="55">
        <f>MATCH(D2290,$O:$O,0)</f>
        <v>38</v>
      </c>
      <c r="J2290" s="65" t="s">
        <v>39</v>
      </c>
      <c r="K2290" s="65" t="s">
        <v>1394</v>
      </c>
      <c r="L2290" s="65"/>
    </row>
    <row r="2291" spans="1:12" x14ac:dyDescent="0.25">
      <c r="A2291" s="65" t="s">
        <v>236</v>
      </c>
      <c r="B2291" s="66">
        <v>42688</v>
      </c>
      <c r="C2291" s="65" t="s">
        <v>1424</v>
      </c>
      <c r="D2291" s="55" t="str">
        <f>IF(ISNA(VLOOKUP(E2291,$L$2:$M$26,2,FALSE)),E2291,VLOOKUP(E2291,$L$2:$M$26,2,FALSE))</f>
        <v>Credit Card Payments</v>
      </c>
      <c r="E2291" s="65" t="s">
        <v>242</v>
      </c>
      <c r="F2291" s="65" t="s">
        <v>238</v>
      </c>
      <c r="G2291" s="67">
        <v>2139.67</v>
      </c>
      <c r="H2291" s="55">
        <f>YEAR(B2291)*100+MONTH(B2291)</f>
        <v>201611</v>
      </c>
      <c r="I2291" s="55">
        <f>MATCH(D2291,$O:$O,0)</f>
        <v>38</v>
      </c>
      <c r="J2291" s="65" t="s">
        <v>39</v>
      </c>
      <c r="K2291" s="65" t="s">
        <v>1394</v>
      </c>
      <c r="L2291" s="65"/>
    </row>
    <row r="2292" spans="1:12" x14ac:dyDescent="0.25">
      <c r="A2292" s="65" t="s">
        <v>236</v>
      </c>
      <c r="B2292" s="66">
        <v>42689</v>
      </c>
      <c r="C2292" s="65" t="s">
        <v>1508</v>
      </c>
      <c r="D2292" s="55" t="str">
        <f>IF(ISNA(VLOOKUP(E2292,$L$2:$M$26,2,FALSE)),E2292,VLOOKUP(E2292,$L$2:$M$26,2,FALSE))</f>
        <v>Credit Card Payments</v>
      </c>
      <c r="E2292" s="65" t="s">
        <v>242</v>
      </c>
      <c r="F2292" s="65" t="s">
        <v>238</v>
      </c>
      <c r="G2292" s="67">
        <v>-2139.67</v>
      </c>
      <c r="H2292" s="55">
        <f>YEAR(B2292)*100+MONTH(B2292)</f>
        <v>201611</v>
      </c>
      <c r="I2292" s="55">
        <f>MATCH(D2292,$O:$O,0)</f>
        <v>38</v>
      </c>
      <c r="J2292" s="65" t="s">
        <v>39</v>
      </c>
      <c r="K2292" s="65" t="s">
        <v>803</v>
      </c>
      <c r="L2292" s="65" t="s">
        <v>326</v>
      </c>
    </row>
    <row r="2293" spans="1:12" x14ac:dyDescent="0.25">
      <c r="A2293" s="65" t="s">
        <v>236</v>
      </c>
      <c r="B2293" s="66">
        <v>42693</v>
      </c>
      <c r="C2293" s="65" t="s">
        <v>1505</v>
      </c>
      <c r="D2293" s="55" t="str">
        <f>IF(ISNA(VLOOKUP(E2293,$L$2:$M$26,2,FALSE)),E2293,VLOOKUP(E2293,$L$2:$M$26,2,FALSE))</f>
        <v>D-Travel</v>
      </c>
      <c r="E2293" s="65" t="s">
        <v>161</v>
      </c>
      <c r="F2293" s="65" t="s">
        <v>238</v>
      </c>
      <c r="G2293" s="65">
        <v>-0.75</v>
      </c>
      <c r="H2293" s="55">
        <f>YEAR(B2293)*100+MONTH(B2293)</f>
        <v>201611</v>
      </c>
      <c r="I2293" s="55">
        <f>MATCH(D2293,$O:$O,0)</f>
        <v>10</v>
      </c>
      <c r="J2293" s="65" t="s">
        <v>39</v>
      </c>
      <c r="K2293" s="65" t="s">
        <v>1398</v>
      </c>
      <c r="L2293" s="65" t="s">
        <v>193</v>
      </c>
    </row>
    <row r="2294" spans="1:12" x14ac:dyDescent="0.25">
      <c r="A2294" s="65" t="s">
        <v>236</v>
      </c>
      <c r="B2294" s="66">
        <v>42697</v>
      </c>
      <c r="C2294" s="65" t="s">
        <v>1495</v>
      </c>
      <c r="D2294" s="55" t="str">
        <f>IF(ISNA(VLOOKUP(E2294,$L$2:$M$26,2,FALSE)),E2294,VLOOKUP(E2294,$L$2:$M$26,2,FALSE))</f>
        <v>D-Travel</v>
      </c>
      <c r="E2294" s="65" t="s">
        <v>161</v>
      </c>
      <c r="F2294" s="65" t="s">
        <v>238</v>
      </c>
      <c r="G2294" s="65">
        <v>-304.2</v>
      </c>
      <c r="H2294" s="55">
        <f>YEAR(B2294)*100+MONTH(B2294)</f>
        <v>201611</v>
      </c>
      <c r="I2294" s="55">
        <f>MATCH(D2294,$O:$O,0)</f>
        <v>10</v>
      </c>
      <c r="J2294" s="65" t="s">
        <v>39</v>
      </c>
      <c r="K2294" s="65" t="s">
        <v>1398</v>
      </c>
      <c r="L2294" s="65"/>
    </row>
    <row r="2295" spans="1:12" x14ac:dyDescent="0.25">
      <c r="A2295" s="65" t="s">
        <v>236</v>
      </c>
      <c r="B2295" s="66">
        <v>42697</v>
      </c>
      <c r="C2295" s="65" t="s">
        <v>1496</v>
      </c>
      <c r="D2295" s="55" t="str">
        <f>IF(ISNA(VLOOKUP(E2295,$L$2:$M$26,2,FALSE)),E2295,VLOOKUP(E2295,$L$2:$M$26,2,FALSE))</f>
        <v>D-Travel</v>
      </c>
      <c r="E2295" s="65" t="s">
        <v>161</v>
      </c>
      <c r="F2295" s="65" t="s">
        <v>238</v>
      </c>
      <c r="G2295" s="65">
        <v>-304.2</v>
      </c>
      <c r="H2295" s="55">
        <f>YEAR(B2295)*100+MONTH(B2295)</f>
        <v>201611</v>
      </c>
      <c r="I2295" s="55">
        <f>MATCH(D2295,$O:$O,0)</f>
        <v>10</v>
      </c>
      <c r="J2295" s="65" t="s">
        <v>39</v>
      </c>
      <c r="K2295" s="65" t="s">
        <v>1398</v>
      </c>
      <c r="L2295" s="65"/>
    </row>
    <row r="2296" spans="1:12" x14ac:dyDescent="0.25">
      <c r="A2296" s="65" t="s">
        <v>236</v>
      </c>
      <c r="B2296" s="66">
        <v>42697</v>
      </c>
      <c r="C2296" s="65" t="s">
        <v>1348</v>
      </c>
      <c r="D2296" s="55" t="str">
        <f>IF(ISNA(VLOOKUP(E2296,$L$2:$M$26,2,FALSE)),E2296,VLOOKUP(E2296,$L$2:$M$26,2,FALSE))</f>
        <v>Gas</v>
      </c>
      <c r="E2296" s="65" t="s">
        <v>311</v>
      </c>
      <c r="F2296" s="65" t="s">
        <v>238</v>
      </c>
      <c r="G2296" s="65">
        <v>-28.71</v>
      </c>
      <c r="H2296" s="55">
        <f>YEAR(B2296)*100+MONTH(B2296)</f>
        <v>201611</v>
      </c>
      <c r="I2296" s="55">
        <f>MATCH(D2296,$O:$O,0)</f>
        <v>30</v>
      </c>
      <c r="J2296" s="65" t="s">
        <v>39</v>
      </c>
      <c r="K2296" s="65" t="s">
        <v>1394</v>
      </c>
      <c r="L2296" s="65" t="s">
        <v>239</v>
      </c>
    </row>
    <row r="2297" spans="1:12" x14ac:dyDescent="0.25">
      <c r="A2297" s="65" t="s">
        <v>236</v>
      </c>
      <c r="B2297" s="66">
        <v>42681</v>
      </c>
      <c r="C2297" s="65" t="s">
        <v>1396</v>
      </c>
      <c r="D2297" s="55" t="str">
        <f>IF(ISNA(VLOOKUP(E2297,$L$2:$M$26,2,FALSE)),E2297,VLOOKUP(E2297,$L$2:$M$26,2,FALSE))</f>
        <v>Gifts</v>
      </c>
      <c r="E2297" s="65" t="s">
        <v>1591</v>
      </c>
      <c r="F2297" s="65" t="s">
        <v>238</v>
      </c>
      <c r="G2297" s="65">
        <v>-30.95</v>
      </c>
      <c r="H2297" s="55">
        <f>YEAR(B2297)*100+MONTH(B2297)</f>
        <v>201611</v>
      </c>
      <c r="I2297" s="55">
        <f>MATCH(D2297,$O:$O,0)</f>
        <v>11</v>
      </c>
      <c r="J2297" s="65" t="s">
        <v>39</v>
      </c>
      <c r="K2297" s="65" t="s">
        <v>1394</v>
      </c>
      <c r="L2297" s="65" t="s">
        <v>1501</v>
      </c>
    </row>
    <row r="2298" spans="1:12" x14ac:dyDescent="0.25">
      <c r="A2298" s="65" t="s">
        <v>236</v>
      </c>
      <c r="B2298" s="66">
        <v>42695</v>
      </c>
      <c r="C2298" s="65" t="s">
        <v>1502</v>
      </c>
      <c r="D2298" s="55" t="str">
        <f>IF(ISNA(VLOOKUP(E2298,$L$2:$M$26,2,FALSE)),E2298,VLOOKUP(E2298,$L$2:$M$26,2,FALSE))</f>
        <v>Gifts</v>
      </c>
      <c r="E2298" s="65" t="s">
        <v>1591</v>
      </c>
      <c r="F2298" s="65" t="s">
        <v>238</v>
      </c>
      <c r="G2298" s="65">
        <v>-29.79</v>
      </c>
      <c r="H2298" s="55">
        <f>YEAR(B2298)*100+MONTH(B2298)</f>
        <v>201611</v>
      </c>
      <c r="I2298" s="55">
        <f>MATCH(D2298,$O:$O,0)</f>
        <v>11</v>
      </c>
      <c r="J2298" s="65" t="s">
        <v>39</v>
      </c>
      <c r="K2298" s="65" t="s">
        <v>1398</v>
      </c>
      <c r="L2298" s="65" t="s">
        <v>1501</v>
      </c>
    </row>
    <row r="2299" spans="1:12" x14ac:dyDescent="0.25">
      <c r="A2299" s="65" t="s">
        <v>236</v>
      </c>
      <c r="B2299" s="66">
        <v>42677</v>
      </c>
      <c r="C2299" s="65" t="s">
        <v>1515</v>
      </c>
      <c r="D2299" s="55" t="str">
        <f>IF(ISNA(VLOOKUP(E2299,$L$2:$M$26,2,FALSE)),E2299,VLOOKUP(E2299,$L$2:$M$26,2,FALSE))</f>
        <v>Grocery</v>
      </c>
      <c r="E2299" s="65" t="s">
        <v>1586</v>
      </c>
      <c r="F2299" s="65" t="s">
        <v>238</v>
      </c>
      <c r="G2299" s="65">
        <v>14.16</v>
      </c>
      <c r="H2299" s="55">
        <f>YEAR(B2299)*100+MONTH(B2299)</f>
        <v>201611</v>
      </c>
      <c r="I2299" s="55">
        <f>MATCH(D2299,$O:$O,0)</f>
        <v>12</v>
      </c>
      <c r="J2299" s="65" t="s">
        <v>39</v>
      </c>
      <c r="K2299" s="65" t="s">
        <v>1394</v>
      </c>
      <c r="L2299" s="65" t="s">
        <v>1501</v>
      </c>
    </row>
    <row r="2300" spans="1:12" x14ac:dyDescent="0.25">
      <c r="A2300" s="65" t="s">
        <v>236</v>
      </c>
      <c r="B2300" s="66">
        <v>42677</v>
      </c>
      <c r="C2300" s="65" t="s">
        <v>1350</v>
      </c>
      <c r="D2300" s="55" t="str">
        <f>IF(ISNA(VLOOKUP(E2300,$L$2:$M$26,2,FALSE)),E2300,VLOOKUP(E2300,$L$2:$M$26,2,FALSE))</f>
        <v>Grocery</v>
      </c>
      <c r="E2300" s="65" t="s">
        <v>385</v>
      </c>
      <c r="F2300" s="65" t="s">
        <v>238</v>
      </c>
      <c r="G2300" s="65">
        <v>14.22</v>
      </c>
      <c r="H2300" s="55">
        <f>YEAR(B2300)*100+MONTH(B2300)</f>
        <v>201611</v>
      </c>
      <c r="I2300" s="55">
        <f>MATCH(D2300,$O:$O,0)</f>
        <v>12</v>
      </c>
      <c r="J2300" s="65" t="s">
        <v>39</v>
      </c>
      <c r="K2300" s="65" t="s">
        <v>1394</v>
      </c>
      <c r="L2300" s="65"/>
    </row>
    <row r="2301" spans="1:12" x14ac:dyDescent="0.25">
      <c r="A2301" s="65" t="s">
        <v>236</v>
      </c>
      <c r="B2301" s="66">
        <v>42685</v>
      </c>
      <c r="C2301" s="65" t="s">
        <v>915</v>
      </c>
      <c r="D2301" s="55" t="str">
        <f>IF(ISNA(VLOOKUP(E2301,$L$2:$M$26,2,FALSE)),E2301,VLOOKUP(E2301,$L$2:$M$26,2,FALSE))</f>
        <v>Grocery</v>
      </c>
      <c r="E2301" s="65" t="s">
        <v>385</v>
      </c>
      <c r="F2301" s="65" t="s">
        <v>238</v>
      </c>
      <c r="G2301" s="65">
        <v>-100.55</v>
      </c>
      <c r="H2301" s="55">
        <f>YEAR(B2301)*100+MONTH(B2301)</f>
        <v>201611</v>
      </c>
      <c r="I2301" s="55">
        <f>MATCH(D2301,$O:$O,0)</f>
        <v>12</v>
      </c>
      <c r="J2301" s="65" t="s">
        <v>39</v>
      </c>
      <c r="K2301" s="65" t="s">
        <v>1398</v>
      </c>
      <c r="L2301" s="65" t="s">
        <v>805</v>
      </c>
    </row>
    <row r="2302" spans="1:12" x14ac:dyDescent="0.25">
      <c r="A2302" s="65" t="s">
        <v>236</v>
      </c>
      <c r="B2302" s="66">
        <v>42686</v>
      </c>
      <c r="C2302" s="65" t="s">
        <v>1510</v>
      </c>
      <c r="D2302" s="55" t="str">
        <f>IF(ISNA(VLOOKUP(E2302,$L$2:$M$26,2,FALSE)),E2302,VLOOKUP(E2302,$L$2:$M$26,2,FALSE))</f>
        <v>Grocery</v>
      </c>
      <c r="E2302" s="65" t="s">
        <v>1586</v>
      </c>
      <c r="F2302" s="65" t="s">
        <v>238</v>
      </c>
      <c r="G2302" s="65">
        <v>-4</v>
      </c>
      <c r="H2302" s="55">
        <f>YEAR(B2302)*100+MONTH(B2302)</f>
        <v>201611</v>
      </c>
      <c r="I2302" s="55">
        <f>MATCH(D2302,$O:$O,0)</f>
        <v>12</v>
      </c>
      <c r="J2302" s="65" t="s">
        <v>39</v>
      </c>
      <c r="K2302" s="65" t="s">
        <v>1394</v>
      </c>
      <c r="L2302" s="65" t="s">
        <v>1501</v>
      </c>
    </row>
    <row r="2303" spans="1:12" x14ac:dyDescent="0.25">
      <c r="A2303" s="65" t="s">
        <v>236</v>
      </c>
      <c r="B2303" s="66">
        <v>42688</v>
      </c>
      <c r="C2303" s="65" t="s">
        <v>1395</v>
      </c>
      <c r="D2303" s="55" t="str">
        <f>IF(ISNA(VLOOKUP(E2303,$L$2:$M$26,2,FALSE)),E2303,VLOOKUP(E2303,$L$2:$M$26,2,FALSE))</f>
        <v>Grocery</v>
      </c>
      <c r="E2303" s="65" t="s">
        <v>192</v>
      </c>
      <c r="F2303" s="65" t="s">
        <v>238</v>
      </c>
      <c r="G2303" s="65">
        <v>-4.99</v>
      </c>
      <c r="H2303" s="55">
        <f>YEAR(B2303)*100+MONTH(B2303)</f>
        <v>201611</v>
      </c>
      <c r="I2303" s="55">
        <f>MATCH(D2303,$O:$O,0)</f>
        <v>12</v>
      </c>
      <c r="J2303" s="65" t="s">
        <v>39</v>
      </c>
      <c r="K2303" s="65" t="s">
        <v>1394</v>
      </c>
      <c r="L2303" s="65" t="s">
        <v>1501</v>
      </c>
    </row>
    <row r="2304" spans="1:12" x14ac:dyDescent="0.25">
      <c r="A2304" s="65" t="s">
        <v>236</v>
      </c>
      <c r="B2304" s="66">
        <v>42689</v>
      </c>
      <c r="C2304" s="65" t="s">
        <v>1350</v>
      </c>
      <c r="D2304" s="55" t="str">
        <f>IF(ISNA(VLOOKUP(E2304,$L$2:$M$26,2,FALSE)),E2304,VLOOKUP(E2304,$L$2:$M$26,2,FALSE))</f>
        <v>Grocery</v>
      </c>
      <c r="E2304" s="65" t="s">
        <v>385</v>
      </c>
      <c r="F2304" s="65" t="s">
        <v>238</v>
      </c>
      <c r="G2304" s="65">
        <v>-43.82</v>
      </c>
      <c r="H2304" s="55">
        <f>YEAR(B2304)*100+MONTH(B2304)</f>
        <v>201611</v>
      </c>
      <c r="I2304" s="55">
        <f>MATCH(D2304,$O:$O,0)</f>
        <v>12</v>
      </c>
      <c r="J2304" s="65" t="s">
        <v>39</v>
      </c>
      <c r="K2304" s="65" t="s">
        <v>1394</v>
      </c>
      <c r="L2304" s="65" t="s">
        <v>1501</v>
      </c>
    </row>
    <row r="2305" spans="1:12" x14ac:dyDescent="0.25">
      <c r="A2305" s="65" t="s">
        <v>236</v>
      </c>
      <c r="B2305" s="66">
        <v>42690</v>
      </c>
      <c r="C2305" s="65" t="s">
        <v>1350</v>
      </c>
      <c r="D2305" s="55" t="str">
        <f>IF(ISNA(VLOOKUP(E2305,$L$2:$M$26,2,FALSE)),E2305,VLOOKUP(E2305,$L$2:$M$26,2,FALSE))</f>
        <v>Grocery</v>
      </c>
      <c r="E2305" s="65" t="s">
        <v>385</v>
      </c>
      <c r="F2305" s="65" t="s">
        <v>238</v>
      </c>
      <c r="G2305" s="65">
        <v>57.1</v>
      </c>
      <c r="H2305" s="55">
        <f>YEAR(B2305)*100+MONTH(B2305)</f>
        <v>201611</v>
      </c>
      <c r="I2305" s="55">
        <f>MATCH(D2305,$O:$O,0)</f>
        <v>12</v>
      </c>
      <c r="J2305" s="65" t="s">
        <v>39</v>
      </c>
      <c r="K2305" s="65" t="s">
        <v>1394</v>
      </c>
      <c r="L2305" s="65" t="s">
        <v>200</v>
      </c>
    </row>
    <row r="2306" spans="1:12" x14ac:dyDescent="0.25">
      <c r="A2306" s="65" t="s">
        <v>236</v>
      </c>
      <c r="B2306" s="66">
        <v>42692</v>
      </c>
      <c r="C2306" s="65" t="s">
        <v>1477</v>
      </c>
      <c r="D2306" s="55" t="str">
        <f>IF(ISNA(VLOOKUP(E2306,$L$2:$M$26,2,FALSE)),E2306,VLOOKUP(E2306,$L$2:$M$26,2,FALSE))</f>
        <v>Grocery</v>
      </c>
      <c r="E2306" s="65" t="s">
        <v>192</v>
      </c>
      <c r="F2306" s="65" t="s">
        <v>238</v>
      </c>
      <c r="G2306" s="65">
        <v>-34.979999999999997</v>
      </c>
      <c r="H2306" s="55">
        <f>YEAR(B2306)*100+MONTH(B2306)</f>
        <v>201611</v>
      </c>
      <c r="I2306" s="55">
        <f>MATCH(D2306,$O:$O,0)</f>
        <v>12</v>
      </c>
      <c r="J2306" s="65" t="s">
        <v>39</v>
      </c>
      <c r="K2306" s="65" t="s">
        <v>1394</v>
      </c>
      <c r="L2306" s="65" t="s">
        <v>200</v>
      </c>
    </row>
    <row r="2307" spans="1:12" x14ac:dyDescent="0.25">
      <c r="A2307" s="65" t="s">
        <v>236</v>
      </c>
      <c r="B2307" s="66">
        <v>42693</v>
      </c>
      <c r="C2307" s="65" t="s">
        <v>1504</v>
      </c>
      <c r="D2307" s="55" t="str">
        <f>IF(ISNA(VLOOKUP(E2307,$L$2:$M$26,2,FALSE)),E2307,VLOOKUP(E2307,$L$2:$M$26,2,FALSE))</f>
        <v>Grocery</v>
      </c>
      <c r="E2307" s="65" t="s">
        <v>385</v>
      </c>
      <c r="F2307" s="65" t="s">
        <v>238</v>
      </c>
      <c r="G2307" s="65">
        <v>-7.63</v>
      </c>
      <c r="H2307" s="55">
        <f>YEAR(B2307)*100+MONTH(B2307)</f>
        <v>201611</v>
      </c>
      <c r="I2307" s="55">
        <f>MATCH(D2307,$O:$O,0)</f>
        <v>12</v>
      </c>
      <c r="J2307" s="65" t="s">
        <v>39</v>
      </c>
      <c r="K2307" s="65" t="s">
        <v>1394</v>
      </c>
      <c r="L2307" s="65" t="s">
        <v>200</v>
      </c>
    </row>
    <row r="2308" spans="1:12" x14ac:dyDescent="0.25">
      <c r="A2308" s="65" t="s">
        <v>236</v>
      </c>
      <c r="B2308" s="66">
        <v>42694</v>
      </c>
      <c r="C2308" s="65" t="s">
        <v>1503</v>
      </c>
      <c r="D2308" s="55" t="str">
        <f>IF(ISNA(VLOOKUP(E2308,$L$2:$M$26,2,FALSE)),E2308,VLOOKUP(E2308,$L$2:$M$26,2,FALSE))</f>
        <v>Grocery</v>
      </c>
      <c r="E2308" s="65" t="s">
        <v>385</v>
      </c>
      <c r="F2308" s="65" t="s">
        <v>238</v>
      </c>
      <c r="G2308" s="65">
        <v>-7.22</v>
      </c>
      <c r="H2308" s="55">
        <f>YEAR(B2308)*100+MONTH(B2308)</f>
        <v>201611</v>
      </c>
      <c r="I2308" s="55">
        <f>MATCH(D2308,$O:$O,0)</f>
        <v>12</v>
      </c>
      <c r="J2308" s="65" t="s">
        <v>39</v>
      </c>
      <c r="K2308" s="65" t="s">
        <v>1394</v>
      </c>
      <c r="L2308" s="65" t="s">
        <v>200</v>
      </c>
    </row>
    <row r="2309" spans="1:12" x14ac:dyDescent="0.25">
      <c r="A2309" s="65" t="s">
        <v>236</v>
      </c>
      <c r="B2309" s="66">
        <v>42696</v>
      </c>
      <c r="C2309" s="65" t="s">
        <v>1350</v>
      </c>
      <c r="D2309" s="55" t="str">
        <f>IF(ISNA(VLOOKUP(E2309,$L$2:$M$26,2,FALSE)),E2309,VLOOKUP(E2309,$L$2:$M$26,2,FALSE))</f>
        <v>Grocery</v>
      </c>
      <c r="E2309" s="65" t="s">
        <v>385</v>
      </c>
      <c r="F2309" s="65" t="s">
        <v>238</v>
      </c>
      <c r="G2309" s="65">
        <v>-437.69</v>
      </c>
      <c r="H2309" s="55">
        <f>YEAR(B2309)*100+MONTH(B2309)</f>
        <v>201611</v>
      </c>
      <c r="I2309" s="55">
        <f>MATCH(D2309,$O:$O,0)</f>
        <v>12</v>
      </c>
      <c r="J2309" s="65" t="s">
        <v>39</v>
      </c>
      <c r="K2309" s="65" t="s">
        <v>1394</v>
      </c>
      <c r="L2309" s="65"/>
    </row>
    <row r="2310" spans="1:12" x14ac:dyDescent="0.25">
      <c r="A2310" s="65" t="s">
        <v>236</v>
      </c>
      <c r="B2310" s="66">
        <v>42697</v>
      </c>
      <c r="C2310" s="65" t="s">
        <v>1350</v>
      </c>
      <c r="D2310" s="55" t="str">
        <f>IF(ISNA(VLOOKUP(E2310,$L$2:$M$26,2,FALSE)),E2310,VLOOKUP(E2310,$L$2:$M$26,2,FALSE))</f>
        <v>Grocery</v>
      </c>
      <c r="E2310" s="65" t="s">
        <v>385</v>
      </c>
      <c r="F2310" s="65" t="s">
        <v>238</v>
      </c>
      <c r="G2310" s="65">
        <v>408.6</v>
      </c>
      <c r="H2310" s="55">
        <f>YEAR(B2310)*100+MONTH(B2310)</f>
        <v>201611</v>
      </c>
      <c r="I2310" s="55">
        <f>MATCH(D2310,$O:$O,0)</f>
        <v>12</v>
      </c>
      <c r="J2310" s="65" t="s">
        <v>39</v>
      </c>
      <c r="K2310" s="65" t="s">
        <v>1394</v>
      </c>
      <c r="L2310" s="65"/>
    </row>
    <row r="2311" spans="1:12" x14ac:dyDescent="0.25">
      <c r="A2311" s="65" t="s">
        <v>1345</v>
      </c>
      <c r="B2311" s="66">
        <v>42698</v>
      </c>
      <c r="C2311" s="65" t="s">
        <v>1493</v>
      </c>
      <c r="D2311" s="55" t="str">
        <f>IF(ISNA(VLOOKUP(E2311,$L$2:$M$26,2,FALSE)),E2311,VLOOKUP(E2311,$L$2:$M$26,2,FALSE))</f>
        <v>Grocery</v>
      </c>
      <c r="E2311" s="65" t="s">
        <v>385</v>
      </c>
      <c r="F2311" s="65" t="s">
        <v>238</v>
      </c>
      <c r="G2311" s="65">
        <v>-10.61</v>
      </c>
      <c r="H2311" s="55">
        <f>YEAR(B2311)*100+MONTH(B2311)</f>
        <v>201611</v>
      </c>
      <c r="I2311" s="55">
        <f>MATCH(D2311,$O:$O,0)</f>
        <v>12</v>
      </c>
      <c r="J2311" s="65" t="s">
        <v>39</v>
      </c>
      <c r="K2311" s="65" t="s">
        <v>1394</v>
      </c>
      <c r="L2311" s="65" t="s">
        <v>194</v>
      </c>
    </row>
    <row r="2312" spans="1:12" x14ac:dyDescent="0.25">
      <c r="A2312" s="65" t="s">
        <v>236</v>
      </c>
      <c r="B2312" s="66">
        <v>42699</v>
      </c>
      <c r="C2312" s="65" t="s">
        <v>583</v>
      </c>
      <c r="D2312" s="55" t="str">
        <f>IF(ISNA(VLOOKUP(E2312,$L$2:$M$26,2,FALSE)),E2312,VLOOKUP(E2312,$L$2:$M$26,2,FALSE))</f>
        <v>Grocery</v>
      </c>
      <c r="E2312" s="65" t="s">
        <v>192</v>
      </c>
      <c r="F2312" s="65" t="s">
        <v>238</v>
      </c>
      <c r="G2312" s="65">
        <v>-41.06</v>
      </c>
      <c r="H2312" s="55">
        <f>YEAR(B2312)*100+MONTH(B2312)</f>
        <v>201611</v>
      </c>
      <c r="I2312" s="55">
        <f>MATCH(D2312,$O:$O,0)</f>
        <v>12</v>
      </c>
      <c r="J2312" s="65" t="s">
        <v>39</v>
      </c>
      <c r="K2312" s="65" t="s">
        <v>1398</v>
      </c>
      <c r="L2312" s="65" t="s">
        <v>1501</v>
      </c>
    </row>
    <row r="2313" spans="1:12" x14ac:dyDescent="0.25">
      <c r="A2313" s="65" t="s">
        <v>236</v>
      </c>
      <c r="B2313" s="66">
        <v>42699</v>
      </c>
      <c r="C2313" s="65" t="s">
        <v>1489</v>
      </c>
      <c r="D2313" s="55" t="str">
        <f>IF(ISNA(VLOOKUP(E2313,$L$2:$M$26,2,FALSE)),E2313,VLOOKUP(E2313,$L$2:$M$26,2,FALSE))</f>
        <v>Grocery</v>
      </c>
      <c r="E2313" s="65" t="s">
        <v>1586</v>
      </c>
      <c r="F2313" s="65" t="s">
        <v>238</v>
      </c>
      <c r="G2313" s="65">
        <v>-51.21</v>
      </c>
      <c r="H2313" s="55">
        <f>YEAR(B2313)*100+MONTH(B2313)</f>
        <v>201611</v>
      </c>
      <c r="I2313" s="55">
        <f>MATCH(D2313,$O:$O,0)</f>
        <v>12</v>
      </c>
      <c r="J2313" s="65" t="s">
        <v>39</v>
      </c>
      <c r="K2313" s="65" t="s">
        <v>1398</v>
      </c>
      <c r="L2313" s="65"/>
    </row>
    <row r="2314" spans="1:12" x14ac:dyDescent="0.25">
      <c r="A2314" s="65" t="s">
        <v>236</v>
      </c>
      <c r="B2314" s="66">
        <v>42699</v>
      </c>
      <c r="C2314" s="65" t="s">
        <v>1491</v>
      </c>
      <c r="D2314" s="55" t="str">
        <f>IF(ISNA(VLOOKUP(E2314,$L$2:$M$26,2,FALSE)),E2314,VLOOKUP(E2314,$L$2:$M$26,2,FALSE))</f>
        <v>Grocery</v>
      </c>
      <c r="E2314" s="65" t="s">
        <v>1586</v>
      </c>
      <c r="F2314" s="65" t="s">
        <v>238</v>
      </c>
      <c r="G2314" s="65">
        <v>-54.49</v>
      </c>
      <c r="H2314" s="55">
        <f>YEAR(B2314)*100+MONTH(B2314)</f>
        <v>201611</v>
      </c>
      <c r="I2314" s="55">
        <f>MATCH(D2314,$O:$O,0)</f>
        <v>12</v>
      </c>
      <c r="J2314" s="65" t="s">
        <v>39</v>
      </c>
      <c r="K2314" s="65" t="s">
        <v>1398</v>
      </c>
      <c r="L2314" s="65"/>
    </row>
    <row r="2315" spans="1:12" x14ac:dyDescent="0.25">
      <c r="A2315" s="65" t="s">
        <v>236</v>
      </c>
      <c r="B2315" s="66">
        <v>42696</v>
      </c>
      <c r="C2315" s="65" t="s">
        <v>961</v>
      </c>
      <c r="D2315" s="55" t="str">
        <f>IF(ISNA(VLOOKUP(E2315,$L$2:$M$26,2,FALSE)),E2315,VLOOKUP(E2315,$L$2:$M$26,2,FALSE))</f>
        <v>Home Insurance</v>
      </c>
      <c r="E2315" s="65" t="s">
        <v>199</v>
      </c>
      <c r="F2315" s="65" t="s">
        <v>238</v>
      </c>
      <c r="G2315" s="65">
        <v>-610.86</v>
      </c>
      <c r="H2315" s="55">
        <f>YEAR(B2315)*100+MONTH(B2315)</f>
        <v>201611</v>
      </c>
      <c r="I2315" s="55">
        <f>MATCH(D2315,$O:$O,0)</f>
        <v>17</v>
      </c>
      <c r="J2315" s="65" t="s">
        <v>39</v>
      </c>
      <c r="K2315" s="65" t="s">
        <v>1398</v>
      </c>
      <c r="L2315" s="65" t="s">
        <v>252</v>
      </c>
    </row>
    <row r="2316" spans="1:12" x14ac:dyDescent="0.25">
      <c r="A2316" s="65" t="s">
        <v>236</v>
      </c>
      <c r="B2316" s="66">
        <v>42675</v>
      </c>
      <c r="C2316" s="65" t="s">
        <v>1511</v>
      </c>
      <c r="D2316" s="55" t="str">
        <f>IF(ISNA(VLOOKUP(E2316,$L$2:$M$26,2,FALSE)),E2316,VLOOKUP(E2316,$L$2:$M$26,2,FALSE))</f>
        <v>Home Maintainence/Improvement</v>
      </c>
      <c r="E2316" s="65" t="s">
        <v>342</v>
      </c>
      <c r="F2316" s="65" t="s">
        <v>238</v>
      </c>
      <c r="G2316" s="65">
        <v>-7.62</v>
      </c>
      <c r="H2316" s="55">
        <f>YEAR(B2316)*100+MONTH(B2316)</f>
        <v>201611</v>
      </c>
      <c r="I2316" s="55">
        <f>MATCH(D2316,$O:$O,0)</f>
        <v>16</v>
      </c>
      <c r="J2316" s="65" t="s">
        <v>39</v>
      </c>
      <c r="K2316" s="65" t="s">
        <v>1394</v>
      </c>
      <c r="L2316" s="65"/>
    </row>
    <row r="2317" spans="1:12" x14ac:dyDescent="0.25">
      <c r="A2317" s="65" t="s">
        <v>236</v>
      </c>
      <c r="B2317" s="66">
        <v>42679</v>
      </c>
      <c r="C2317" s="65" t="s">
        <v>1511</v>
      </c>
      <c r="D2317" s="55" t="str">
        <f>IF(ISNA(VLOOKUP(E2317,$L$2:$M$26,2,FALSE)),E2317,VLOOKUP(E2317,$L$2:$M$26,2,FALSE))</f>
        <v>Home Maintainence/Improvement</v>
      </c>
      <c r="E2317" s="65" t="s">
        <v>342</v>
      </c>
      <c r="F2317" s="65" t="s">
        <v>238</v>
      </c>
      <c r="G2317" s="65">
        <v>-46.63</v>
      </c>
      <c r="H2317" s="55">
        <f>YEAR(B2317)*100+MONTH(B2317)</f>
        <v>201611</v>
      </c>
      <c r="I2317" s="55">
        <f>MATCH(D2317,$O:$O,0)</f>
        <v>16</v>
      </c>
      <c r="J2317" s="65" t="s">
        <v>39</v>
      </c>
      <c r="K2317" s="65" t="s">
        <v>1394</v>
      </c>
      <c r="L2317" s="65" t="s">
        <v>1421</v>
      </c>
    </row>
    <row r="2318" spans="1:12" x14ac:dyDescent="0.25">
      <c r="A2318" s="65" t="s">
        <v>236</v>
      </c>
      <c r="B2318" s="66">
        <v>42679</v>
      </c>
      <c r="C2318" s="65" t="s">
        <v>1511</v>
      </c>
      <c r="D2318" s="55" t="str">
        <f>IF(ISNA(VLOOKUP(E2318,$L$2:$M$26,2,FALSE)),E2318,VLOOKUP(E2318,$L$2:$M$26,2,FALSE))</f>
        <v>Home Maintainence/Improvement</v>
      </c>
      <c r="E2318" s="65" t="s">
        <v>342</v>
      </c>
      <c r="F2318" s="65" t="s">
        <v>238</v>
      </c>
      <c r="G2318" s="65">
        <v>-9.25</v>
      </c>
      <c r="H2318" s="55">
        <f>YEAR(B2318)*100+MONTH(B2318)</f>
        <v>201611</v>
      </c>
      <c r="I2318" s="55">
        <f>MATCH(D2318,$O:$O,0)</f>
        <v>16</v>
      </c>
      <c r="J2318" s="65" t="s">
        <v>39</v>
      </c>
      <c r="K2318" s="65" t="s">
        <v>1394</v>
      </c>
      <c r="L2318" s="65" t="s">
        <v>193</v>
      </c>
    </row>
    <row r="2319" spans="1:12" x14ac:dyDescent="0.25">
      <c r="A2319" s="65" t="s">
        <v>236</v>
      </c>
      <c r="B2319" s="66">
        <v>42680</v>
      </c>
      <c r="C2319" s="65" t="s">
        <v>1511</v>
      </c>
      <c r="D2319" s="55" t="str">
        <f>IF(ISNA(VLOOKUP(E2319,$L$2:$M$26,2,FALSE)),E2319,VLOOKUP(E2319,$L$2:$M$26,2,FALSE))</f>
        <v>Home Maintainence/Improvement</v>
      </c>
      <c r="E2319" s="65" t="s">
        <v>342</v>
      </c>
      <c r="F2319" s="65" t="s">
        <v>238</v>
      </c>
      <c r="G2319" s="65">
        <v>-0.53</v>
      </c>
      <c r="H2319" s="55">
        <f>YEAR(B2319)*100+MONTH(B2319)</f>
        <v>201611</v>
      </c>
      <c r="I2319" s="55">
        <f>MATCH(D2319,$O:$O,0)</f>
        <v>16</v>
      </c>
      <c r="J2319" s="65" t="s">
        <v>39</v>
      </c>
      <c r="K2319" s="65" t="s">
        <v>1394</v>
      </c>
      <c r="L2319" s="65" t="s">
        <v>351</v>
      </c>
    </row>
    <row r="2320" spans="1:12" x14ac:dyDescent="0.25">
      <c r="A2320" s="65" t="s">
        <v>236</v>
      </c>
      <c r="B2320" s="66">
        <v>42684</v>
      </c>
      <c r="C2320" s="65" t="s">
        <v>1511</v>
      </c>
      <c r="D2320" s="55" t="str">
        <f>IF(ISNA(VLOOKUP(E2320,$L$2:$M$26,2,FALSE)),E2320,VLOOKUP(E2320,$L$2:$M$26,2,FALSE))</f>
        <v>Home Maintainence/Improvement</v>
      </c>
      <c r="E2320" s="65" t="s">
        <v>342</v>
      </c>
      <c r="F2320" s="65" t="s">
        <v>238</v>
      </c>
      <c r="G2320" s="65">
        <v>44.46</v>
      </c>
      <c r="H2320" s="55">
        <f>YEAR(B2320)*100+MONTH(B2320)</f>
        <v>201611</v>
      </c>
      <c r="I2320" s="55">
        <f>MATCH(D2320,$O:$O,0)</f>
        <v>16</v>
      </c>
      <c r="J2320" s="65" t="s">
        <v>39</v>
      </c>
      <c r="K2320" s="65" t="s">
        <v>1394</v>
      </c>
      <c r="L2320" s="65"/>
    </row>
    <row r="2321" spans="1:12" x14ac:dyDescent="0.25">
      <c r="A2321" s="65" t="s">
        <v>236</v>
      </c>
      <c r="B2321" s="66">
        <v>42684</v>
      </c>
      <c r="C2321" s="65" t="s">
        <v>1511</v>
      </c>
      <c r="D2321" s="55" t="str">
        <f>IF(ISNA(VLOOKUP(E2321,$L$2:$M$26,2,FALSE)),E2321,VLOOKUP(E2321,$L$2:$M$26,2,FALSE))</f>
        <v>Home Maintainence/Improvement</v>
      </c>
      <c r="E2321" s="65" t="s">
        <v>342</v>
      </c>
      <c r="F2321" s="65" t="s">
        <v>238</v>
      </c>
      <c r="G2321" s="65">
        <v>-5.44</v>
      </c>
      <c r="H2321" s="55">
        <f>YEAR(B2321)*100+MONTH(B2321)</f>
        <v>201611</v>
      </c>
      <c r="I2321" s="55">
        <f>MATCH(D2321,$O:$O,0)</f>
        <v>16</v>
      </c>
      <c r="J2321" s="65" t="s">
        <v>39</v>
      </c>
      <c r="K2321" s="65" t="s">
        <v>1394</v>
      </c>
      <c r="L2321" s="65" t="s">
        <v>193</v>
      </c>
    </row>
    <row r="2322" spans="1:12" x14ac:dyDescent="0.25">
      <c r="A2322" s="65" t="s">
        <v>236</v>
      </c>
      <c r="B2322" s="66">
        <v>42684</v>
      </c>
      <c r="C2322" s="65" t="s">
        <v>1511</v>
      </c>
      <c r="D2322" s="55" t="str">
        <f>IF(ISNA(VLOOKUP(E2322,$L$2:$M$26,2,FALSE)),E2322,VLOOKUP(E2322,$L$2:$M$26,2,FALSE))</f>
        <v>Home Maintainence/Improvement</v>
      </c>
      <c r="E2322" s="65" t="s">
        <v>342</v>
      </c>
      <c r="F2322" s="65" t="s">
        <v>238</v>
      </c>
      <c r="G2322" s="65">
        <v>-19.600000000000001</v>
      </c>
      <c r="H2322" s="55">
        <f>YEAR(B2322)*100+MONTH(B2322)</f>
        <v>201611</v>
      </c>
      <c r="I2322" s="55">
        <f>MATCH(D2322,$O:$O,0)</f>
        <v>16</v>
      </c>
      <c r="J2322" s="65" t="s">
        <v>39</v>
      </c>
      <c r="K2322" s="65" t="s">
        <v>1394</v>
      </c>
      <c r="L2322" s="65" t="s">
        <v>965</v>
      </c>
    </row>
    <row r="2323" spans="1:12" x14ac:dyDescent="0.25">
      <c r="A2323" s="65" t="s">
        <v>236</v>
      </c>
      <c r="B2323" s="66">
        <v>42685</v>
      </c>
      <c r="C2323" s="65" t="s">
        <v>1511</v>
      </c>
      <c r="D2323" s="55" t="str">
        <f>IF(ISNA(VLOOKUP(E2323,$L$2:$M$26,2,FALSE)),E2323,VLOOKUP(E2323,$L$2:$M$26,2,FALSE))</f>
        <v>Home Maintainence/Improvement</v>
      </c>
      <c r="E2323" s="65" t="s">
        <v>342</v>
      </c>
      <c r="F2323" s="65" t="s">
        <v>238</v>
      </c>
      <c r="G2323" s="65">
        <v>8.7100000000000009</v>
      </c>
      <c r="H2323" s="55">
        <f>YEAR(B2323)*100+MONTH(B2323)</f>
        <v>201611</v>
      </c>
      <c r="I2323" s="55">
        <f>MATCH(D2323,$O:$O,0)</f>
        <v>16</v>
      </c>
      <c r="J2323" s="65" t="s">
        <v>39</v>
      </c>
      <c r="K2323" s="65" t="s">
        <v>1394</v>
      </c>
      <c r="L2323" s="65" t="s">
        <v>353</v>
      </c>
    </row>
    <row r="2324" spans="1:12" x14ac:dyDescent="0.25">
      <c r="A2324" s="65" t="s">
        <v>236</v>
      </c>
      <c r="B2324" s="66">
        <v>42688</v>
      </c>
      <c r="C2324" s="65" t="s">
        <v>1509</v>
      </c>
      <c r="D2324" s="55" t="str">
        <f>IF(ISNA(VLOOKUP(E2324,$L$2:$M$26,2,FALSE)),E2324,VLOOKUP(E2324,$L$2:$M$26,2,FALSE))</f>
        <v>Home Maintainence/Improvement</v>
      </c>
      <c r="E2324" s="65" t="s">
        <v>1608</v>
      </c>
      <c r="F2324" s="65" t="s">
        <v>238</v>
      </c>
      <c r="G2324" s="67">
        <v>-2359.5700000000002</v>
      </c>
      <c r="H2324" s="55">
        <f>YEAR(B2324)*100+MONTH(B2324)</f>
        <v>201611</v>
      </c>
      <c r="I2324" s="55">
        <f>MATCH(D2324,$O:$O,0)</f>
        <v>16</v>
      </c>
      <c r="J2324" s="65" t="s">
        <v>39</v>
      </c>
      <c r="K2324" s="65" t="s">
        <v>675</v>
      </c>
      <c r="L2324" s="65"/>
    </row>
    <row r="2325" spans="1:12" x14ac:dyDescent="0.25">
      <c r="A2325" s="65" t="s">
        <v>236</v>
      </c>
      <c r="B2325" s="66">
        <v>42689</v>
      </c>
      <c r="C2325" s="65" t="s">
        <v>1507</v>
      </c>
      <c r="D2325" s="55" t="str">
        <f>IF(ISNA(VLOOKUP(E2325,$L$2:$M$26,2,FALSE)),E2325,VLOOKUP(E2325,$L$2:$M$26,2,FALSE))</f>
        <v>Home Maintainence/Improvement</v>
      </c>
      <c r="E2325" s="65" t="s">
        <v>342</v>
      </c>
      <c r="F2325" s="65" t="s">
        <v>238</v>
      </c>
      <c r="G2325" s="65">
        <v>-152.13</v>
      </c>
      <c r="H2325" s="55">
        <f>YEAR(B2325)*100+MONTH(B2325)</f>
        <v>201611</v>
      </c>
      <c r="I2325" s="55">
        <f>MATCH(D2325,$O:$O,0)</f>
        <v>16</v>
      </c>
      <c r="J2325" s="65" t="s">
        <v>39</v>
      </c>
      <c r="K2325" s="65" t="s">
        <v>675</v>
      </c>
      <c r="L2325" s="65" t="s">
        <v>289</v>
      </c>
    </row>
    <row r="2326" spans="1:12" x14ac:dyDescent="0.25">
      <c r="A2326" s="65" t="s">
        <v>236</v>
      </c>
      <c r="B2326" s="66">
        <v>42695</v>
      </c>
      <c r="C2326" s="65" t="s">
        <v>1500</v>
      </c>
      <c r="D2326" s="55" t="str">
        <f>IF(ISNA(VLOOKUP(E2326,$L$2:$M$26,2,FALSE)),E2326,VLOOKUP(E2326,$L$2:$M$26,2,FALSE))</f>
        <v>Home Maintainence/Improvement</v>
      </c>
      <c r="E2326" s="65" t="s">
        <v>342</v>
      </c>
      <c r="F2326" s="65" t="s">
        <v>238</v>
      </c>
      <c r="G2326" s="65">
        <v>-7.54</v>
      </c>
      <c r="H2326" s="55">
        <f>YEAR(B2326)*100+MONTH(B2326)</f>
        <v>201611</v>
      </c>
      <c r="I2326" s="55">
        <f>MATCH(D2326,$O:$O,0)</f>
        <v>16</v>
      </c>
      <c r="J2326" s="65" t="s">
        <v>39</v>
      </c>
      <c r="K2326" s="65" t="s">
        <v>1398</v>
      </c>
      <c r="L2326" s="65" t="s">
        <v>289</v>
      </c>
    </row>
    <row r="2327" spans="1:12" x14ac:dyDescent="0.25">
      <c r="A2327" s="65" t="s">
        <v>236</v>
      </c>
      <c r="B2327" s="66">
        <v>42684</v>
      </c>
      <c r="C2327" s="65" t="s">
        <v>412</v>
      </c>
      <c r="D2327" s="55" t="str">
        <f>IF(ISNA(VLOOKUP(E2327,$L$2:$M$26,2,FALSE)),E2327,VLOOKUP(E2327,$L$2:$M$26,2,FALSE))</f>
        <v>Interest</v>
      </c>
      <c r="E2327" s="65" t="s">
        <v>200</v>
      </c>
      <c r="F2327" s="65" t="s">
        <v>238</v>
      </c>
      <c r="G2327" s="65">
        <v>0.13</v>
      </c>
      <c r="H2327" s="55">
        <f>YEAR(B2327)*100+MONTH(B2327)</f>
        <v>201611</v>
      </c>
      <c r="I2327" s="55" t="e">
        <f>MATCH(D2327,$O:$O,0)</f>
        <v>#N/A</v>
      </c>
      <c r="J2327" s="65" t="s">
        <v>39</v>
      </c>
      <c r="K2327" s="65" t="s">
        <v>803</v>
      </c>
      <c r="L2327" s="65" t="s">
        <v>1498</v>
      </c>
    </row>
    <row r="2328" spans="1:12" x14ac:dyDescent="0.25">
      <c r="A2328" s="65" t="s">
        <v>236</v>
      </c>
      <c r="B2328" s="66">
        <v>42684</v>
      </c>
      <c r="C2328" s="65" t="s">
        <v>412</v>
      </c>
      <c r="D2328" s="55" t="str">
        <f>IF(ISNA(VLOOKUP(E2328,$L$2:$M$26,2,FALSE)),E2328,VLOOKUP(E2328,$L$2:$M$26,2,FALSE))</f>
        <v>Interest</v>
      </c>
      <c r="E2328" s="65" t="s">
        <v>200</v>
      </c>
      <c r="F2328" s="65" t="s">
        <v>238</v>
      </c>
      <c r="G2328" s="65">
        <v>0.19</v>
      </c>
      <c r="H2328" s="55">
        <f>YEAR(B2328)*100+MONTH(B2328)</f>
        <v>201611</v>
      </c>
      <c r="I2328" s="55" t="e">
        <f>MATCH(D2328,$O:$O,0)</f>
        <v>#N/A</v>
      </c>
      <c r="J2328" s="65" t="s">
        <v>39</v>
      </c>
      <c r="K2328" s="65" t="s">
        <v>628</v>
      </c>
      <c r="L2328" s="65" t="s">
        <v>1501</v>
      </c>
    </row>
    <row r="2329" spans="1:12" x14ac:dyDescent="0.25">
      <c r="A2329" s="65" t="s">
        <v>236</v>
      </c>
      <c r="B2329" s="66">
        <v>42684</v>
      </c>
      <c r="C2329" s="65" t="s">
        <v>412</v>
      </c>
      <c r="D2329" s="55" t="str">
        <f>IF(ISNA(VLOOKUP(E2329,$L$2:$M$26,2,FALSE)),E2329,VLOOKUP(E2329,$L$2:$M$26,2,FALSE))</f>
        <v>Interest</v>
      </c>
      <c r="E2329" s="65" t="s">
        <v>200</v>
      </c>
      <c r="F2329" s="65" t="s">
        <v>238</v>
      </c>
      <c r="G2329" s="65">
        <v>0.14000000000000001</v>
      </c>
      <c r="H2329" s="55">
        <f>YEAR(B2329)*100+MONTH(B2329)</f>
        <v>201611</v>
      </c>
      <c r="I2329" s="55" t="e">
        <f>MATCH(D2329,$O:$O,0)</f>
        <v>#N/A</v>
      </c>
      <c r="J2329" s="65" t="s">
        <v>39</v>
      </c>
      <c r="K2329" s="65" t="s">
        <v>676</v>
      </c>
      <c r="L2329" s="65" t="s">
        <v>229</v>
      </c>
    </row>
    <row r="2330" spans="1:12" x14ac:dyDescent="0.25">
      <c r="A2330" s="65" t="s">
        <v>236</v>
      </c>
      <c r="B2330" s="66">
        <v>42684</v>
      </c>
      <c r="C2330" s="65" t="s">
        <v>412</v>
      </c>
      <c r="D2330" s="55" t="str">
        <f>IF(ISNA(VLOOKUP(E2330,$L$2:$M$26,2,FALSE)),E2330,VLOOKUP(E2330,$L$2:$M$26,2,FALSE))</f>
        <v>Interest</v>
      </c>
      <c r="E2330" s="65" t="s">
        <v>200</v>
      </c>
      <c r="F2330" s="65" t="s">
        <v>238</v>
      </c>
      <c r="G2330" s="65">
        <v>0.21</v>
      </c>
      <c r="H2330" s="55">
        <f>YEAR(B2330)*100+MONTH(B2330)</f>
        <v>201611</v>
      </c>
      <c r="I2330" s="55" t="e">
        <f>MATCH(D2330,$O:$O,0)</f>
        <v>#N/A</v>
      </c>
      <c r="J2330" s="65" t="s">
        <v>39</v>
      </c>
      <c r="K2330" s="65" t="s">
        <v>675</v>
      </c>
      <c r="L2330" s="65"/>
    </row>
    <row r="2331" spans="1:12" x14ac:dyDescent="0.25">
      <c r="A2331" s="65" t="s">
        <v>236</v>
      </c>
      <c r="B2331" s="66">
        <v>42675</v>
      </c>
      <c r="C2331" s="65" t="s">
        <v>1517</v>
      </c>
      <c r="D2331" s="55" t="str">
        <f>IF(ISNA(VLOOKUP(E2331,$L$2:$M$26,2,FALSE)),E2331,VLOOKUP(E2331,$L$2:$M$26,2,FALSE))</f>
        <v>Mortgage/Rent</v>
      </c>
      <c r="E2331" s="65" t="s">
        <v>202</v>
      </c>
      <c r="F2331" s="65" t="s">
        <v>238</v>
      </c>
      <c r="G2331" s="67">
        <v>-1955.41</v>
      </c>
      <c r="H2331" s="55">
        <f>YEAR(B2331)*100+MONTH(B2331)</f>
        <v>201611</v>
      </c>
      <c r="I2331" s="55">
        <f>MATCH(D2331,$O:$O,0)</f>
        <v>21</v>
      </c>
      <c r="J2331" s="65" t="s">
        <v>39</v>
      </c>
      <c r="K2331" s="65" t="s">
        <v>803</v>
      </c>
      <c r="L2331" s="65" t="s">
        <v>193</v>
      </c>
    </row>
    <row r="2332" spans="1:12" x14ac:dyDescent="0.25">
      <c r="A2332" s="65" t="s">
        <v>236</v>
      </c>
      <c r="B2332" s="66">
        <v>42675</v>
      </c>
      <c r="C2332" s="65" t="s">
        <v>591</v>
      </c>
      <c r="D2332" s="55" t="str">
        <f>IF(ISNA(VLOOKUP(E2332,$L$2:$M$26,2,FALSE)),E2332,VLOOKUP(E2332,$L$2:$M$26,2,FALSE))</f>
        <v>Mortgage/Rent</v>
      </c>
      <c r="E2332" s="65" t="s">
        <v>202</v>
      </c>
      <c r="F2332" s="65" t="s">
        <v>238</v>
      </c>
      <c r="G2332" s="67">
        <v>-3116.77</v>
      </c>
      <c r="H2332" s="55">
        <f>YEAR(B2332)*100+MONTH(B2332)</f>
        <v>201611</v>
      </c>
      <c r="I2332" s="55">
        <f>MATCH(D2332,$O:$O,0)</f>
        <v>21</v>
      </c>
      <c r="J2332" s="65" t="s">
        <v>39</v>
      </c>
      <c r="K2332" s="65" t="s">
        <v>803</v>
      </c>
      <c r="L2332" s="65" t="s">
        <v>198</v>
      </c>
    </row>
    <row r="2333" spans="1:12" x14ac:dyDescent="0.25">
      <c r="A2333" s="65" t="s">
        <v>236</v>
      </c>
      <c r="B2333" s="66">
        <v>42699</v>
      </c>
      <c r="C2333" s="65" t="s">
        <v>894</v>
      </c>
      <c r="D2333" s="55" t="str">
        <f>IF(ISNA(VLOOKUP(E2333,$L$2:$M$26,2,FALSE)),E2333,VLOOKUP(E2333,$L$2:$M$26,2,FALSE))</f>
        <v>Movies/Software/Online Service</v>
      </c>
      <c r="E2333" s="65" t="s">
        <v>1611</v>
      </c>
      <c r="F2333" s="65" t="s">
        <v>238</v>
      </c>
      <c r="G2333" s="65">
        <v>-7.99</v>
      </c>
      <c r="H2333" s="55">
        <f>YEAR(B2333)*100+MONTH(B2333)</f>
        <v>201611</v>
      </c>
      <c r="I2333" s="55">
        <f>MATCH(D2333,$O:$O,0)</f>
        <v>22</v>
      </c>
      <c r="J2333" s="65" t="s">
        <v>39</v>
      </c>
      <c r="K2333" s="65" t="s">
        <v>1398</v>
      </c>
      <c r="L2333" s="65" t="s">
        <v>1498</v>
      </c>
    </row>
    <row r="2334" spans="1:12" x14ac:dyDescent="0.25">
      <c r="A2334" s="65" t="s">
        <v>236</v>
      </c>
      <c r="B2334" s="66">
        <v>42683</v>
      </c>
      <c r="C2334" s="65" t="s">
        <v>1512</v>
      </c>
      <c r="D2334" s="55" t="str">
        <f>IF(ISNA(VLOOKUP(E2334,$L$2:$M$26,2,FALSE)),E2334,VLOOKUP(E2334,$L$2:$M$26,2,FALSE))</f>
        <v>Newspapers</v>
      </c>
      <c r="E2334" s="65" t="s">
        <v>1607</v>
      </c>
      <c r="F2334" s="65" t="s">
        <v>238</v>
      </c>
      <c r="G2334" s="65">
        <v>-14.99</v>
      </c>
      <c r="H2334" s="55">
        <f>YEAR(B2334)*100+MONTH(B2334)</f>
        <v>201611</v>
      </c>
      <c r="I2334" s="55">
        <f>MATCH(D2334,$O:$O,0)</f>
        <v>23</v>
      </c>
      <c r="J2334" s="65" t="s">
        <v>39</v>
      </c>
      <c r="K2334" s="65" t="s">
        <v>1394</v>
      </c>
      <c r="L2334" s="65" t="s">
        <v>927</v>
      </c>
    </row>
    <row r="2335" spans="1:12" x14ac:dyDescent="0.25">
      <c r="A2335" s="65" t="s">
        <v>236</v>
      </c>
      <c r="B2335" s="66">
        <v>42690</v>
      </c>
      <c r="C2335" s="65" t="s">
        <v>1506</v>
      </c>
      <c r="D2335" s="55" t="str">
        <f>IF(ISNA(VLOOKUP(E2335,$L$2:$M$26,2,FALSE)),E2335,VLOOKUP(E2335,$L$2:$M$26,2,FALSE))</f>
        <v>Newspapers</v>
      </c>
      <c r="E2335" s="65" t="s">
        <v>1609</v>
      </c>
      <c r="F2335" s="65" t="s">
        <v>238</v>
      </c>
      <c r="G2335" s="65">
        <v>-64.95</v>
      </c>
      <c r="H2335" s="55">
        <f>YEAR(B2335)*100+MONTH(B2335)</f>
        <v>201611</v>
      </c>
      <c r="I2335" s="55">
        <f>MATCH(D2335,$O:$O,0)</f>
        <v>23</v>
      </c>
      <c r="J2335" s="65" t="s">
        <v>39</v>
      </c>
      <c r="K2335" s="65" t="s">
        <v>803</v>
      </c>
      <c r="L2335" s="65" t="s">
        <v>927</v>
      </c>
    </row>
    <row r="2336" spans="1:12" x14ac:dyDescent="0.25">
      <c r="A2336" s="65" t="s">
        <v>236</v>
      </c>
      <c r="B2336" s="66">
        <v>42675</v>
      </c>
      <c r="C2336" s="65" t="s">
        <v>1520</v>
      </c>
      <c r="D2336" s="55" t="str">
        <f>IF(ISNA(VLOOKUP(E2336,$L$2:$M$26,2,FALSE)),E2336,VLOOKUP(E2336,$L$2:$M$26,2,FALSE))</f>
        <v>Mortgage/Rent</v>
      </c>
      <c r="E2336" s="65" t="s">
        <v>1612</v>
      </c>
      <c r="F2336" s="65" t="s">
        <v>238</v>
      </c>
      <c r="G2336" s="67">
        <v>2550</v>
      </c>
      <c r="H2336" s="55">
        <f>YEAR(B2336)*100+MONTH(B2336)</f>
        <v>201611</v>
      </c>
      <c r="I2336" s="55">
        <f>MATCH(D2336,$O:$O,0)</f>
        <v>21</v>
      </c>
      <c r="J2336" s="65" t="s">
        <v>39</v>
      </c>
      <c r="K2336" s="65" t="s">
        <v>803</v>
      </c>
      <c r="L2336" s="65" t="s">
        <v>310</v>
      </c>
    </row>
    <row r="2337" spans="1:12" x14ac:dyDescent="0.25">
      <c r="A2337" s="65" t="s">
        <v>236</v>
      </c>
      <c r="B2337" s="66">
        <v>42676</v>
      </c>
      <c r="C2337" s="65" t="s">
        <v>1158</v>
      </c>
      <c r="D2337" s="55" t="str">
        <f>IF(ISNA(VLOOKUP(E2337,$L$2:$M$26,2,FALSE)),E2337,VLOOKUP(E2337,$L$2:$M$26,2,FALSE))</f>
        <v>Paychecks/Salary</v>
      </c>
      <c r="E2337" s="65" t="s">
        <v>1588</v>
      </c>
      <c r="F2337" s="65" t="s">
        <v>238</v>
      </c>
      <c r="G2337" s="65">
        <v>55.04</v>
      </c>
      <c r="H2337" s="55">
        <f>YEAR(B2337)*100+MONTH(B2337)</f>
        <v>201611</v>
      </c>
      <c r="I2337" s="55">
        <f>MATCH(D2337,$O:$O,0)</f>
        <v>40</v>
      </c>
      <c r="J2337" s="65" t="s">
        <v>39</v>
      </c>
      <c r="K2337" s="65" t="s">
        <v>803</v>
      </c>
      <c r="L2337" s="65" t="s">
        <v>193</v>
      </c>
    </row>
    <row r="2338" spans="1:12" x14ac:dyDescent="0.25">
      <c r="A2338" s="65" t="s">
        <v>236</v>
      </c>
      <c r="B2338" s="66">
        <v>42678</v>
      </c>
      <c r="C2338" s="65" t="s">
        <v>1513</v>
      </c>
      <c r="D2338" s="55" t="str">
        <f>IF(ISNA(VLOOKUP(E2338,$L$2:$M$26,2,FALSE)),E2338,VLOOKUP(E2338,$L$2:$M$26,2,FALSE))</f>
        <v>Paychecks/Salary</v>
      </c>
      <c r="E2338" s="65" t="s">
        <v>1588</v>
      </c>
      <c r="F2338" s="65" t="s">
        <v>238</v>
      </c>
      <c r="G2338" s="67">
        <v>3000</v>
      </c>
      <c r="H2338" s="55">
        <f>YEAR(B2338)*100+MONTH(B2338)</f>
        <v>201611</v>
      </c>
      <c r="I2338" s="55">
        <f>MATCH(D2338,$O:$O,0)</f>
        <v>40</v>
      </c>
      <c r="J2338" s="65" t="s">
        <v>39</v>
      </c>
      <c r="K2338" s="65" t="s">
        <v>803</v>
      </c>
      <c r="L2338" s="65" t="s">
        <v>239</v>
      </c>
    </row>
    <row r="2339" spans="1:12" x14ac:dyDescent="0.25">
      <c r="A2339" s="65" t="s">
        <v>236</v>
      </c>
      <c r="B2339" s="66">
        <v>42689</v>
      </c>
      <c r="C2339" s="65" t="s">
        <v>1078</v>
      </c>
      <c r="D2339" s="55" t="str">
        <f>IF(ISNA(VLOOKUP(E2339,$L$2:$M$26,2,FALSE)),E2339,VLOOKUP(E2339,$L$2:$M$26,2,FALSE))</f>
        <v>Paychecks/Salary</v>
      </c>
      <c r="E2339" s="65" t="s">
        <v>261</v>
      </c>
      <c r="F2339" s="65" t="s">
        <v>238</v>
      </c>
      <c r="G2339" s="67">
        <v>1660.6</v>
      </c>
      <c r="H2339" s="55">
        <f>YEAR(B2339)*100+MONTH(B2339)</f>
        <v>201611</v>
      </c>
      <c r="I2339" s="55">
        <f>MATCH(D2339,$O:$O,0)</f>
        <v>40</v>
      </c>
      <c r="J2339" s="65" t="s">
        <v>39</v>
      </c>
      <c r="K2339" s="65" t="s">
        <v>675</v>
      </c>
      <c r="L2339" s="65" t="s">
        <v>289</v>
      </c>
    </row>
    <row r="2340" spans="1:12" x14ac:dyDescent="0.25">
      <c r="A2340" s="65" t="s">
        <v>236</v>
      </c>
      <c r="B2340" s="66">
        <v>42697</v>
      </c>
      <c r="C2340" s="65" t="s">
        <v>1494</v>
      </c>
      <c r="D2340" s="55" t="str">
        <f>IF(ISNA(VLOOKUP(E2340,$L$2:$M$26,2,FALSE)),E2340,VLOOKUP(E2340,$L$2:$M$26,2,FALSE))</f>
        <v>Paychecks/Salary</v>
      </c>
      <c r="E2340" s="65" t="s">
        <v>1588</v>
      </c>
      <c r="F2340" s="65" t="s">
        <v>238</v>
      </c>
      <c r="G2340" s="67">
        <v>1500</v>
      </c>
      <c r="H2340" s="55">
        <f>YEAR(B2340)*100+MONTH(B2340)</f>
        <v>201611</v>
      </c>
      <c r="I2340" s="55">
        <f>MATCH(D2340,$O:$O,0)</f>
        <v>40</v>
      </c>
      <c r="J2340" s="65" t="s">
        <v>39</v>
      </c>
      <c r="K2340" s="65" t="s">
        <v>803</v>
      </c>
      <c r="L2340" s="65"/>
    </row>
    <row r="2341" spans="1:12" x14ac:dyDescent="0.25">
      <c r="A2341" s="65" t="s">
        <v>236</v>
      </c>
      <c r="B2341" s="66">
        <v>42677</v>
      </c>
      <c r="C2341" s="65" t="s">
        <v>1514</v>
      </c>
      <c r="D2341" s="55" t="str">
        <f>IF(ISNA(VLOOKUP(E2341,$L$2:$M$26,2,FALSE)),E2341,VLOOKUP(E2341,$L$2:$M$26,2,FALSE))</f>
        <v>Property Tax</v>
      </c>
      <c r="E2341" s="65" t="s">
        <v>1606</v>
      </c>
      <c r="F2341" s="65" t="s">
        <v>238</v>
      </c>
      <c r="G2341" s="67">
        <v>-4775.8599999999997</v>
      </c>
      <c r="H2341" s="55">
        <f>YEAR(B2341)*100+MONTH(B2341)</f>
        <v>201611</v>
      </c>
      <c r="I2341" s="55">
        <f>MATCH(D2341,$O:$O,0)</f>
        <v>15</v>
      </c>
      <c r="J2341" s="65" t="s">
        <v>39</v>
      </c>
      <c r="K2341" s="65" t="s">
        <v>675</v>
      </c>
      <c r="L2341" s="65"/>
    </row>
    <row r="2342" spans="1:12" x14ac:dyDescent="0.25">
      <c r="A2342" s="65" t="s">
        <v>236</v>
      </c>
      <c r="B2342" s="66">
        <v>42684</v>
      </c>
      <c r="C2342" s="65" t="s">
        <v>221</v>
      </c>
      <c r="D2342" s="55" t="str">
        <f>IF(ISNA(VLOOKUP(E2342,$L$2:$M$26,2,FALSE)),E2342,VLOOKUP(E2342,$L$2:$M$26,2,FALSE))</f>
        <v>Tax</v>
      </c>
      <c r="E2342" s="65" t="s">
        <v>222</v>
      </c>
      <c r="F2342" s="65" t="s">
        <v>238</v>
      </c>
      <c r="G2342" s="65">
        <v>-0.04</v>
      </c>
      <c r="H2342" s="55">
        <f>YEAR(B2342)*100+MONTH(B2342)</f>
        <v>201611</v>
      </c>
      <c r="I2342" s="55">
        <f>MATCH(D2342,$O:$O,0)</f>
        <v>29</v>
      </c>
      <c r="J2342" s="65" t="s">
        <v>39</v>
      </c>
      <c r="K2342" s="65" t="s">
        <v>803</v>
      </c>
      <c r="L2342" s="65" t="s">
        <v>353</v>
      </c>
    </row>
    <row r="2343" spans="1:12" x14ac:dyDescent="0.25">
      <c r="A2343" s="65" t="s">
        <v>236</v>
      </c>
      <c r="B2343" s="66">
        <v>42684</v>
      </c>
      <c r="C2343" s="65" t="s">
        <v>221</v>
      </c>
      <c r="D2343" s="55" t="str">
        <f>IF(ISNA(VLOOKUP(E2343,$L$2:$M$26,2,FALSE)),E2343,VLOOKUP(E2343,$L$2:$M$26,2,FALSE))</f>
        <v>Tax</v>
      </c>
      <c r="E2343" s="65" t="s">
        <v>222</v>
      </c>
      <c r="F2343" s="65" t="s">
        <v>238</v>
      </c>
      <c r="G2343" s="65">
        <v>-0.05</v>
      </c>
      <c r="H2343" s="55">
        <f>YEAR(B2343)*100+MONTH(B2343)</f>
        <v>201611</v>
      </c>
      <c r="I2343" s="55">
        <f>MATCH(D2343,$O:$O,0)</f>
        <v>29</v>
      </c>
      <c r="J2343" s="65" t="s">
        <v>39</v>
      </c>
      <c r="K2343" s="65" t="s">
        <v>628</v>
      </c>
      <c r="L2343" s="65" t="s">
        <v>1490</v>
      </c>
    </row>
    <row r="2344" spans="1:12" x14ac:dyDescent="0.25">
      <c r="A2344" s="65" t="s">
        <v>236</v>
      </c>
      <c r="B2344" s="66">
        <v>42699</v>
      </c>
      <c r="C2344" s="65" t="s">
        <v>1488</v>
      </c>
      <c r="D2344" s="55" t="str">
        <f>IF(ISNA(VLOOKUP(E2344,$L$2:$M$26,2,FALSE)),E2344,VLOOKUP(E2344,$L$2:$M$26,2,FALSE))</f>
        <v>Paychecks/Salary</v>
      </c>
      <c r="E2344" s="65" t="s">
        <v>1588</v>
      </c>
      <c r="F2344" s="65" t="s">
        <v>238</v>
      </c>
      <c r="G2344" s="67">
        <v>1500</v>
      </c>
      <c r="H2344" s="55">
        <f>YEAR(B2344)*100+MONTH(B2344)</f>
        <v>201611</v>
      </c>
      <c r="I2344" s="55">
        <f>MATCH(D2344,$O:$O,0)</f>
        <v>40</v>
      </c>
      <c r="J2344" s="65" t="s">
        <v>39</v>
      </c>
      <c r="K2344" s="65" t="s">
        <v>803</v>
      </c>
      <c r="L2344" s="65" t="s">
        <v>1444</v>
      </c>
    </row>
    <row r="2345" spans="1:12" x14ac:dyDescent="0.25">
      <c r="A2345" s="65" t="s">
        <v>236</v>
      </c>
      <c r="B2345" s="66">
        <v>42695</v>
      </c>
      <c r="C2345" s="65" t="s">
        <v>1499</v>
      </c>
      <c r="D2345" s="55" t="str">
        <f>IF(ISNA(VLOOKUP(E2345,$L$2:$M$26,2,FALSE)),E2345,VLOOKUP(E2345,$L$2:$M$26,2,FALSE))</f>
        <v>Utility</v>
      </c>
      <c r="E2345" s="65" t="s">
        <v>19</v>
      </c>
      <c r="F2345" s="65" t="s">
        <v>238</v>
      </c>
      <c r="G2345" s="65">
        <v>-138.71</v>
      </c>
      <c r="H2345" s="55">
        <f>YEAR(B2345)*100+MONTH(B2345)</f>
        <v>201611</v>
      </c>
      <c r="I2345" s="55">
        <f>MATCH(D2345,$O:$O,0)</f>
        <v>34</v>
      </c>
      <c r="J2345" s="65" t="s">
        <v>39</v>
      </c>
      <c r="K2345" s="65" t="s">
        <v>803</v>
      </c>
      <c r="L2345" s="65"/>
    </row>
    <row r="2346" spans="1:12" x14ac:dyDescent="0.25">
      <c r="A2346" s="65" t="s">
        <v>236</v>
      </c>
      <c r="B2346" s="66">
        <v>42695</v>
      </c>
      <c r="C2346" s="65" t="s">
        <v>904</v>
      </c>
      <c r="D2346" s="55" t="str">
        <f>IF(ISNA(VLOOKUP(E2346,$L$2:$M$26,2,FALSE)),E2346,VLOOKUP(E2346,$L$2:$M$26,2,FALSE))</f>
        <v>Utility</v>
      </c>
      <c r="E2346" s="65" t="s">
        <v>19</v>
      </c>
      <c r="F2346" s="65" t="s">
        <v>238</v>
      </c>
      <c r="G2346" s="65">
        <v>-300.44</v>
      </c>
      <c r="H2346" s="55">
        <f>YEAR(B2346)*100+MONTH(B2346)</f>
        <v>201611</v>
      </c>
      <c r="I2346" s="55">
        <f>MATCH(D2346,$O:$O,0)</f>
        <v>34</v>
      </c>
      <c r="J2346" s="65" t="s">
        <v>39</v>
      </c>
      <c r="K2346" s="65" t="s">
        <v>1398</v>
      </c>
      <c r="L2346" s="65" t="s">
        <v>239</v>
      </c>
    </row>
  </sheetData>
  <sortState ref="A2229:K2281">
    <sortCondition ref="D2229:D2281"/>
  </sortState>
  <phoneticPr fontId="32" type="noConversion"/>
  <pageMargins left="0.7" right="0.7" top="0.75" bottom="0.75" header="0.3" footer="0.3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6"/>
  <sheetViews>
    <sheetView zoomScaleNormal="100" workbookViewId="0">
      <pane ySplit="1" topLeftCell="A2" activePane="bottomLeft" state="frozen"/>
      <selection pane="bottomLeft" activeCell="H24" sqref="H24"/>
    </sheetView>
  </sheetViews>
  <sheetFormatPr defaultColWidth="8.85546875" defaultRowHeight="15.75" x14ac:dyDescent="0.25"/>
  <cols>
    <col min="2" max="2" width="10.85546875" customWidth="1"/>
    <col min="3" max="3" width="11.85546875" bestFit="1" customWidth="1"/>
    <col min="4" max="4" width="12" customWidth="1"/>
    <col min="5" max="5" width="11.42578125" customWidth="1"/>
    <col min="6" max="6" width="12.85546875" customWidth="1"/>
    <col min="7" max="7" width="11" customWidth="1"/>
    <col min="8" max="8" width="12.5703125" bestFit="1" customWidth="1"/>
    <col min="9" max="9" width="12.7109375" customWidth="1"/>
    <col min="10" max="10" width="12" customWidth="1"/>
    <col min="11" max="11" width="13.28515625" customWidth="1"/>
    <col min="12" max="12" width="14.140625" customWidth="1"/>
    <col min="13" max="13" width="11.140625" customWidth="1"/>
    <col min="14" max="14" width="13.42578125" customWidth="1"/>
    <col min="15" max="15" width="10.140625" bestFit="1" customWidth="1"/>
    <col min="16" max="16" width="12.140625" customWidth="1"/>
    <col min="17" max="17" width="12.42578125" customWidth="1"/>
  </cols>
  <sheetData>
    <row r="1" spans="1:18" s="27" customFormat="1" ht="78.75" x14ac:dyDescent="0.25">
      <c r="A1" s="27" t="s">
        <v>123</v>
      </c>
      <c r="B1" s="27" t="s">
        <v>103</v>
      </c>
      <c r="C1" s="27" t="s">
        <v>104</v>
      </c>
      <c r="D1" s="27" t="s">
        <v>105</v>
      </c>
      <c r="E1" s="27" t="s">
        <v>172</v>
      </c>
      <c r="F1" s="27" t="s">
        <v>109</v>
      </c>
      <c r="G1" s="27" t="s">
        <v>106</v>
      </c>
      <c r="H1" s="27" t="s">
        <v>107</v>
      </c>
      <c r="I1" s="27" t="s">
        <v>174</v>
      </c>
      <c r="J1" s="27" t="s">
        <v>125</v>
      </c>
      <c r="K1" s="27" t="s">
        <v>173</v>
      </c>
      <c r="L1" s="27" t="s">
        <v>124</v>
      </c>
      <c r="M1" s="27" t="s">
        <v>5</v>
      </c>
      <c r="N1" s="27" t="s">
        <v>110</v>
      </c>
      <c r="O1" s="27" t="s">
        <v>91</v>
      </c>
      <c r="P1" s="27" t="s">
        <v>108</v>
      </c>
      <c r="Q1" s="27" t="s">
        <v>111</v>
      </c>
      <c r="R1" s="27" t="s">
        <v>171</v>
      </c>
    </row>
    <row r="2" spans="1:18" x14ac:dyDescent="0.25">
      <c r="A2">
        <v>1</v>
      </c>
      <c r="B2" s="26">
        <v>42005</v>
      </c>
      <c r="C2" s="26">
        <f t="shared" ref="C2:C7" si="0">EOMONTH(B2,0)</f>
        <v>42035</v>
      </c>
      <c r="D2" s="4">
        <f>-'Budget Detail-Own 2015'!D40</f>
        <v>-16116.2</v>
      </c>
      <c r="E2" s="4"/>
      <c r="F2" s="4"/>
      <c r="G2" s="4"/>
      <c r="H2" s="1">
        <f>'Budget Detail-Own 2015'!D47</f>
        <v>5885.5599999999995</v>
      </c>
      <c r="J2" s="19">
        <f t="shared" ref="J2:J12" si="1">H2+SUM(D2:F2)</f>
        <v>-10230.640000000001</v>
      </c>
      <c r="K2" s="19">
        <v>170000</v>
      </c>
      <c r="L2" s="19">
        <f>0+J2</f>
        <v>-10230.640000000001</v>
      </c>
      <c r="M2" s="22">
        <f t="shared" ref="M2:M3" si="2">L2/A2</f>
        <v>-10230.640000000001</v>
      </c>
      <c r="N2" s="4">
        <f>0+F2+G2</f>
        <v>0</v>
      </c>
      <c r="O2" s="4">
        <f>'Budget Detail-Own 2015'!$C$40</f>
        <v>5688.1</v>
      </c>
      <c r="P2" s="4">
        <f t="shared" ref="P2:P12" si="3">O2+D2</f>
        <v>-10428.1</v>
      </c>
      <c r="Q2" s="22">
        <f>0+P2</f>
        <v>-10428.1</v>
      </c>
    </row>
    <row r="3" spans="1:18" x14ac:dyDescent="0.25">
      <c r="A3">
        <v>2</v>
      </c>
      <c r="B3" s="43">
        <f t="shared" ref="B3:B7" si="4">C2+1</f>
        <v>42036</v>
      </c>
      <c r="C3" s="26">
        <f t="shared" si="0"/>
        <v>42063</v>
      </c>
      <c r="D3" s="4">
        <f>-'Budget Detail-Own 2015'!F40</f>
        <v>-4467.4500000000007</v>
      </c>
      <c r="E3" s="4"/>
      <c r="F3" s="4"/>
      <c r="G3" s="4"/>
      <c r="H3" s="1">
        <f>'Budget Detail-Own 2015'!F$47</f>
        <v>28869.78</v>
      </c>
      <c r="J3" s="19">
        <f t="shared" si="1"/>
        <v>24402.329999999998</v>
      </c>
      <c r="K3" s="19">
        <f t="shared" ref="K3:K12" si="5">K2-I3</f>
        <v>170000</v>
      </c>
      <c r="L3" s="22">
        <f t="shared" ref="L3:L12" si="6">L2+J3</f>
        <v>14171.689999999997</v>
      </c>
      <c r="M3" s="22">
        <f t="shared" si="2"/>
        <v>7085.8449999999984</v>
      </c>
      <c r="N3" s="4">
        <f t="shared" ref="N3" si="7">N2+F3+G3</f>
        <v>0</v>
      </c>
      <c r="O3" s="4">
        <f>'Budget Detail-Own 2015'!$C$40</f>
        <v>5688.1</v>
      </c>
      <c r="P3" s="4">
        <f t="shared" si="3"/>
        <v>1220.6499999999996</v>
      </c>
      <c r="Q3" s="22">
        <f t="shared" ref="Q3" si="8">Q2+P3</f>
        <v>-9207.4500000000007</v>
      </c>
    </row>
    <row r="4" spans="1:18" x14ac:dyDescent="0.25">
      <c r="A4" s="46">
        <v>3</v>
      </c>
      <c r="B4" s="43">
        <f t="shared" si="4"/>
        <v>42064</v>
      </c>
      <c r="C4" s="26">
        <f t="shared" si="0"/>
        <v>42094</v>
      </c>
      <c r="D4" s="4">
        <f>-'Budget Detail-Own 2015'!H40</f>
        <v>-19417.53</v>
      </c>
      <c r="H4" s="1">
        <f>'Budget Detail-Own 2015'!H$47</f>
        <v>5506.67</v>
      </c>
      <c r="I4" s="42"/>
      <c r="J4" s="19">
        <f t="shared" si="1"/>
        <v>-13910.859999999999</v>
      </c>
      <c r="K4" s="19">
        <f t="shared" si="5"/>
        <v>170000</v>
      </c>
      <c r="L4" s="22">
        <f t="shared" si="6"/>
        <v>260.82999999999811</v>
      </c>
      <c r="M4" s="22">
        <f t="shared" ref="M4:M12" si="9">L4/A4</f>
        <v>86.943333333332703</v>
      </c>
      <c r="N4" s="4">
        <f t="shared" ref="N4:N12" si="10">N3+F4+G4</f>
        <v>0</v>
      </c>
      <c r="O4" s="4">
        <f>'Budget Detail-Own 2015'!$C$40</f>
        <v>5688.1</v>
      </c>
      <c r="P4" s="4">
        <f t="shared" si="3"/>
        <v>-13729.429999999998</v>
      </c>
      <c r="Q4" s="22">
        <f t="shared" ref="Q4:Q12" si="11">Q3+P4</f>
        <v>-22936.879999999997</v>
      </c>
    </row>
    <row r="5" spans="1:18" x14ac:dyDescent="0.25">
      <c r="A5" s="46">
        <v>4</v>
      </c>
      <c r="B5" s="43">
        <f t="shared" si="4"/>
        <v>42095</v>
      </c>
      <c r="C5" s="43">
        <f t="shared" si="0"/>
        <v>42124</v>
      </c>
      <c r="D5" s="4">
        <f>-'Budget Detail-Own 2015'!J$40</f>
        <v>4357.119999999999</v>
      </c>
      <c r="H5" s="1">
        <f>'Budget Detail-Own 2015'!J$47</f>
        <v>5523.55</v>
      </c>
      <c r="I5" s="42"/>
      <c r="J5" s="19">
        <f t="shared" si="1"/>
        <v>9880.6699999999983</v>
      </c>
      <c r="K5" s="19">
        <f t="shared" si="5"/>
        <v>170000</v>
      </c>
      <c r="L5" s="22">
        <f t="shared" si="6"/>
        <v>10141.499999999996</v>
      </c>
      <c r="M5" s="22">
        <f t="shared" si="9"/>
        <v>2535.3749999999991</v>
      </c>
      <c r="N5" s="4">
        <f t="shared" si="10"/>
        <v>0</v>
      </c>
      <c r="O5" s="4">
        <f>'Budget Detail-Own 2015'!$C$40</f>
        <v>5688.1</v>
      </c>
      <c r="P5" s="4">
        <f t="shared" si="3"/>
        <v>10045.219999999999</v>
      </c>
      <c r="Q5" s="22">
        <f t="shared" si="11"/>
        <v>-12891.659999999998</v>
      </c>
    </row>
    <row r="6" spans="1:18" x14ac:dyDescent="0.25">
      <c r="A6" s="46">
        <v>5</v>
      </c>
      <c r="B6" s="43">
        <f t="shared" si="4"/>
        <v>42125</v>
      </c>
      <c r="C6" s="43">
        <f t="shared" si="0"/>
        <v>42155</v>
      </c>
      <c r="D6" s="4">
        <f>-'Budget Detail-Own 2015'!L$40</f>
        <v>-6847.44</v>
      </c>
      <c r="H6" s="1">
        <f>'Budget Detail-Own 2015'!L$47</f>
        <v>5507.3899999999994</v>
      </c>
      <c r="I6" s="42"/>
      <c r="J6" s="19">
        <f t="shared" si="1"/>
        <v>-1340.0500000000002</v>
      </c>
      <c r="K6" s="19">
        <f t="shared" si="5"/>
        <v>170000</v>
      </c>
      <c r="L6" s="22">
        <f t="shared" si="6"/>
        <v>8801.4499999999971</v>
      </c>
      <c r="M6" s="22">
        <f t="shared" si="9"/>
        <v>1760.2899999999995</v>
      </c>
      <c r="N6" s="4">
        <f t="shared" si="10"/>
        <v>0</v>
      </c>
      <c r="O6" s="4">
        <f>'Budget Detail-Own 2015'!$C$40</f>
        <v>5688.1</v>
      </c>
      <c r="P6" s="4">
        <f t="shared" si="3"/>
        <v>-1159.3399999999992</v>
      </c>
      <c r="Q6" s="22">
        <f t="shared" si="11"/>
        <v>-14050.999999999996</v>
      </c>
    </row>
    <row r="7" spans="1:18" x14ac:dyDescent="0.25">
      <c r="A7" s="46">
        <v>6</v>
      </c>
      <c r="B7" s="43">
        <f t="shared" si="4"/>
        <v>42156</v>
      </c>
      <c r="C7" s="43">
        <f t="shared" si="0"/>
        <v>42185</v>
      </c>
      <c r="D7" s="4">
        <f>-'Budget Detail-Own 2015'!N$40</f>
        <v>-5816.82</v>
      </c>
      <c r="H7" s="1">
        <f>'Budget Detail-Own 2015'!N$47</f>
        <v>5550.49</v>
      </c>
      <c r="I7" s="42"/>
      <c r="J7" s="19">
        <f t="shared" si="1"/>
        <v>-266.32999999999993</v>
      </c>
      <c r="K7" s="19">
        <f t="shared" si="5"/>
        <v>170000</v>
      </c>
      <c r="L7" s="22">
        <f t="shared" si="6"/>
        <v>8535.1199999999972</v>
      </c>
      <c r="M7" s="22">
        <f t="shared" si="9"/>
        <v>1422.5199999999995</v>
      </c>
      <c r="N7" s="4">
        <f t="shared" si="10"/>
        <v>0</v>
      </c>
      <c r="O7" s="4">
        <f>'Budget Detail-Own 2015'!$C$40</f>
        <v>5688.1</v>
      </c>
      <c r="P7" s="4">
        <f t="shared" si="3"/>
        <v>-128.71999999999935</v>
      </c>
      <c r="Q7" s="22">
        <f t="shared" si="11"/>
        <v>-14179.719999999996</v>
      </c>
    </row>
    <row r="8" spans="1:18" x14ac:dyDescent="0.25">
      <c r="A8" s="46">
        <v>7</v>
      </c>
      <c r="B8" s="43">
        <f t="shared" ref="B8:B13" si="12">C7+1</f>
        <v>42186</v>
      </c>
      <c r="C8" s="43">
        <f t="shared" ref="C8:C13" si="13">EOMONTH(B8,0)</f>
        <v>42216</v>
      </c>
      <c r="D8" s="4">
        <f>-'Budget Detail-Own 2015'!P$40</f>
        <v>310.10000000000036</v>
      </c>
      <c r="H8" s="1">
        <f>'Budget Detail-Own 2015'!P$47</f>
        <v>6190.9</v>
      </c>
      <c r="J8" s="19">
        <f t="shared" si="1"/>
        <v>6501</v>
      </c>
      <c r="K8" s="19">
        <f t="shared" si="5"/>
        <v>170000</v>
      </c>
      <c r="L8" s="22">
        <f t="shared" si="6"/>
        <v>15036.119999999997</v>
      </c>
      <c r="M8" s="22">
        <f t="shared" si="9"/>
        <v>2148.0171428571425</v>
      </c>
      <c r="N8" s="4">
        <f t="shared" si="10"/>
        <v>0</v>
      </c>
      <c r="O8" s="4">
        <f>'Budget Detail-Own 2015'!$C$40</f>
        <v>5688.1</v>
      </c>
      <c r="P8" s="4">
        <f t="shared" si="3"/>
        <v>5998.2000000000007</v>
      </c>
      <c r="Q8" s="22">
        <f t="shared" si="11"/>
        <v>-8181.519999999995</v>
      </c>
    </row>
    <row r="9" spans="1:18" x14ac:dyDescent="0.25">
      <c r="A9" s="46">
        <v>8</v>
      </c>
      <c r="B9" s="43">
        <f t="shared" si="12"/>
        <v>42217</v>
      </c>
      <c r="C9" s="43">
        <f t="shared" si="13"/>
        <v>42247</v>
      </c>
      <c r="D9" s="4">
        <f>-'Budget Detail-Own 2015'!R$40</f>
        <v>-7363.97</v>
      </c>
      <c r="H9" s="1">
        <f>'Budget Detail-Own 2015'!R$47</f>
        <v>6611.46</v>
      </c>
      <c r="J9" s="19">
        <f t="shared" si="1"/>
        <v>-752.51000000000022</v>
      </c>
      <c r="K9" s="19">
        <f t="shared" si="5"/>
        <v>170000</v>
      </c>
      <c r="L9" s="22">
        <f t="shared" si="6"/>
        <v>14283.609999999997</v>
      </c>
      <c r="M9" s="22">
        <f t="shared" si="9"/>
        <v>1785.4512499999996</v>
      </c>
      <c r="N9" s="4">
        <f t="shared" si="10"/>
        <v>0</v>
      </c>
      <c r="O9" s="4">
        <f>'Budget Detail-Own 2015'!$C$40</f>
        <v>5688.1</v>
      </c>
      <c r="P9" s="4">
        <f t="shared" si="3"/>
        <v>-1675.87</v>
      </c>
      <c r="Q9" s="22">
        <f t="shared" si="11"/>
        <v>-9857.3899999999958</v>
      </c>
    </row>
    <row r="10" spans="1:18" x14ac:dyDescent="0.25">
      <c r="A10" s="46">
        <v>9</v>
      </c>
      <c r="B10" s="43">
        <f t="shared" si="12"/>
        <v>42248</v>
      </c>
      <c r="C10" s="43">
        <f t="shared" si="13"/>
        <v>42277</v>
      </c>
      <c r="D10" s="4">
        <f>-'Budget Detail-Own 2015'!T40</f>
        <v>-9017.14</v>
      </c>
      <c r="F10" s="1"/>
      <c r="H10" s="1">
        <f>'Budget Detail-Own 2015'!T47</f>
        <v>6559.23</v>
      </c>
      <c r="J10" s="19">
        <f t="shared" si="1"/>
        <v>-2457.91</v>
      </c>
      <c r="K10" s="19">
        <f t="shared" si="5"/>
        <v>170000</v>
      </c>
      <c r="L10" s="22">
        <f t="shared" si="6"/>
        <v>11825.699999999997</v>
      </c>
      <c r="M10" s="22">
        <f t="shared" si="9"/>
        <v>1313.9666666666662</v>
      </c>
      <c r="N10" s="4">
        <f t="shared" si="10"/>
        <v>0</v>
      </c>
      <c r="O10" s="4">
        <f>'Budget Detail-Own 2015'!$C$40</f>
        <v>5688.1</v>
      </c>
      <c r="P10" s="4">
        <f t="shared" si="3"/>
        <v>-3329.0399999999991</v>
      </c>
      <c r="Q10" s="22">
        <f t="shared" si="11"/>
        <v>-13186.429999999995</v>
      </c>
    </row>
    <row r="11" spans="1:18" x14ac:dyDescent="0.25">
      <c r="A11" s="46">
        <v>10</v>
      </c>
      <c r="B11" s="43">
        <f t="shared" si="12"/>
        <v>42278</v>
      </c>
      <c r="C11" s="43">
        <f t="shared" si="13"/>
        <v>42308</v>
      </c>
      <c r="D11" s="4">
        <f>-'Budget Detail-Own 2015'!V41</f>
        <v>-8370.369999999999</v>
      </c>
      <c r="H11" s="1">
        <f>'Budget Detail-Own 2015'!V47</f>
        <v>6649.88</v>
      </c>
      <c r="J11" s="19">
        <f t="shared" si="1"/>
        <v>-1720.4899999999989</v>
      </c>
      <c r="K11" s="19">
        <f t="shared" si="5"/>
        <v>170000</v>
      </c>
      <c r="L11" s="22">
        <f t="shared" si="6"/>
        <v>10105.209999999999</v>
      </c>
      <c r="M11" s="22">
        <f t="shared" si="9"/>
        <v>1010.521</v>
      </c>
      <c r="N11" s="4">
        <f t="shared" si="10"/>
        <v>0</v>
      </c>
      <c r="O11" s="4">
        <f>'Budget Detail-Own 2015'!$C$40</f>
        <v>5688.1</v>
      </c>
      <c r="P11" s="4">
        <f t="shared" si="3"/>
        <v>-2682.2699999999986</v>
      </c>
      <c r="Q11" s="22">
        <f t="shared" si="11"/>
        <v>-15868.699999999993</v>
      </c>
    </row>
    <row r="12" spans="1:18" x14ac:dyDescent="0.25">
      <c r="A12" s="46">
        <v>11</v>
      </c>
      <c r="B12" s="43">
        <f t="shared" si="12"/>
        <v>42309</v>
      </c>
      <c r="C12" s="43">
        <f t="shared" si="13"/>
        <v>42338</v>
      </c>
      <c r="D12" s="4">
        <f>-'Budget Detail-Own 2015'!X40</f>
        <v>-6876.3799999999992</v>
      </c>
      <c r="H12" s="1">
        <f>'Budget Detail-Own 2015'!X47</f>
        <v>6562.21</v>
      </c>
      <c r="J12" s="19">
        <f t="shared" si="1"/>
        <v>-314.16999999999916</v>
      </c>
      <c r="K12" s="19">
        <f t="shared" si="5"/>
        <v>170000</v>
      </c>
      <c r="L12" s="22">
        <f t="shared" si="6"/>
        <v>9791.0400000000009</v>
      </c>
      <c r="M12" s="22">
        <f t="shared" si="9"/>
        <v>890.09454545454548</v>
      </c>
      <c r="N12" s="4">
        <f t="shared" si="10"/>
        <v>0</v>
      </c>
      <c r="O12" s="4">
        <f>'Budget Detail-Own 2015'!$C$40</f>
        <v>5688.1</v>
      </c>
      <c r="P12" s="4">
        <f t="shared" si="3"/>
        <v>-1188.2799999999988</v>
      </c>
      <c r="Q12" s="22">
        <f t="shared" si="11"/>
        <v>-17056.979999999992</v>
      </c>
    </row>
    <row r="13" spans="1:18" x14ac:dyDescent="0.25">
      <c r="A13" s="46">
        <v>12</v>
      </c>
      <c r="B13" s="43">
        <f t="shared" si="12"/>
        <v>42339</v>
      </c>
      <c r="C13" s="43">
        <f t="shared" si="13"/>
        <v>42369</v>
      </c>
      <c r="D13" s="4">
        <f>-'Budget Detail-Own 2015'!Z40</f>
        <v>-11758.179999999998</v>
      </c>
      <c r="H13" s="1">
        <f>'Budget Detail-Own 2015'!Z47</f>
        <v>6697.17</v>
      </c>
      <c r="J13" s="19">
        <f t="shared" ref="J13" si="14">H13+SUM(D13:F13)</f>
        <v>-5061.0099999999984</v>
      </c>
      <c r="K13" s="19">
        <f t="shared" ref="K13" si="15">K12-I13</f>
        <v>170000</v>
      </c>
      <c r="L13" s="22">
        <f t="shared" ref="L13" si="16">L12+J13</f>
        <v>4730.0300000000025</v>
      </c>
      <c r="M13" s="22">
        <f t="shared" ref="M13" si="17">L13/A13</f>
        <v>394.16916666666685</v>
      </c>
      <c r="N13" s="4">
        <f t="shared" ref="N13" si="18">N12+F13+G13</f>
        <v>0</v>
      </c>
      <c r="O13" s="4">
        <f>'Budget Detail-Own 2015'!$C$40</f>
        <v>5688.1</v>
      </c>
      <c r="P13" s="4">
        <f t="shared" ref="P13" si="19">O13+D13</f>
        <v>-6070.0799999999981</v>
      </c>
      <c r="Q13" s="22">
        <f t="shared" ref="Q13" si="20">Q12+P13</f>
        <v>-23127.05999999999</v>
      </c>
    </row>
    <row r="14" spans="1:18" x14ac:dyDescent="0.25">
      <c r="A14" s="55">
        <v>13</v>
      </c>
      <c r="B14" s="56">
        <f t="shared" ref="B14:B20" si="21">C13+1</f>
        <v>42370</v>
      </c>
      <c r="C14" s="56">
        <f t="shared" ref="C14:C20" si="22">EOMONTH(B14,0)</f>
        <v>42400</v>
      </c>
      <c r="D14" s="4">
        <f>-'Budget Detail-Own 2016'!D41</f>
        <v>-6687.7199999999993</v>
      </c>
      <c r="E14" s="55"/>
      <c r="F14" s="55"/>
      <c r="G14" s="55"/>
      <c r="H14" s="1">
        <f>'Budget Detail-Own 2016'!D48</f>
        <v>7717.84</v>
      </c>
      <c r="J14" s="19">
        <f t="shared" ref="J14:J19" si="23">H14+SUM(D14:F14)</f>
        <v>1030.1200000000008</v>
      </c>
      <c r="K14" s="19">
        <f t="shared" ref="K14:K19" si="24">K13-I14</f>
        <v>170000</v>
      </c>
      <c r="L14" s="22">
        <f t="shared" ref="L14:L19" si="25">L13+J14</f>
        <v>5760.1500000000033</v>
      </c>
      <c r="M14" s="22">
        <f t="shared" ref="M14:M19" si="26">L14/A14</f>
        <v>443.08846153846179</v>
      </c>
      <c r="N14" s="4">
        <f t="shared" ref="N14:N19" si="27">N13+F14+G14</f>
        <v>0</v>
      </c>
      <c r="O14" s="4">
        <f>'Budget Detail-Own 2015'!$C$40</f>
        <v>5688.1</v>
      </c>
      <c r="P14" s="4">
        <f t="shared" ref="P14:P19" si="28">O14+D14</f>
        <v>-999.61999999999898</v>
      </c>
      <c r="Q14" s="22">
        <f t="shared" ref="Q14:Q19" si="29">Q13+P14</f>
        <v>-24126.679999999989</v>
      </c>
    </row>
    <row r="15" spans="1:18" x14ac:dyDescent="0.25">
      <c r="A15" s="55">
        <v>14</v>
      </c>
      <c r="B15" s="56">
        <f t="shared" si="21"/>
        <v>42401</v>
      </c>
      <c r="C15" s="56">
        <f t="shared" si="22"/>
        <v>42429</v>
      </c>
      <c r="D15" s="4">
        <f>'Budget Detail-Own 2016'!F41*(-1)</f>
        <v>-15526.449999999999</v>
      </c>
      <c r="E15" s="55"/>
      <c r="F15" s="55"/>
      <c r="G15" s="55"/>
      <c r="H15" s="1">
        <f>'Budget Detail-Own 2016'!F48</f>
        <v>37001.230000000003</v>
      </c>
      <c r="J15" s="19">
        <f t="shared" si="23"/>
        <v>21474.780000000006</v>
      </c>
      <c r="K15" s="19">
        <f t="shared" si="24"/>
        <v>170000</v>
      </c>
      <c r="L15" s="22">
        <f t="shared" si="25"/>
        <v>27234.930000000008</v>
      </c>
      <c r="M15" s="22">
        <f t="shared" si="26"/>
        <v>1945.3521428571435</v>
      </c>
      <c r="N15" s="4">
        <f t="shared" si="27"/>
        <v>0</v>
      </c>
      <c r="O15" s="4">
        <f>'Budget Detail-Own 2015'!$C$40</f>
        <v>5688.1</v>
      </c>
      <c r="P15" s="4">
        <f t="shared" si="28"/>
        <v>-9838.3499999999985</v>
      </c>
      <c r="Q15" s="22">
        <f t="shared" si="29"/>
        <v>-33965.029999999984</v>
      </c>
    </row>
    <row r="16" spans="1:18" x14ac:dyDescent="0.25">
      <c r="A16" s="55">
        <v>15</v>
      </c>
      <c r="B16" s="56">
        <f t="shared" si="21"/>
        <v>42430</v>
      </c>
      <c r="C16" s="56">
        <f t="shared" si="22"/>
        <v>42460</v>
      </c>
      <c r="D16" s="4">
        <f>-'Budget Detail-Own 2016'!H41</f>
        <v>-16623</v>
      </c>
      <c r="E16" s="55"/>
      <c r="F16" s="55"/>
      <c r="G16" s="55"/>
      <c r="H16" s="1">
        <f>'Budget Detail-Own 2016'!H48</f>
        <v>8321.1999999999989</v>
      </c>
      <c r="J16" s="19">
        <f t="shared" si="23"/>
        <v>-8301.8000000000011</v>
      </c>
      <c r="K16" s="19">
        <f t="shared" si="24"/>
        <v>170000</v>
      </c>
      <c r="L16" s="22">
        <f t="shared" si="25"/>
        <v>18933.130000000005</v>
      </c>
      <c r="M16" s="22">
        <f t="shared" si="26"/>
        <v>1262.2086666666669</v>
      </c>
      <c r="N16" s="4">
        <f t="shared" si="27"/>
        <v>0</v>
      </c>
      <c r="O16" s="4">
        <f>'Budget Detail-Own 2015'!$C$40</f>
        <v>5688.1</v>
      </c>
      <c r="P16" s="4">
        <f t="shared" si="28"/>
        <v>-10934.9</v>
      </c>
      <c r="Q16" s="22">
        <f t="shared" si="29"/>
        <v>-44899.929999999986</v>
      </c>
    </row>
    <row r="17" spans="1:17" x14ac:dyDescent="0.25">
      <c r="A17" s="55">
        <v>16</v>
      </c>
      <c r="B17" s="56">
        <f t="shared" si="21"/>
        <v>42461</v>
      </c>
      <c r="C17" s="56">
        <f t="shared" si="22"/>
        <v>42490</v>
      </c>
      <c r="D17" s="4">
        <f>'Budget Detail-Own 2016'!J41*(-1)</f>
        <v>3305.9700000000016</v>
      </c>
      <c r="E17" s="55"/>
      <c r="F17" s="55"/>
      <c r="G17" s="55"/>
      <c r="H17" s="1">
        <f>'Budget Detail-Own 2016'!J48</f>
        <v>8208.77</v>
      </c>
      <c r="J17" s="19">
        <f t="shared" si="23"/>
        <v>11514.740000000002</v>
      </c>
      <c r="K17" s="19">
        <f t="shared" si="24"/>
        <v>170000</v>
      </c>
      <c r="L17" s="22">
        <f t="shared" si="25"/>
        <v>30447.870000000006</v>
      </c>
      <c r="M17" s="22">
        <f t="shared" si="26"/>
        <v>1902.9918750000004</v>
      </c>
      <c r="N17" s="4">
        <f t="shared" si="27"/>
        <v>0</v>
      </c>
      <c r="O17" s="4">
        <f>'Budget Detail-Own 2015'!$C$40</f>
        <v>5688.1</v>
      </c>
      <c r="P17" s="4">
        <f t="shared" si="28"/>
        <v>8994.0700000000015</v>
      </c>
      <c r="Q17" s="22">
        <f t="shared" si="29"/>
        <v>-35905.859999999986</v>
      </c>
    </row>
    <row r="18" spans="1:17" x14ac:dyDescent="0.25">
      <c r="A18" s="55">
        <v>17</v>
      </c>
      <c r="B18" s="56">
        <f t="shared" si="21"/>
        <v>42491</v>
      </c>
      <c r="C18" s="56">
        <f t="shared" si="22"/>
        <v>42521</v>
      </c>
      <c r="D18" s="4">
        <f>-'Budget Detail-Own 2016'!L41</f>
        <v>-9532.1</v>
      </c>
      <c r="E18" s="55"/>
      <c r="F18" s="55"/>
      <c r="G18" s="55"/>
      <c r="H18" s="1">
        <f>'Budget Detail-Own 2016'!L48</f>
        <v>8350.93</v>
      </c>
      <c r="J18" s="19">
        <f t="shared" si="23"/>
        <v>-1181.17</v>
      </c>
      <c r="K18" s="19">
        <f t="shared" si="24"/>
        <v>170000</v>
      </c>
      <c r="L18" s="22">
        <f t="shared" si="25"/>
        <v>29266.700000000004</v>
      </c>
      <c r="M18" s="22">
        <f t="shared" si="26"/>
        <v>1721.5705882352943</v>
      </c>
      <c r="N18" s="4">
        <f t="shared" si="27"/>
        <v>0</v>
      </c>
      <c r="O18" s="4">
        <f>'Budget Detail-Own 2015'!$C$40</f>
        <v>5688.1</v>
      </c>
      <c r="P18" s="4">
        <f t="shared" si="28"/>
        <v>-3844</v>
      </c>
      <c r="Q18" s="22">
        <f t="shared" si="29"/>
        <v>-39749.859999999986</v>
      </c>
    </row>
    <row r="19" spans="1:17" x14ac:dyDescent="0.25">
      <c r="A19" s="55">
        <v>18</v>
      </c>
      <c r="B19" s="56">
        <f t="shared" si="21"/>
        <v>42522</v>
      </c>
      <c r="C19" s="56">
        <f t="shared" si="22"/>
        <v>42551</v>
      </c>
      <c r="D19" s="4">
        <f>-'Budget Detail-Own 2016'!N41</f>
        <v>-20710.989999999998</v>
      </c>
      <c r="E19" s="55"/>
      <c r="F19" s="55"/>
      <c r="G19" s="55"/>
      <c r="H19" s="1">
        <f>'Budget Detail-Own 2016'!N48</f>
        <v>9778.61</v>
      </c>
      <c r="J19" s="19">
        <f t="shared" si="23"/>
        <v>-10932.379999999997</v>
      </c>
      <c r="K19" s="19">
        <f t="shared" si="24"/>
        <v>170000</v>
      </c>
      <c r="L19" s="22">
        <f t="shared" si="25"/>
        <v>18334.320000000007</v>
      </c>
      <c r="M19" s="22">
        <f t="shared" si="26"/>
        <v>1018.5733333333337</v>
      </c>
      <c r="N19" s="4">
        <f t="shared" si="27"/>
        <v>0</v>
      </c>
      <c r="O19" s="4">
        <f>'Budget Detail-Own 2015'!$C$40</f>
        <v>5688.1</v>
      </c>
      <c r="P19" s="4">
        <f t="shared" si="28"/>
        <v>-15022.889999999998</v>
      </c>
      <c r="Q19" s="22">
        <f t="shared" si="29"/>
        <v>-54772.749999999985</v>
      </c>
    </row>
    <row r="20" spans="1:17" x14ac:dyDescent="0.25">
      <c r="A20" s="55">
        <v>19</v>
      </c>
      <c r="B20" s="56">
        <f t="shared" si="21"/>
        <v>42552</v>
      </c>
      <c r="C20" s="56">
        <f t="shared" si="22"/>
        <v>42582</v>
      </c>
      <c r="D20" s="4">
        <f>-'Budget Detail-Own 2016'!P41</f>
        <v>-7484.4599999999991</v>
      </c>
      <c r="E20" s="55"/>
      <c r="F20" s="55"/>
      <c r="G20" s="55"/>
      <c r="H20" s="1">
        <f>'Budget Detail-Own 2016'!P48</f>
        <v>16519.849999999999</v>
      </c>
    </row>
    <row r="21" spans="1:17" x14ac:dyDescent="0.25">
      <c r="A21" s="55">
        <v>19</v>
      </c>
      <c r="B21" s="56">
        <f t="shared" ref="B21:B24" si="30">C20+1</f>
        <v>42583</v>
      </c>
      <c r="C21" s="56">
        <f t="shared" ref="C21:C24" si="31">EOMONTH(B21,0)</f>
        <v>42613</v>
      </c>
      <c r="D21" s="4">
        <f>-'Budget Detail-Own 2016'!R41</f>
        <v>-2076.4700000000012</v>
      </c>
      <c r="E21" s="55"/>
      <c r="F21" s="55"/>
      <c r="G21" s="55"/>
      <c r="H21" s="1">
        <f>'Budget Detail-Own 2016'!R48</f>
        <v>3304.7</v>
      </c>
    </row>
    <row r="22" spans="1:17" x14ac:dyDescent="0.25">
      <c r="A22" s="55">
        <v>19</v>
      </c>
      <c r="B22" s="56">
        <f t="shared" si="30"/>
        <v>42614</v>
      </c>
      <c r="C22" s="56">
        <f t="shared" si="31"/>
        <v>42643</v>
      </c>
      <c r="D22" s="4">
        <f>-'Budget Detail-Own 2016'!T41</f>
        <v>-8642.32</v>
      </c>
      <c r="E22" s="55"/>
      <c r="F22" s="55"/>
      <c r="G22" s="55"/>
      <c r="H22" s="1">
        <f>'Budget Detail-Own 2016'!T48</f>
        <v>8335.16</v>
      </c>
    </row>
    <row r="23" spans="1:17" x14ac:dyDescent="0.25">
      <c r="A23" s="55">
        <v>19</v>
      </c>
      <c r="B23" s="56">
        <f t="shared" si="30"/>
        <v>42644</v>
      </c>
      <c r="C23" s="56">
        <f t="shared" si="31"/>
        <v>42674</v>
      </c>
      <c r="D23" s="4">
        <f>-'Budget Detail-Own 2016'!V41</f>
        <v>-2080.84</v>
      </c>
      <c r="E23" s="55"/>
      <c r="F23" s="55"/>
      <c r="G23" s="55"/>
      <c r="H23" s="1">
        <f>'Budget Detail-Own 2016'!V48</f>
        <v>3321.18</v>
      </c>
    </row>
    <row r="24" spans="1:17" x14ac:dyDescent="0.25">
      <c r="A24" s="55">
        <v>19</v>
      </c>
      <c r="B24" s="56">
        <f t="shared" si="30"/>
        <v>42675</v>
      </c>
      <c r="C24" s="56">
        <f t="shared" si="31"/>
        <v>42704</v>
      </c>
      <c r="D24" s="4">
        <f>-'Budget Detail-Own 2016'!X41</f>
        <v>-12862.13</v>
      </c>
      <c r="E24" s="55"/>
      <c r="F24" s="55"/>
      <c r="G24" s="55"/>
      <c r="H24" s="1">
        <f>'Budget Detail-Own 2016'!X48</f>
        <v>7715.6399999999994</v>
      </c>
    </row>
    <row r="25" spans="1:17" x14ac:dyDescent="0.25">
      <c r="D25" s="4"/>
      <c r="E25" s="55"/>
      <c r="F25" s="55"/>
      <c r="G25" s="55"/>
      <c r="H25" s="1"/>
    </row>
    <row r="26" spans="1:17" x14ac:dyDescent="0.25">
      <c r="D26" s="4"/>
      <c r="E26" s="55"/>
      <c r="F26" s="55"/>
      <c r="G26" s="55"/>
      <c r="H26" s="1"/>
    </row>
    <row r="27" spans="1:17" x14ac:dyDescent="0.25">
      <c r="D27" s="4"/>
      <c r="E27" s="55"/>
      <c r="F27" s="55"/>
      <c r="G27" s="55"/>
      <c r="H27" s="1"/>
    </row>
    <row r="28" spans="1:17" x14ac:dyDescent="0.25">
      <c r="D28" s="4"/>
      <c r="E28" s="55"/>
      <c r="F28" s="55"/>
      <c r="G28" s="55"/>
      <c r="H28" s="1"/>
    </row>
    <row r="29" spans="1:17" x14ac:dyDescent="0.25">
      <c r="D29" s="4"/>
      <c r="E29" s="55"/>
      <c r="F29" s="55"/>
      <c r="G29" s="55"/>
      <c r="H29" s="1"/>
    </row>
    <row r="30" spans="1:17" x14ac:dyDescent="0.25">
      <c r="D30" s="4"/>
      <c r="E30" s="55"/>
      <c r="F30" s="55"/>
      <c r="G30" s="55"/>
      <c r="H30" s="1"/>
    </row>
    <row r="31" spans="1:17" x14ac:dyDescent="0.25">
      <c r="D31" s="4"/>
      <c r="E31" s="55"/>
      <c r="F31" s="55"/>
      <c r="G31" s="55"/>
      <c r="H31" s="1"/>
    </row>
    <row r="32" spans="1:17" x14ac:dyDescent="0.25">
      <c r="D32" s="4"/>
      <c r="E32" s="55"/>
      <c r="F32" s="55"/>
      <c r="G32" s="55"/>
      <c r="H32" s="1"/>
    </row>
    <row r="33" spans="4:8" x14ac:dyDescent="0.25">
      <c r="D33" s="4"/>
      <c r="E33" s="55"/>
      <c r="F33" s="55"/>
      <c r="G33" s="55"/>
      <c r="H33" s="1"/>
    </row>
    <row r="34" spans="4:8" x14ac:dyDescent="0.25">
      <c r="D34" s="4"/>
      <c r="E34" s="55"/>
      <c r="F34" s="55"/>
      <c r="G34" s="55"/>
      <c r="H34" s="1"/>
    </row>
    <row r="35" spans="4:8" x14ac:dyDescent="0.25">
      <c r="D35" s="4"/>
      <c r="E35" s="55"/>
      <c r="F35" s="55"/>
      <c r="G35" s="55"/>
      <c r="H35" s="1"/>
    </row>
    <row r="36" spans="4:8" x14ac:dyDescent="0.25">
      <c r="D36" s="4"/>
      <c r="E36" s="55"/>
      <c r="F36" s="55"/>
      <c r="G36" s="55"/>
      <c r="H36" s="1"/>
    </row>
  </sheetData>
  <phoneticPr fontId="3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B2"/>
  <sheetViews>
    <sheetView workbookViewId="0">
      <selection activeCell="J36" sqref="J36"/>
    </sheetView>
  </sheetViews>
  <sheetFormatPr defaultColWidth="8.85546875" defaultRowHeight="15.75" x14ac:dyDescent="0.25"/>
  <sheetData>
    <row r="2" spans="1:2" x14ac:dyDescent="0.25">
      <c r="A2">
        <v>1</v>
      </c>
      <c r="B2" t="s">
        <v>131</v>
      </c>
    </row>
  </sheetData>
  <phoneticPr fontId="3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P33" sqref="P33"/>
    </sheetView>
  </sheetViews>
  <sheetFormatPr defaultColWidth="8.85546875" defaultRowHeight="15.75" x14ac:dyDescent="0.25"/>
  <cols>
    <col min="1" max="1" width="14" customWidth="1"/>
    <col min="4" max="4" width="11.42578125" customWidth="1"/>
  </cols>
  <sheetData>
    <row r="1" spans="1:9" x14ac:dyDescent="0.25">
      <c r="A1" t="s">
        <v>134</v>
      </c>
      <c r="B1" s="3">
        <v>0.25</v>
      </c>
    </row>
    <row r="2" spans="1:9" x14ac:dyDescent="0.25">
      <c r="A2" t="s">
        <v>135</v>
      </c>
      <c r="B2" s="3">
        <v>0.06</v>
      </c>
    </row>
    <row r="3" spans="1:9" x14ac:dyDescent="0.25">
      <c r="A3" t="s">
        <v>136</v>
      </c>
      <c r="B3">
        <v>5000</v>
      </c>
    </row>
    <row r="4" spans="1:9" x14ac:dyDescent="0.25">
      <c r="A4" t="s">
        <v>142</v>
      </c>
      <c r="B4" s="30">
        <f>B3/12/2</f>
        <v>208.33333333333334</v>
      </c>
    </row>
    <row r="5" spans="1:9" x14ac:dyDescent="0.25">
      <c r="A5" t="s">
        <v>137</v>
      </c>
      <c r="B5">
        <v>150000</v>
      </c>
    </row>
    <row r="6" spans="1:9" x14ac:dyDescent="0.25">
      <c r="A6" t="s">
        <v>143</v>
      </c>
      <c r="B6">
        <f>B5/2/12</f>
        <v>6250</v>
      </c>
    </row>
    <row r="7" spans="1:9" x14ac:dyDescent="0.25">
      <c r="A7" t="s">
        <v>138</v>
      </c>
      <c r="B7" s="3">
        <v>0.05</v>
      </c>
      <c r="E7">
        <v>1</v>
      </c>
      <c r="F7">
        <v>2</v>
      </c>
      <c r="G7">
        <v>3</v>
      </c>
      <c r="H7">
        <v>4</v>
      </c>
      <c r="I7">
        <v>5</v>
      </c>
    </row>
    <row r="8" spans="1:9" x14ac:dyDescent="0.25">
      <c r="A8" t="s">
        <v>139</v>
      </c>
      <c r="B8" s="3">
        <v>0.35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</row>
    <row r="9" spans="1:9" x14ac:dyDescent="0.25">
      <c r="A9" t="s">
        <v>149</v>
      </c>
      <c r="B9" s="3">
        <v>0.08</v>
      </c>
      <c r="D9" t="s">
        <v>140</v>
      </c>
      <c r="E9">
        <f>$B$5*$B$7</f>
        <v>7500</v>
      </c>
      <c r="F9">
        <f>$B$5*$B$7</f>
        <v>7500</v>
      </c>
      <c r="G9">
        <f>$B$5*$B$7</f>
        <v>7500</v>
      </c>
      <c r="H9">
        <f>$B$5*$B$7</f>
        <v>7500</v>
      </c>
      <c r="I9">
        <f>$B$5*$B$7</f>
        <v>7500</v>
      </c>
    </row>
    <row r="10" spans="1:9" x14ac:dyDescent="0.25">
      <c r="A10" t="s">
        <v>150</v>
      </c>
      <c r="B10" s="3">
        <v>1</v>
      </c>
      <c r="D10" t="s">
        <v>141</v>
      </c>
      <c r="E10" s="30">
        <f>MIN($B$3,$B$5*MIN($B$2,$B$7)/2)</f>
        <v>3750</v>
      </c>
      <c r="F10" s="30">
        <f>MIN($B$3,$B$5*MIN($B$2,$B$7)/2)</f>
        <v>3750</v>
      </c>
      <c r="G10" s="30">
        <f>MIN($B$3,$B$5*MIN($B$2,$B$7)/2)</f>
        <v>3750</v>
      </c>
      <c r="H10" s="30">
        <f>MIN($B$3,$B$5*MIN($B$2,$B$7)/2)</f>
        <v>3750</v>
      </c>
      <c r="I10" s="30">
        <f>MIN($B$3,$B$5*MIN($B$2,$B$7)/2)</f>
        <v>3750</v>
      </c>
    </row>
    <row r="11" spans="1:9" x14ac:dyDescent="0.25">
      <c r="A11" t="s">
        <v>155</v>
      </c>
      <c r="B11" s="3">
        <v>0.1</v>
      </c>
      <c r="D11" t="s">
        <v>152</v>
      </c>
      <c r="E11">
        <f>SUM(E9:E10)</f>
        <v>11250</v>
      </c>
      <c r="F11">
        <f>SUM(F9:F10)</f>
        <v>11250</v>
      </c>
      <c r="G11">
        <f>SUM(G9:G10)</f>
        <v>11250</v>
      </c>
      <c r="H11">
        <f>SUM(H9:H10)</f>
        <v>11250</v>
      </c>
      <c r="I11">
        <f>SUM(I9:I10)</f>
        <v>11250</v>
      </c>
    </row>
    <row r="12" spans="1:9" x14ac:dyDescent="0.25">
      <c r="D12" t="s">
        <v>151</v>
      </c>
      <c r="E12">
        <f>E11*(1+$B$9)^(5-E7)</f>
        <v>15305.500800000003</v>
      </c>
      <c r="F12">
        <f>F11*(1+$B$9)^(5-F7)</f>
        <v>14171.760000000002</v>
      </c>
      <c r="G12">
        <f>G11*(1+$B$9)^(5-G7)</f>
        <v>13122.000000000002</v>
      </c>
      <c r="H12">
        <f>H11*(1+$B$9)^(5-H7)</f>
        <v>12150</v>
      </c>
      <c r="I12">
        <f>I11*(1+$B$9)^(5-I7)</f>
        <v>11250</v>
      </c>
    </row>
    <row r="13" spans="1:9" x14ac:dyDescent="0.25">
      <c r="D13" t="s">
        <v>153</v>
      </c>
      <c r="E13">
        <f>E12*$B$10</f>
        <v>15305.500800000003</v>
      </c>
      <c r="F13">
        <f>F12*$B$10</f>
        <v>14171.760000000002</v>
      </c>
      <c r="G13">
        <f>G12*$B$10</f>
        <v>13122.000000000002</v>
      </c>
      <c r="H13">
        <f>H12*$B$10</f>
        <v>12150</v>
      </c>
      <c r="I13">
        <f>I12*$B$10</f>
        <v>11250</v>
      </c>
    </row>
    <row r="14" spans="1:9" x14ac:dyDescent="0.25">
      <c r="D14" t="s">
        <v>154</v>
      </c>
      <c r="E14">
        <f>E13*(1-$B$8)</f>
        <v>9948.5755200000021</v>
      </c>
      <c r="F14">
        <f>F13*(1-$B$8)</f>
        <v>9211.6440000000021</v>
      </c>
      <c r="G14">
        <f>G13*(1-$B$8)</f>
        <v>8529.3000000000011</v>
      </c>
      <c r="H14">
        <f>H13*(1-$B$8)</f>
        <v>7897.5</v>
      </c>
      <c r="I14">
        <f>I13*(1-$B$8)</f>
        <v>7312.5</v>
      </c>
    </row>
    <row r="15" spans="1:9" x14ac:dyDescent="0.25">
      <c r="D15" t="s">
        <v>156</v>
      </c>
      <c r="E15">
        <f>E14*(1-$B$11)</f>
        <v>8953.7179680000027</v>
      </c>
      <c r="F15">
        <f>F14*(1-$B$11)</f>
        <v>8290.4796000000024</v>
      </c>
      <c r="G15">
        <f>G14*(1-$B$11)</f>
        <v>7676.3700000000008</v>
      </c>
      <c r="H15">
        <f>H14*(1-$B$11)</f>
        <v>7107.75</v>
      </c>
      <c r="I15">
        <f>I14*(1-$B$11)</f>
        <v>6581.25</v>
      </c>
    </row>
    <row r="16" spans="1:9" x14ac:dyDescent="0.25">
      <c r="D16" t="s">
        <v>9</v>
      </c>
      <c r="E16">
        <f>SUM(E15:I15)</f>
        <v>38609.567568000006</v>
      </c>
    </row>
    <row r="18" spans="4:9" x14ac:dyDescent="0.25">
      <c r="D18" t="s">
        <v>140</v>
      </c>
      <c r="E18">
        <f>E9</f>
        <v>7500</v>
      </c>
      <c r="F18">
        <f>F9</f>
        <v>7500</v>
      </c>
      <c r="G18">
        <f>G9</f>
        <v>7500</v>
      </c>
      <c r="H18">
        <f>H9</f>
        <v>7500</v>
      </c>
      <c r="I18">
        <f>I9</f>
        <v>7500</v>
      </c>
    </row>
    <row r="19" spans="4:9" x14ac:dyDescent="0.25">
      <c r="D19" t="s">
        <v>154</v>
      </c>
      <c r="E19">
        <f>E18*(1-$B$8)</f>
        <v>4875</v>
      </c>
      <c r="F19">
        <f>F18*(1-$B$8)</f>
        <v>4875</v>
      </c>
      <c r="G19">
        <f>G18*(1-$B$8)</f>
        <v>4875</v>
      </c>
      <c r="H19">
        <f>H18*(1-$B$8)</f>
        <v>4875</v>
      </c>
      <c r="I19">
        <f>I18*(1-$B$8)</f>
        <v>4875</v>
      </c>
    </row>
    <row r="20" spans="4:9" x14ac:dyDescent="0.25">
      <c r="D20" t="s">
        <v>157</v>
      </c>
      <c r="E20">
        <f>E19*(1+$B$9)^(5-E7)</f>
        <v>6632.3836800000017</v>
      </c>
      <c r="F20">
        <f>F19*(1+$B$9)^(5-F7)</f>
        <v>6141.0960000000005</v>
      </c>
      <c r="G20">
        <f>G19*(1+$B$9)^(5-G7)</f>
        <v>5686.2000000000007</v>
      </c>
      <c r="H20">
        <f>H19*(1+$B$9)^(5-H7)</f>
        <v>5265</v>
      </c>
      <c r="I20">
        <f>I19*(1+$B$9)^(5-I7)</f>
        <v>4875</v>
      </c>
    </row>
    <row r="21" spans="4:9" x14ac:dyDescent="0.25">
      <c r="D21" t="s">
        <v>9</v>
      </c>
      <c r="E21">
        <f>SUM(E20:I20)</f>
        <v>28599.679680000001</v>
      </c>
    </row>
  </sheetData>
  <phoneticPr fontId="3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4"/>
  <sheetViews>
    <sheetView workbookViewId="0">
      <selection activeCell="L69" sqref="L69"/>
    </sheetView>
  </sheetViews>
  <sheetFormatPr defaultColWidth="8.85546875" defaultRowHeight="15.75" x14ac:dyDescent="0.25"/>
  <cols>
    <col min="1" max="1" width="13.28515625" customWidth="1"/>
    <col min="2" max="2" width="11.28515625" customWidth="1"/>
  </cols>
  <sheetData>
    <row r="1" spans="1:6" x14ac:dyDescent="0.25">
      <c r="A1" t="s">
        <v>77</v>
      </c>
      <c r="B1">
        <v>2600</v>
      </c>
      <c r="C1" t="s">
        <v>4</v>
      </c>
      <c r="D1" s="3">
        <v>0.05</v>
      </c>
      <c r="E1" t="s">
        <v>82</v>
      </c>
      <c r="F1">
        <f>B1*12</f>
        <v>31200</v>
      </c>
    </row>
    <row r="2" spans="1:6" x14ac:dyDescent="0.25">
      <c r="A2" t="s">
        <v>78</v>
      </c>
      <c r="B2">
        <v>3600</v>
      </c>
      <c r="C2" t="s">
        <v>4</v>
      </c>
      <c r="D2" s="3">
        <v>0.05</v>
      </c>
      <c r="E2" t="s">
        <v>83</v>
      </c>
      <c r="F2">
        <f>B2*12+F1</f>
        <v>74400</v>
      </c>
    </row>
    <row r="3" spans="1:6" x14ac:dyDescent="0.25">
      <c r="A3" t="s">
        <v>79</v>
      </c>
      <c r="B3">
        <v>4800</v>
      </c>
      <c r="C3" t="s">
        <v>4</v>
      </c>
      <c r="D3" s="3">
        <v>0.05</v>
      </c>
      <c r="E3" t="s">
        <v>84</v>
      </c>
      <c r="F3">
        <f>B3*12+F2</f>
        <v>132000</v>
      </c>
    </row>
    <row r="4" spans="1:6" x14ac:dyDescent="0.25">
      <c r="A4" t="s">
        <v>80</v>
      </c>
      <c r="B4">
        <v>4800</v>
      </c>
      <c r="C4" t="s">
        <v>4</v>
      </c>
      <c r="D4" s="3">
        <v>0.05</v>
      </c>
      <c r="E4" t="s">
        <v>85</v>
      </c>
      <c r="F4">
        <f>B4*12+F3</f>
        <v>189600</v>
      </c>
    </row>
    <row r="5" spans="1:6" x14ac:dyDescent="0.25">
      <c r="A5" t="s">
        <v>76</v>
      </c>
      <c r="B5">
        <v>4</v>
      </c>
      <c r="C5">
        <v>3</v>
      </c>
      <c r="D5">
        <v>2</v>
      </c>
      <c r="E5">
        <v>1</v>
      </c>
    </row>
    <row r="6" spans="1:6" hidden="1" x14ac:dyDescent="0.25">
      <c r="A6">
        <v>1</v>
      </c>
      <c r="B6">
        <f>$B$1*(1+$D$1/12)^(B$5*12+1-A6)</f>
        <v>3174.3279230660942</v>
      </c>
      <c r="C6">
        <f>$B$1*(1+$D$1/12)^(C$5*12+1-$A6)</f>
        <v>3019.8278014670191</v>
      </c>
      <c r="D6">
        <f>$B$1*(1+$D$1/12)^(D$5*12+1-$A6)</f>
        <v>2872.8474724516523</v>
      </c>
      <c r="E6">
        <f>$B$1*(1+$D$1/12)^(E$5*12+1-$A6)</f>
        <v>2733.020934492507</v>
      </c>
    </row>
    <row r="7" spans="1:6" hidden="1" x14ac:dyDescent="0.25">
      <c r="A7">
        <v>2</v>
      </c>
      <c r="B7">
        <f t="shared" ref="B7:B17" si="0">$B$1*(1+$D$1/12)^(B$5*12+1-A7)</f>
        <v>3161.1564379081442</v>
      </c>
      <c r="C7">
        <f t="shared" ref="C7:C17" si="1">$B$1*(1+$D$1/12)^(C$5*12+1-A7)</f>
        <v>3007.297395651804</v>
      </c>
      <c r="D7">
        <f t="shared" ref="D7:E17" si="2">$B$1*(1+$D$1/12)^(D$5*12+1-$A7)</f>
        <v>2860.9269435203178</v>
      </c>
      <c r="E7">
        <f t="shared" si="2"/>
        <v>2721.6805986647369</v>
      </c>
    </row>
    <row r="8" spans="1:6" hidden="1" x14ac:dyDescent="0.25">
      <c r="A8">
        <v>3</v>
      </c>
      <c r="B8">
        <f t="shared" si="0"/>
        <v>3148.0396062155783</v>
      </c>
      <c r="C8">
        <f t="shared" si="1"/>
        <v>2994.8189832217126</v>
      </c>
      <c r="D8">
        <f t="shared" si="2"/>
        <v>2849.0558773646312</v>
      </c>
      <c r="E8">
        <f t="shared" si="2"/>
        <v>2710.3873181723525</v>
      </c>
    </row>
    <row r="9" spans="1:6" hidden="1" x14ac:dyDescent="0.25">
      <c r="A9">
        <v>4</v>
      </c>
      <c r="B9">
        <f t="shared" si="0"/>
        <v>3134.9772012105341</v>
      </c>
      <c r="C9">
        <f t="shared" si="1"/>
        <v>2982.3923484365605</v>
      </c>
      <c r="D9">
        <f t="shared" si="2"/>
        <v>2837.2340687448609</v>
      </c>
      <c r="E9">
        <f t="shared" si="2"/>
        <v>2699.140897764998</v>
      </c>
    </row>
    <row r="10" spans="1:6" hidden="1" x14ac:dyDescent="0.25">
      <c r="A10">
        <v>5</v>
      </c>
      <c r="B10">
        <f t="shared" si="0"/>
        <v>3121.9689970561344</v>
      </c>
      <c r="C10">
        <f t="shared" si="1"/>
        <v>2970.0172764513463</v>
      </c>
      <c r="D10">
        <f t="shared" si="2"/>
        <v>2825.4613132728909</v>
      </c>
      <c r="E10">
        <f t="shared" si="2"/>
        <v>2687.9411430024875</v>
      </c>
    </row>
    <row r="11" spans="1:6" hidden="1" x14ac:dyDescent="0.25">
      <c r="A11">
        <v>6</v>
      </c>
      <c r="B11">
        <f t="shared" si="0"/>
        <v>3109.0147688525817</v>
      </c>
      <c r="C11">
        <f t="shared" si="1"/>
        <v>2957.6935533125452</v>
      </c>
      <c r="D11">
        <f t="shared" si="2"/>
        <v>2813.7374074086879</v>
      </c>
      <c r="E11">
        <f t="shared" si="2"/>
        <v>2676.7878602514402</v>
      </c>
    </row>
    <row r="12" spans="1:6" hidden="1" x14ac:dyDescent="0.25">
      <c r="A12">
        <v>7</v>
      </c>
      <c r="B12">
        <f t="shared" si="0"/>
        <v>3096.1142926332768</v>
      </c>
      <c r="C12">
        <f t="shared" si="1"/>
        <v>2945.4209659544003</v>
      </c>
      <c r="D12">
        <f t="shared" si="2"/>
        <v>2802.0621484567841</v>
      </c>
      <c r="E12">
        <f t="shared" si="2"/>
        <v>2665.6808566819318</v>
      </c>
    </row>
    <row r="13" spans="1:6" hidden="1" x14ac:dyDescent="0.25">
      <c r="A13">
        <v>8</v>
      </c>
      <c r="B13">
        <f t="shared" si="0"/>
        <v>3083.2673453609386</v>
      </c>
      <c r="C13">
        <f t="shared" si="1"/>
        <v>2933.1993021952535</v>
      </c>
      <c r="D13">
        <f t="shared" si="2"/>
        <v>2790.4353345627728</v>
      </c>
      <c r="E13">
        <f t="shared" si="2"/>
        <v>2654.6199402641641</v>
      </c>
    </row>
    <row r="14" spans="1:6" hidden="1" x14ac:dyDescent="0.25">
      <c r="A14">
        <v>9</v>
      </c>
      <c r="B14">
        <f t="shared" si="0"/>
        <v>3070.4737049237565</v>
      </c>
      <c r="C14">
        <f t="shared" si="1"/>
        <v>2921.0283507338627</v>
      </c>
      <c r="D14">
        <f t="shared" si="2"/>
        <v>2778.8567647098153</v>
      </c>
      <c r="E14">
        <f t="shared" si="2"/>
        <v>2643.6049197651428</v>
      </c>
    </row>
    <row r="15" spans="1:6" hidden="1" x14ac:dyDescent="0.25">
      <c r="A15">
        <v>10</v>
      </c>
      <c r="B15">
        <f t="shared" si="0"/>
        <v>3057.7331501315421</v>
      </c>
      <c r="C15">
        <f t="shared" si="1"/>
        <v>2908.9079011457552</v>
      </c>
      <c r="D15">
        <f t="shared" si="2"/>
        <v>2767.326238715169</v>
      </c>
      <c r="E15">
        <f t="shared" si="2"/>
        <v>2632.6356047453705</v>
      </c>
    </row>
    <row r="16" spans="1:6" hidden="1" x14ac:dyDescent="0.25">
      <c r="A16">
        <v>11</v>
      </c>
      <c r="B16">
        <f t="shared" si="0"/>
        <v>3045.0454607119086</v>
      </c>
      <c r="C16">
        <f t="shared" si="1"/>
        <v>2896.8377438795906</v>
      </c>
      <c r="D16">
        <f t="shared" si="2"/>
        <v>2755.8435572267235</v>
      </c>
      <c r="E16">
        <f t="shared" si="2"/>
        <v>2621.7118055555557</v>
      </c>
    </row>
    <row r="17" spans="1:5" hidden="1" x14ac:dyDescent="0.25">
      <c r="A17">
        <v>12</v>
      </c>
      <c r="B17">
        <f t="shared" si="0"/>
        <v>3032.4104173064648</v>
      </c>
      <c r="C17">
        <f t="shared" si="1"/>
        <v>2884.8176702535334</v>
      </c>
      <c r="D17">
        <f t="shared" si="2"/>
        <v>2744.4085217195588</v>
      </c>
      <c r="E17">
        <f t="shared" si="2"/>
        <v>2610.8333333333335</v>
      </c>
    </row>
    <row r="18" spans="1:5" hidden="1" x14ac:dyDescent="0.25">
      <c r="A18">
        <v>13</v>
      </c>
      <c r="B18">
        <f>$B$2*(1+$D$1/12)^(B$5*12+1-A18)</f>
        <v>4181.3000328004882</v>
      </c>
      <c r="C18">
        <f>$B$2*(1+$D$1/12)^(C$5*12+1-A18)</f>
        <v>3977.7888080099797</v>
      </c>
      <c r="D18">
        <f>$B$2*(1+$D$1/12)^(D$5*12+1-$A18)</f>
        <v>3784.1828323742402</v>
      </c>
    </row>
    <row r="19" spans="1:5" hidden="1" x14ac:dyDescent="0.25">
      <c r="A19">
        <v>14</v>
      </c>
      <c r="B19">
        <f t="shared" ref="B19:B29" si="3">$B$2*(1+$D$1/12)^(B$5*12+1-A19)</f>
        <v>4163.9502401332666</v>
      </c>
      <c r="C19">
        <f t="shared" ref="C19:C29" si="4">$B$2*(1+$D$1/12)^(C$5*12+1-A19)</f>
        <v>3961.2834602589019</v>
      </c>
      <c r="D19">
        <f t="shared" ref="D19:D29" si="5">$B$2*(1+$D$1/12)^(D$5*12+1-$A19)</f>
        <v>3768.4808289204047</v>
      </c>
    </row>
    <row r="20" spans="1:5" hidden="1" x14ac:dyDescent="0.25">
      <c r="A20">
        <v>15</v>
      </c>
      <c r="B20">
        <f t="shared" si="3"/>
        <v>4146.6724383069868</v>
      </c>
      <c r="C20">
        <f t="shared" si="4"/>
        <v>3944.8465994279504</v>
      </c>
      <c r="D20">
        <f t="shared" si="5"/>
        <v>3752.8439790078723</v>
      </c>
    </row>
    <row r="21" spans="1:5" hidden="1" x14ac:dyDescent="0.25">
      <c r="A21">
        <v>16</v>
      </c>
      <c r="B21">
        <f t="shared" si="3"/>
        <v>4129.4663286044688</v>
      </c>
      <c r="C21">
        <f t="shared" si="4"/>
        <v>3928.4779413390384</v>
      </c>
      <c r="D21">
        <f t="shared" si="5"/>
        <v>3737.2720122899968</v>
      </c>
    </row>
    <row r="22" spans="1:5" hidden="1" x14ac:dyDescent="0.25">
      <c r="A22">
        <v>17</v>
      </c>
      <c r="B22">
        <f t="shared" si="3"/>
        <v>4112.3316135480181</v>
      </c>
      <c r="C22">
        <f t="shared" si="4"/>
        <v>3912.1772029932335</v>
      </c>
      <c r="D22">
        <f t="shared" si="5"/>
        <v>3721.764659541906</v>
      </c>
    </row>
    <row r="23" spans="1:5" hidden="1" x14ac:dyDescent="0.25">
      <c r="A23">
        <v>18</v>
      </c>
      <c r="B23">
        <f t="shared" si="3"/>
        <v>4095.267996894293</v>
      </c>
      <c r="C23">
        <f t="shared" si="4"/>
        <v>3895.9441025658753</v>
      </c>
      <c r="D23">
        <f t="shared" si="5"/>
        <v>3706.3216526558404</v>
      </c>
    </row>
    <row r="24" spans="1:5" hidden="1" x14ac:dyDescent="0.25">
      <c r="A24">
        <v>19</v>
      </c>
      <c r="B24">
        <f t="shared" si="3"/>
        <v>4078.2751836291695</v>
      </c>
      <c r="C24">
        <f t="shared" si="4"/>
        <v>3879.778359401701</v>
      </c>
      <c r="D24">
        <f t="shared" si="5"/>
        <v>3690.9427246365208</v>
      </c>
    </row>
    <row r="25" spans="1:5" hidden="1" x14ac:dyDescent="0.25">
      <c r="A25">
        <v>20</v>
      </c>
      <c r="B25">
        <f t="shared" si="3"/>
        <v>4061.3528799626588</v>
      </c>
      <c r="C25">
        <f t="shared" si="4"/>
        <v>3863.679694009993</v>
      </c>
      <c r="D25">
        <f t="shared" si="5"/>
        <v>3675.627609596535</v>
      </c>
    </row>
    <row r="26" spans="1:5" hidden="1" x14ac:dyDescent="0.25">
      <c r="A26">
        <v>21</v>
      </c>
      <c r="B26">
        <f t="shared" si="3"/>
        <v>4044.5007933238098</v>
      </c>
      <c r="C26">
        <f t="shared" si="4"/>
        <v>3847.6478280597439</v>
      </c>
      <c r="D26">
        <f t="shared" si="5"/>
        <v>3660.3760427517363</v>
      </c>
    </row>
    <row r="27" spans="1:5" hidden="1" x14ac:dyDescent="0.25">
      <c r="A27">
        <v>22</v>
      </c>
      <c r="B27">
        <f t="shared" si="3"/>
        <v>4027.7186323556612</v>
      </c>
      <c r="C27">
        <f t="shared" si="4"/>
        <v>3831.6824843748495</v>
      </c>
      <c r="D27">
        <f t="shared" si="5"/>
        <v>3645.1877604166671</v>
      </c>
    </row>
    <row r="28" spans="1:5" hidden="1" x14ac:dyDescent="0.25">
      <c r="A28">
        <v>23</v>
      </c>
      <c r="B28">
        <f t="shared" si="3"/>
        <v>4011.0061069102026</v>
      </c>
      <c r="C28">
        <f t="shared" si="4"/>
        <v>3815.7833869293095</v>
      </c>
      <c r="D28">
        <f t="shared" si="5"/>
        <v>3630.0625</v>
      </c>
    </row>
    <row r="29" spans="1:5" hidden="1" x14ac:dyDescent="0.25">
      <c r="A29">
        <v>24</v>
      </c>
      <c r="B29">
        <f t="shared" si="3"/>
        <v>3994.3629280433543</v>
      </c>
      <c r="C29">
        <f t="shared" si="4"/>
        <v>3799.9502608424659</v>
      </c>
      <c r="D29">
        <f t="shared" si="5"/>
        <v>3615</v>
      </c>
    </row>
    <row r="30" spans="1:5" hidden="1" x14ac:dyDescent="0.25">
      <c r="A30">
        <v>25</v>
      </c>
      <c r="B30">
        <f>$B$3*(1+$D$1/12)^(B$5*12+1-A30)</f>
        <v>5303.7184106799732</v>
      </c>
      <c r="C30">
        <f>$B$3*(1+$D$1/12)^(C$5*12+1-A30)</f>
        <v>5045.5771098323203</v>
      </c>
    </row>
    <row r="31" spans="1:5" hidden="1" x14ac:dyDescent="0.25">
      <c r="A31">
        <v>26</v>
      </c>
      <c r="B31">
        <f t="shared" ref="B31:B41" si="6">$B$3*(1+$D$1/12)^(B$5*12+1-A31)</f>
        <v>5281.7112803452019</v>
      </c>
      <c r="C31">
        <f t="shared" ref="C31:C41" si="7">$B$3*(1+$D$1/12)^(C$5*12+1-A31)</f>
        <v>5024.6411052272069</v>
      </c>
    </row>
    <row r="32" spans="1:5" hidden="1" x14ac:dyDescent="0.25">
      <c r="A32">
        <v>27</v>
      </c>
      <c r="B32">
        <f t="shared" si="6"/>
        <v>5259.7954659039342</v>
      </c>
      <c r="C32">
        <f t="shared" si="7"/>
        <v>5003.7919720104965</v>
      </c>
    </row>
    <row r="33" spans="1:3" hidden="1" x14ac:dyDescent="0.25">
      <c r="A33">
        <v>28</v>
      </c>
      <c r="B33">
        <f t="shared" si="6"/>
        <v>5237.9705884520508</v>
      </c>
      <c r="C33">
        <f t="shared" si="7"/>
        <v>4983.0293497199964</v>
      </c>
    </row>
    <row r="34" spans="1:3" hidden="1" x14ac:dyDescent="0.25">
      <c r="A34">
        <v>29</v>
      </c>
      <c r="B34">
        <f t="shared" si="6"/>
        <v>5216.2362706576441</v>
      </c>
      <c r="C34">
        <f t="shared" si="7"/>
        <v>4962.3528793892074</v>
      </c>
    </row>
    <row r="35" spans="1:3" hidden="1" x14ac:dyDescent="0.25">
      <c r="A35">
        <v>30</v>
      </c>
      <c r="B35">
        <f t="shared" si="6"/>
        <v>5194.5921367545006</v>
      </c>
      <c r="C35">
        <f t="shared" si="7"/>
        <v>4941.7622035411205</v>
      </c>
    </row>
    <row r="36" spans="1:3" hidden="1" x14ac:dyDescent="0.25">
      <c r="A36">
        <v>31</v>
      </c>
      <c r="B36">
        <f t="shared" si="6"/>
        <v>5173.0378125356019</v>
      </c>
      <c r="C36">
        <f t="shared" si="7"/>
        <v>4921.2569661820271</v>
      </c>
    </row>
    <row r="37" spans="1:3" hidden="1" x14ac:dyDescent="0.25">
      <c r="A37">
        <v>32</v>
      </c>
      <c r="B37">
        <f t="shared" si="6"/>
        <v>5151.572925346657</v>
      </c>
      <c r="C37">
        <f t="shared" si="7"/>
        <v>4900.83681279538</v>
      </c>
    </row>
    <row r="38" spans="1:3" hidden="1" x14ac:dyDescent="0.25">
      <c r="A38">
        <v>33</v>
      </c>
      <c r="B38">
        <f t="shared" si="6"/>
        <v>5130.1971040796589</v>
      </c>
      <c r="C38">
        <f t="shared" si="7"/>
        <v>4880.5013903356485</v>
      </c>
    </row>
    <row r="39" spans="1:3" hidden="1" x14ac:dyDescent="0.25">
      <c r="A39">
        <v>34</v>
      </c>
      <c r="B39">
        <f t="shared" si="6"/>
        <v>5108.9099791664657</v>
      </c>
      <c r="C39">
        <f t="shared" si="7"/>
        <v>4860.2503472222224</v>
      </c>
    </row>
    <row r="40" spans="1:3" hidden="1" x14ac:dyDescent="0.25">
      <c r="A40">
        <v>35</v>
      </c>
      <c r="B40">
        <f t="shared" si="6"/>
        <v>5087.7111825724123</v>
      </c>
      <c r="C40">
        <f t="shared" si="7"/>
        <v>4840.083333333333</v>
      </c>
    </row>
    <row r="41" spans="1:3" hidden="1" x14ac:dyDescent="0.25">
      <c r="A41">
        <v>36</v>
      </c>
      <c r="B41">
        <f t="shared" si="6"/>
        <v>5066.600347789954</v>
      </c>
      <c r="C41">
        <f t="shared" si="7"/>
        <v>4820</v>
      </c>
    </row>
    <row r="42" spans="1:3" hidden="1" x14ac:dyDescent="0.25">
      <c r="A42">
        <v>37</v>
      </c>
      <c r="B42">
        <f>$B$4*(1+$D$1/12)^(B$5*12+1-A42)</f>
        <v>5045.5771098323203</v>
      </c>
    </row>
    <row r="43" spans="1:3" hidden="1" x14ac:dyDescent="0.25">
      <c r="A43">
        <v>38</v>
      </c>
      <c r="B43">
        <f t="shared" ref="B43:B53" si="8">$B$4*(1+$D$1/12)^(B$5*12+1-A43)</f>
        <v>5024.6411052272069</v>
      </c>
    </row>
    <row r="44" spans="1:3" hidden="1" x14ac:dyDescent="0.25">
      <c r="A44">
        <v>39</v>
      </c>
      <c r="B44">
        <f t="shared" si="8"/>
        <v>5003.7919720104965</v>
      </c>
    </row>
    <row r="45" spans="1:3" hidden="1" x14ac:dyDescent="0.25">
      <c r="A45">
        <v>40</v>
      </c>
      <c r="B45">
        <f t="shared" si="8"/>
        <v>4983.0293497199964</v>
      </c>
    </row>
    <row r="46" spans="1:3" hidden="1" x14ac:dyDescent="0.25">
      <c r="A46">
        <v>41</v>
      </c>
      <c r="B46">
        <f t="shared" si="8"/>
        <v>4962.3528793892074</v>
      </c>
    </row>
    <row r="47" spans="1:3" hidden="1" x14ac:dyDescent="0.25">
      <c r="A47">
        <v>42</v>
      </c>
      <c r="B47">
        <f t="shared" si="8"/>
        <v>4941.7622035411205</v>
      </c>
    </row>
    <row r="48" spans="1:3" hidden="1" x14ac:dyDescent="0.25">
      <c r="A48">
        <v>43</v>
      </c>
      <c r="B48">
        <f t="shared" si="8"/>
        <v>4921.2569661820271</v>
      </c>
    </row>
    <row r="49" spans="1:5" hidden="1" x14ac:dyDescent="0.25">
      <c r="A49">
        <v>44</v>
      </c>
      <c r="B49">
        <f t="shared" si="8"/>
        <v>4900.83681279538</v>
      </c>
    </row>
    <row r="50" spans="1:5" hidden="1" x14ac:dyDescent="0.25">
      <c r="A50">
        <v>45</v>
      </c>
      <c r="B50">
        <f t="shared" si="8"/>
        <v>4880.5013903356485</v>
      </c>
    </row>
    <row r="51" spans="1:5" hidden="1" x14ac:dyDescent="0.25">
      <c r="A51">
        <v>46</v>
      </c>
      <c r="B51">
        <f t="shared" si="8"/>
        <v>4860.2503472222224</v>
      </c>
    </row>
    <row r="52" spans="1:5" hidden="1" x14ac:dyDescent="0.25">
      <c r="A52">
        <v>47</v>
      </c>
      <c r="B52">
        <f t="shared" si="8"/>
        <v>4840.083333333333</v>
      </c>
    </row>
    <row r="53" spans="1:5" hidden="1" x14ac:dyDescent="0.25">
      <c r="A53">
        <v>48</v>
      </c>
      <c r="B53">
        <f t="shared" si="8"/>
        <v>4820</v>
      </c>
    </row>
    <row r="54" spans="1:5" x14ac:dyDescent="0.25">
      <c r="A54" t="s">
        <v>2</v>
      </c>
      <c r="B54">
        <f>SUM(B6:B53)</f>
        <v>207676.87145376235</v>
      </c>
      <c r="C54">
        <f>SUM(C6:C53)</f>
        <v>141265.3828905054</v>
      </c>
      <c r="D54">
        <f>SUM(D6:D53)</f>
        <v>78086.258250345592</v>
      </c>
      <c r="E54">
        <f>SUM(E6:E53)</f>
        <v>32058.045212694014</v>
      </c>
    </row>
  </sheetData>
  <phoneticPr fontId="3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ColWidth="8.85546875" defaultRowHeight="15.75" x14ac:dyDescent="0.25"/>
  <cols>
    <col min="1" max="1" width="13.7109375" customWidth="1"/>
    <col min="2" max="2" width="17" customWidth="1"/>
    <col min="3" max="3" width="16.42578125" customWidth="1"/>
    <col min="4" max="4" width="15.7109375" customWidth="1"/>
    <col min="5" max="5" width="12.28515625" customWidth="1"/>
  </cols>
  <sheetData>
    <row r="1" spans="1:5" x14ac:dyDescent="0.25">
      <c r="A1" s="45"/>
      <c r="B1" s="45" t="s">
        <v>501</v>
      </c>
      <c r="C1" s="45" t="s">
        <v>365</v>
      </c>
      <c r="D1" s="45" t="s">
        <v>501</v>
      </c>
      <c r="E1" s="45" t="s">
        <v>365</v>
      </c>
    </row>
    <row r="2" spans="1:5" x14ac:dyDescent="0.25">
      <c r="A2" s="45"/>
      <c r="B2" s="45" t="s">
        <v>249</v>
      </c>
      <c r="C2" s="45" t="s">
        <v>249</v>
      </c>
      <c r="D2" s="45" t="s">
        <v>500</v>
      </c>
      <c r="E2" s="45" t="s">
        <v>500</v>
      </c>
    </row>
    <row r="3" spans="1:5" x14ac:dyDescent="0.25">
      <c r="A3" s="43">
        <v>42079</v>
      </c>
      <c r="B3">
        <v>8000</v>
      </c>
    </row>
    <row r="4" spans="1:5" x14ac:dyDescent="0.25">
      <c r="A4" s="43">
        <v>42053</v>
      </c>
      <c r="B4">
        <v>1409</v>
      </c>
      <c r="D4" t="s">
        <v>504</v>
      </c>
    </row>
    <row r="5" spans="1:5" x14ac:dyDescent="0.25">
      <c r="A5" s="43">
        <v>42021</v>
      </c>
      <c r="B5">
        <v>2217</v>
      </c>
      <c r="D5" t="s">
        <v>502</v>
      </c>
    </row>
    <row r="6" spans="1:5" x14ac:dyDescent="0.25">
      <c r="A6" s="43">
        <v>42021</v>
      </c>
      <c r="B6">
        <v>3500</v>
      </c>
      <c r="D6" t="s">
        <v>503</v>
      </c>
    </row>
    <row r="7" spans="1:5" x14ac:dyDescent="0.25">
      <c r="A7" s="43">
        <v>42106</v>
      </c>
      <c r="B7" s="44">
        <f>19000/7.75</f>
        <v>2451.6129032258063</v>
      </c>
      <c r="D7" t="s">
        <v>505</v>
      </c>
    </row>
    <row r="8" spans="1:5" x14ac:dyDescent="0.25">
      <c r="A8" s="43">
        <v>42088</v>
      </c>
      <c r="B8" s="44">
        <v>7936.1793548387104</v>
      </c>
      <c r="D8" t="s">
        <v>506</v>
      </c>
    </row>
    <row r="10" spans="1:5" x14ac:dyDescent="0.25">
      <c r="B10" s="44">
        <f>SUM(B3:B9)</f>
        <v>25513.792258064517</v>
      </c>
    </row>
  </sheetData>
  <phoneticPr fontId="32" type="noConversion"/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Goals</vt:lpstr>
      <vt:lpstr>Budget Detail-Rent</vt:lpstr>
      <vt:lpstr>Budget Detail-Own 2015</vt:lpstr>
      <vt:lpstr>Budget Detail-Own 2016</vt:lpstr>
      <vt:lpstr>transaction details</vt:lpstr>
      <vt:lpstr>Budge Summary</vt:lpstr>
      <vt:lpstr>Lessons</vt:lpstr>
      <vt:lpstr>Retirement Contribution</vt:lpstr>
      <vt:lpstr>Saving Cash flow Projections</vt:lpstr>
      <vt:lpstr>wedding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user</cp:lastModifiedBy>
  <cp:lastPrinted>2013-10-13T19:34:26Z</cp:lastPrinted>
  <dcterms:created xsi:type="dcterms:W3CDTF">2012-08-19T18:25:25Z</dcterms:created>
  <dcterms:modified xsi:type="dcterms:W3CDTF">2016-11-27T04:28:19Z</dcterms:modified>
</cp:coreProperties>
</file>