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8192" windowHeight="12276"/>
  </bookViews>
  <sheets>
    <sheet name="Tree" sheetId="1" r:id="rId1"/>
  </sheets>
  <calcPr calcId="145621"/>
</workbook>
</file>

<file path=xl/calcChain.xml><?xml version="1.0" encoding="utf-8"?>
<calcChain xmlns="http://schemas.openxmlformats.org/spreadsheetml/2006/main">
  <c r="B210" i="1" l="1"/>
  <c r="A380" i="1"/>
  <c r="A428" i="1"/>
  <c r="A427" i="1"/>
  <c r="A426" i="1"/>
  <c r="A425" i="1"/>
  <c r="A424" i="1"/>
  <c r="A423" i="1"/>
  <c r="A421" i="1"/>
  <c r="A420" i="1"/>
  <c r="A419" i="1"/>
  <c r="A418" i="1"/>
  <c r="A414" i="1"/>
  <c r="A413" i="1"/>
  <c r="A412" i="1"/>
  <c r="A411" i="1"/>
  <c r="A410" i="1"/>
  <c r="A409" i="1"/>
  <c r="A407" i="1"/>
  <c r="A406" i="1"/>
  <c r="A405" i="1"/>
  <c r="A404" i="1"/>
  <c r="A391" i="1"/>
  <c r="A392" i="1"/>
  <c r="A393" i="1"/>
  <c r="A394" i="1"/>
  <c r="A408" i="1" s="1"/>
  <c r="A422" i="1" s="1"/>
  <c r="A395" i="1"/>
  <c r="A396" i="1"/>
  <c r="A397" i="1"/>
  <c r="A398" i="1"/>
  <c r="A399" i="1"/>
  <c r="A400" i="1"/>
  <c r="A390" i="1"/>
  <c r="C376" i="1"/>
  <c r="C377" i="1" s="1"/>
  <c r="C323" i="1"/>
  <c r="A377" i="1"/>
  <c r="A378" i="1"/>
  <c r="A379" i="1"/>
  <c r="A381" i="1"/>
  <c r="A382" i="1"/>
  <c r="A383" i="1"/>
  <c r="A384" i="1"/>
  <c r="A385" i="1"/>
  <c r="A386" i="1"/>
  <c r="A376" i="1"/>
  <c r="C352" i="1" l="1"/>
  <c r="K370" i="1"/>
  <c r="J370" i="1"/>
  <c r="G370" i="1"/>
  <c r="F367" i="1"/>
  <c r="K366" i="1"/>
  <c r="J366" i="1"/>
  <c r="H366" i="1"/>
  <c r="G365" i="1"/>
  <c r="H363" i="1"/>
  <c r="K362" i="1"/>
  <c r="J362" i="1"/>
  <c r="M354" i="1"/>
  <c r="K354" i="1"/>
  <c r="J354" i="1"/>
  <c r="F354" i="1"/>
  <c r="M350" i="1"/>
  <c r="K350" i="1"/>
  <c r="J350" i="1"/>
  <c r="L350" i="1" s="1"/>
  <c r="K346" i="1"/>
  <c r="J346" i="1"/>
  <c r="L346" i="1" s="1"/>
  <c r="N346" i="1" s="1"/>
  <c r="D345" i="1" s="1"/>
  <c r="K339" i="1"/>
  <c r="J339" i="1"/>
  <c r="L339" i="1" s="1"/>
  <c r="N339" i="1" s="1"/>
  <c r="G341" i="1" s="1"/>
  <c r="G339" i="1"/>
  <c r="F336" i="1"/>
  <c r="K335" i="1"/>
  <c r="J335" i="1"/>
  <c r="L335" i="1" s="1"/>
  <c r="N335" i="1" s="1"/>
  <c r="H337" i="1" s="1"/>
  <c r="H335" i="1"/>
  <c r="G334" i="1"/>
  <c r="H332" i="1"/>
  <c r="K331" i="1"/>
  <c r="J331" i="1"/>
  <c r="M323" i="1"/>
  <c r="K323" i="1"/>
  <c r="J323" i="1"/>
  <c r="F323" i="1"/>
  <c r="M319" i="1"/>
  <c r="K319" i="1"/>
  <c r="J319" i="1"/>
  <c r="L319" i="1" s="1"/>
  <c r="K315" i="1"/>
  <c r="J315" i="1"/>
  <c r="L315" i="1" s="1"/>
  <c r="N315" i="1" s="1"/>
  <c r="D314" i="1" s="1"/>
  <c r="L331" i="1" l="1"/>
  <c r="N331" i="1" s="1"/>
  <c r="H330" i="1" s="1"/>
  <c r="G332" i="1" s="1"/>
  <c r="F338" i="1" s="1"/>
  <c r="L362" i="1"/>
  <c r="N362" i="1" s="1"/>
  <c r="H361" i="1" s="1"/>
  <c r="G363" i="1" s="1"/>
  <c r="F369" i="1" s="1"/>
  <c r="L354" i="1"/>
  <c r="L358" i="1" s="1"/>
  <c r="N358" i="1" s="1"/>
  <c r="H360" i="1" s="1"/>
  <c r="L366" i="1"/>
  <c r="N366" i="1" s="1"/>
  <c r="H368" i="1" s="1"/>
  <c r="L370" i="1"/>
  <c r="N370" i="1" s="1"/>
  <c r="G372" i="1" s="1"/>
  <c r="N350" i="1"/>
  <c r="G349" i="1" s="1"/>
  <c r="L323" i="1"/>
  <c r="L327" i="1" s="1"/>
  <c r="N327" i="1" s="1"/>
  <c r="H329" i="1" s="1"/>
  <c r="N319" i="1"/>
  <c r="G318" i="1" s="1"/>
  <c r="C305" i="1"/>
  <c r="D305" i="1" s="1"/>
  <c r="C303" i="1"/>
  <c r="C299" i="1"/>
  <c r="C298" i="1"/>
  <c r="B303" i="1"/>
  <c r="B302" i="1"/>
  <c r="D302" i="1" s="1"/>
  <c r="B301" i="1"/>
  <c r="D301" i="1" s="1"/>
  <c r="B300" i="1"/>
  <c r="D300" i="1" s="1"/>
  <c r="A302" i="1"/>
  <c r="A301" i="1"/>
  <c r="A300" i="1"/>
  <c r="A299" i="1"/>
  <c r="A297" i="1"/>
  <c r="A265" i="1"/>
  <c r="B271" i="1"/>
  <c r="D275" i="1" s="1"/>
  <c r="A271" i="1"/>
  <c r="A288" i="1" s="1"/>
  <c r="B248" i="1"/>
  <c r="D252" i="1" s="1"/>
  <c r="N354" i="1" l="1"/>
  <c r="H353" i="1" s="1"/>
  <c r="G358" i="1" s="1"/>
  <c r="F352" i="1" s="1"/>
  <c r="D362" i="1" s="1"/>
  <c r="C354" i="1" s="1"/>
  <c r="N323" i="1"/>
  <c r="H322" i="1" s="1"/>
  <c r="G327" i="1" s="1"/>
  <c r="F321" i="1" s="1"/>
  <c r="D331" i="1" s="1"/>
  <c r="C321" i="1" s="1"/>
  <c r="D303" i="1"/>
  <c r="D274" i="1"/>
  <c r="D251" i="1"/>
  <c r="B335" i="1" l="1"/>
  <c r="B367" i="1" s="1"/>
  <c r="A244" i="1"/>
  <c r="D228" i="1"/>
  <c r="A241" i="1"/>
  <c r="A205" i="1"/>
  <c r="B175" i="1"/>
  <c r="C304" i="1" s="1"/>
  <c r="A142" i="1"/>
  <c r="B188" i="1"/>
  <c r="D191" i="1" s="1"/>
  <c r="D214" i="1" l="1"/>
  <c r="D227" i="1"/>
  <c r="D213" i="1"/>
  <c r="D192" i="1"/>
  <c r="D153" i="1" l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52" i="1"/>
  <c r="B148" i="1"/>
  <c r="E169" i="1" s="1"/>
  <c r="E170" i="1" s="1"/>
  <c r="A148" i="1"/>
  <c r="A174" i="1" s="1"/>
  <c r="B126" i="1"/>
  <c r="B104" i="1"/>
  <c r="A104" i="1"/>
  <c r="B84" i="1"/>
  <c r="I77" i="1"/>
  <c r="H77" i="1"/>
  <c r="E77" i="1"/>
  <c r="D74" i="1"/>
  <c r="I73" i="1"/>
  <c r="H73" i="1"/>
  <c r="F73" i="1"/>
  <c r="E72" i="1"/>
  <c r="F70" i="1"/>
  <c r="I69" i="1"/>
  <c r="H69" i="1"/>
  <c r="E63" i="1"/>
  <c r="K61" i="1"/>
  <c r="I61" i="1"/>
  <c r="H61" i="1"/>
  <c r="D61" i="1"/>
  <c r="E58" i="1"/>
  <c r="K57" i="1"/>
  <c r="I57" i="1"/>
  <c r="H57" i="1"/>
  <c r="I53" i="1"/>
  <c r="H53" i="1"/>
  <c r="K30" i="1"/>
  <c r="K26" i="1"/>
  <c r="I30" i="1"/>
  <c r="I26" i="1"/>
  <c r="E27" i="1"/>
  <c r="E32" i="1"/>
  <c r="F39" i="1"/>
  <c r="F42" i="1"/>
  <c r="D43" i="1"/>
  <c r="D30" i="1"/>
  <c r="E46" i="1"/>
  <c r="E41" i="1"/>
  <c r="H46" i="1"/>
  <c r="H42" i="1"/>
  <c r="H38" i="1"/>
  <c r="H30" i="1"/>
  <c r="H26" i="1"/>
  <c r="J26" i="1" s="1"/>
  <c r="H22" i="1"/>
  <c r="B13" i="1"/>
  <c r="B304" i="1" s="1"/>
  <c r="D304" i="1" s="1"/>
  <c r="I46" i="1"/>
  <c r="I42" i="1"/>
  <c r="I38" i="1"/>
  <c r="I22" i="1"/>
  <c r="B6" i="1"/>
  <c r="A298" i="1" l="1"/>
  <c r="A121" i="1"/>
  <c r="E129" i="1"/>
  <c r="E130" i="1" s="1"/>
  <c r="B299" i="1"/>
  <c r="D299" i="1" s="1"/>
  <c r="E87" i="1"/>
  <c r="E88" i="1" s="1"/>
  <c r="B297" i="1"/>
  <c r="D297" i="1" s="1"/>
  <c r="E107" i="1"/>
  <c r="E108" i="1" s="1"/>
  <c r="B298" i="1"/>
  <c r="D298" i="1" s="1"/>
  <c r="J38" i="1"/>
  <c r="L38" i="1" s="1"/>
  <c r="M38" i="1" s="1"/>
  <c r="F37" i="1" s="1"/>
  <c r="J42" i="1"/>
  <c r="L42" i="1" s="1"/>
  <c r="M42" i="1" s="1"/>
  <c r="F44" i="1" s="1"/>
  <c r="J57" i="1"/>
  <c r="L57" i="1" s="1"/>
  <c r="E56" i="1" s="1"/>
  <c r="J61" i="1"/>
  <c r="L61" i="1" s="1"/>
  <c r="F60" i="1" s="1"/>
  <c r="B227" i="1" s="1"/>
  <c r="J46" i="1"/>
  <c r="L46" i="1" s="1"/>
  <c r="M46" i="1" s="1"/>
  <c r="E48" i="1" s="1"/>
  <c r="J30" i="1"/>
  <c r="L30" i="1" s="1"/>
  <c r="M30" i="1" s="1"/>
  <c r="F29" i="1" s="1"/>
  <c r="J73" i="1"/>
  <c r="L73" i="1" s="1"/>
  <c r="F75" i="1" s="1"/>
  <c r="L26" i="1"/>
  <c r="M26" i="1" s="1"/>
  <c r="E25" i="1" s="1"/>
  <c r="J77" i="1"/>
  <c r="L77" i="1" s="1"/>
  <c r="E79" i="1" s="1"/>
  <c r="J53" i="1"/>
  <c r="L53" i="1" s="1"/>
  <c r="B52" i="1" s="1"/>
  <c r="J22" i="1"/>
  <c r="L22" i="1" s="1"/>
  <c r="M22" i="1" s="1"/>
  <c r="B21" i="1" s="1"/>
  <c r="J69" i="1"/>
  <c r="L69" i="1" s="1"/>
  <c r="F68" i="1" s="1"/>
  <c r="B274" i="1" l="1"/>
  <c r="B251" i="1"/>
  <c r="J34" i="1"/>
  <c r="L34" i="1" s="1"/>
  <c r="M34" i="1" s="1"/>
  <c r="F36" i="1" s="1"/>
  <c r="E34" i="1" s="1"/>
  <c r="D28" i="1" s="1"/>
  <c r="E39" i="1"/>
  <c r="D45" i="1" s="1"/>
  <c r="B129" i="1"/>
  <c r="B213" i="1"/>
  <c r="B191" i="1"/>
  <c r="J65" i="1"/>
  <c r="L65" i="1" s="1"/>
  <c r="F67" i="1" s="1"/>
  <c r="E70" i="1"/>
  <c r="D76" i="1" s="1"/>
  <c r="B20" i="1"/>
  <c r="B151" i="1" s="1"/>
  <c r="B107" i="1"/>
  <c r="B87" i="1"/>
  <c r="E65" i="1" l="1"/>
  <c r="D59" i="1" s="1"/>
  <c r="B69" i="1" s="1"/>
  <c r="C227" i="1"/>
  <c r="B38" i="1"/>
  <c r="B39" i="1" s="1"/>
  <c r="C151" i="1" s="1"/>
  <c r="C251" i="1" l="1"/>
  <c r="C274" i="1"/>
  <c r="C191" i="1"/>
  <c r="C213" i="1"/>
  <c r="C107" i="1"/>
  <c r="A59" i="1"/>
  <c r="B366" i="1" s="1"/>
  <c r="B368" i="1" s="1"/>
  <c r="B417" i="1" s="1"/>
  <c r="C129" i="1"/>
  <c r="C87" i="1"/>
  <c r="A28" i="1"/>
  <c r="A27" i="1"/>
  <c r="B403" i="1" l="1"/>
  <c r="B389" i="1"/>
  <c r="B375" i="1"/>
</calcChain>
</file>

<file path=xl/sharedStrings.xml><?xml version="1.0" encoding="utf-8"?>
<sst xmlns="http://schemas.openxmlformats.org/spreadsheetml/2006/main" count="270" uniqueCount="94">
  <si>
    <t>Wine</t>
  </si>
  <si>
    <t>Storm</t>
  </si>
  <si>
    <t>Acidity &lt; 0.7%</t>
  </si>
  <si>
    <t>Botrytis</t>
  </si>
  <si>
    <t>Description</t>
  </si>
  <si>
    <t>Price per bottle</t>
  </si>
  <si>
    <t>Parameters</t>
  </si>
  <si>
    <t>P(Storm)</t>
  </si>
  <si>
    <t>P(Botrytis)</t>
  </si>
  <si>
    <t>P(Acidity &lt; 0.7%)</t>
  </si>
  <si>
    <t>P(25% Sugar)</t>
  </si>
  <si>
    <t>P(20% Sugar)</t>
  </si>
  <si>
    <t>Gamma</t>
  </si>
  <si>
    <t xml:space="preserve">Complex Sweet </t>
  </si>
  <si>
    <t>20% Sugar</t>
  </si>
  <si>
    <t>25% Sugar</t>
  </si>
  <si>
    <t>Sweet and full bodied</t>
  </si>
  <si>
    <t>Light bodied</t>
  </si>
  <si>
    <t>Thin</t>
  </si>
  <si>
    <t>Bulk/Direct grapes sell</t>
  </si>
  <si>
    <t>Not-quite-ripe</t>
  </si>
  <si>
    <t>Acitidy &lt; 0.7%</t>
  </si>
  <si>
    <t>No Storm</t>
  </si>
  <si>
    <t xml:space="preserve">Botrytis mold </t>
  </si>
  <si>
    <t xml:space="preserve">No Botrytis mold </t>
  </si>
  <si>
    <t xml:space="preserve">Bottle </t>
  </si>
  <si>
    <t>Bulk</t>
  </si>
  <si>
    <t>Acidity &gt;= 0.7%</t>
  </si>
  <si>
    <t>Sugar 20%</t>
  </si>
  <si>
    <t>Sugar 25%</t>
  </si>
  <si>
    <t>Swelling due to water</t>
  </si>
  <si>
    <t>Reduction in juice</t>
  </si>
  <si>
    <t>Riesling Grapes</t>
  </si>
  <si>
    <t>Revenue</t>
  </si>
  <si>
    <t>None</t>
  </si>
  <si>
    <t>Full Bodied</t>
  </si>
  <si>
    <t>Light Bodied</t>
  </si>
  <si>
    <t>Low Sugar</t>
  </si>
  <si>
    <t>Harvest now</t>
  </si>
  <si>
    <t>Wait</t>
  </si>
  <si>
    <t>Reputation per bottle</t>
  </si>
  <si>
    <t>Repuation per bottle for superior wine</t>
  </si>
  <si>
    <t>Repuation per bottle for inferior wine</t>
  </si>
  <si>
    <t>Standard</t>
  </si>
  <si>
    <t>Inferior</t>
  </si>
  <si>
    <t>No bottle</t>
  </si>
  <si>
    <t>Cases / year</t>
  </si>
  <si>
    <t>Bottles /case</t>
  </si>
  <si>
    <t>No. bottles (thousands)</t>
  </si>
  <si>
    <t>Net Revenue (thousands)</t>
  </si>
  <si>
    <t>(thousands)</t>
  </si>
  <si>
    <t>NA</t>
  </si>
  <si>
    <t>Assuming Risk-Averse</t>
  </si>
  <si>
    <t>Color Code</t>
  </si>
  <si>
    <t>Assuming Risk-Neutral (use $ instead of u-values)</t>
  </si>
  <si>
    <t>Inputs</t>
  </si>
  <si>
    <t>Calculated values</t>
  </si>
  <si>
    <t>Information</t>
  </si>
  <si>
    <t>Harvest Now</t>
  </si>
  <si>
    <t>Sensitivity Analysis</t>
  </si>
  <si>
    <t>Reference</t>
  </si>
  <si>
    <t>* Utility function: 1-exp(-gamma*net revenue)</t>
  </si>
  <si>
    <t>Price of Botrytis</t>
  </si>
  <si>
    <t>U-values/Certain Equivalent</t>
  </si>
  <si>
    <t>Risk Tolerance</t>
  </si>
  <si>
    <t>Utility</t>
  </si>
  <si>
    <t>Bottle</t>
  </si>
  <si>
    <t>Indiffrent point</t>
  </si>
  <si>
    <t>1/Gamma (Risk tolerance) $</t>
  </si>
  <si>
    <t>Gamma (Risk aversion coefficient) 1/$</t>
  </si>
  <si>
    <t>* Units for risk tolerance: thousands</t>
  </si>
  <si>
    <t>Indiffrent point for harvest/not harvest</t>
  </si>
  <si>
    <t xml:space="preserve">Indiffrent point for bottle/bulk </t>
  </si>
  <si>
    <t>Summary of sensitivity analysis</t>
  </si>
  <si>
    <t>Risk Tolerance (thousands)</t>
  </si>
  <si>
    <t xml:space="preserve">Price of Not-quite-ripe wine </t>
  </si>
  <si>
    <t>If Y less than Z</t>
  </si>
  <si>
    <t>If Y greater than Z</t>
  </si>
  <si>
    <t>Indifference point (Z)</t>
  </si>
  <si>
    <t>Parameter (Y)</t>
  </si>
  <si>
    <t>Original (R)</t>
  </si>
  <si>
    <t>If Yequal to R</t>
  </si>
  <si>
    <t>Reputation for inferior wine (bottle/bulk)</t>
  </si>
  <si>
    <t>Clairvoyant</t>
  </si>
  <si>
    <t>"Botrytis mold "</t>
  </si>
  <si>
    <t>"No Botrytis mold "</t>
  </si>
  <si>
    <t>CE without PI</t>
  </si>
  <si>
    <t>CE with PI</t>
  </si>
  <si>
    <t>VPI = CE with PI - CE without PI</t>
  </si>
  <si>
    <t>% difference</t>
  </si>
  <si>
    <t>Probabilty</t>
  </si>
  <si>
    <t>P(acidity&lt;0.7%)</t>
  </si>
  <si>
    <t>P(25% sugar)</t>
  </si>
  <si>
    <t>Sensitivty to P(Botryis) on VPI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</si>
</sst>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$&quot;#,##0.00"/>
    <numFmt numFmtId="165" formatCode="#,##0.0"/>
    <numFmt numFmtId="166" formatCode="&quot;$&quot;#,##0.0"/>
    <numFmt numFmtId="167" formatCode="#,##0.0000"/>
    <numFmt numFmtId="168" formatCode="0.000"/>
    <numFmt numFmtId="169" formatCode="0.0000"/>
    <numFmt numFmtId="170" formatCode="0.0%"/>
    <numFmt numFmtId="171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/>
    <xf numFmtId="0" fontId="0" fillId="4" borderId="0" xfId="0" applyFill="1"/>
    <xf numFmtId="0" fontId="0" fillId="8" borderId="0" xfId="0" applyFill="1"/>
    <xf numFmtId="164" fontId="0" fillId="8" borderId="0" xfId="0" applyNumberFormat="1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" fillId="9" borderId="0" xfId="0" applyFont="1" applyFill="1"/>
    <xf numFmtId="0" fontId="0" fillId="9" borderId="0" xfId="0" applyFill="1"/>
    <xf numFmtId="0" fontId="1" fillId="9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" xfId="0" applyFill="1" applyBorder="1"/>
    <xf numFmtId="164" fontId="0" fillId="9" borderId="1" xfId="0" applyNumberFormat="1" applyFill="1" applyBorder="1" applyAlignment="1">
      <alignment horizontal="center"/>
    </xf>
    <xf numFmtId="0" fontId="0" fillId="9" borderId="0" xfId="0" applyFill="1" applyBorder="1"/>
    <xf numFmtId="0" fontId="0" fillId="9" borderId="4" xfId="0" applyFill="1" applyBorder="1"/>
    <xf numFmtId="0" fontId="0" fillId="9" borderId="6" xfId="0" applyFill="1" applyBorder="1"/>
    <xf numFmtId="0" fontId="0" fillId="9" borderId="0" xfId="0" applyFill="1" applyAlignment="1">
      <alignment horizontal="center"/>
    </xf>
    <xf numFmtId="0" fontId="0" fillId="9" borderId="3" xfId="0" applyFill="1" applyBorder="1"/>
    <xf numFmtId="0" fontId="0" fillId="9" borderId="6" xfId="0" applyFill="1" applyBorder="1" applyAlignment="1">
      <alignment horizontal="left"/>
    </xf>
    <xf numFmtId="0" fontId="0" fillId="9" borderId="8" xfId="0" applyFill="1" applyBorder="1"/>
    <xf numFmtId="0" fontId="0" fillId="9" borderId="11" xfId="0" applyFill="1" applyBorder="1" applyAlignment="1">
      <alignment horizontal="left"/>
    </xf>
    <xf numFmtId="0" fontId="0" fillId="9" borderId="0" xfId="0" applyFill="1" applyBorder="1" applyAlignment="1">
      <alignment horizontal="right"/>
    </xf>
    <xf numFmtId="0" fontId="0" fillId="9" borderId="2" xfId="0" applyFill="1" applyBorder="1"/>
    <xf numFmtId="0" fontId="0" fillId="9" borderId="8" xfId="0" applyFill="1" applyBorder="1" applyAlignment="1">
      <alignment horizontal="left"/>
    </xf>
    <xf numFmtId="0" fontId="0" fillId="9" borderId="7" xfId="0" applyFill="1" applyBorder="1"/>
    <xf numFmtId="0" fontId="0" fillId="9" borderId="5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0" fillId="9" borderId="9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12" xfId="0" applyFill="1" applyBorder="1"/>
    <xf numFmtId="0" fontId="0" fillId="5" borderId="1" xfId="0" applyFill="1" applyBorder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1" fillId="8" borderId="0" xfId="0" applyFont="1" applyFill="1"/>
    <xf numFmtId="165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164" fontId="1" fillId="8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/>
    <xf numFmtId="164" fontId="2" fillId="7" borderId="0" xfId="0" applyNumberFormat="1" applyFont="1" applyFill="1" applyAlignment="1">
      <alignment horizontal="left"/>
    </xf>
    <xf numFmtId="164" fontId="2" fillId="7" borderId="0" xfId="0" applyNumberFormat="1" applyFont="1" applyFill="1" applyBorder="1" applyAlignment="1">
      <alignment horizontal="left"/>
    </xf>
    <xf numFmtId="167" fontId="1" fillId="8" borderId="0" xfId="0" applyNumberFormat="1" applyFont="1" applyFill="1" applyAlignment="1">
      <alignment horizontal="center"/>
    </xf>
    <xf numFmtId="0" fontId="0" fillId="9" borderId="12" xfId="0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2" fontId="0" fillId="8" borderId="1" xfId="0" applyNumberFormat="1" applyFill="1" applyBorder="1" applyAlignment="1">
      <alignment horizontal="center"/>
    </xf>
    <xf numFmtId="169" fontId="0" fillId="4" borderId="1" xfId="0" applyNumberFormat="1" applyFill="1" applyBorder="1" applyAlignment="1">
      <alignment horizontal="center"/>
    </xf>
    <xf numFmtId="0" fontId="0" fillId="7" borderId="0" xfId="0" applyFill="1"/>
    <xf numFmtId="0" fontId="0" fillId="3" borderId="0" xfId="0" applyFill="1"/>
    <xf numFmtId="0" fontId="0" fillId="6" borderId="0" xfId="0" applyFill="1"/>
    <xf numFmtId="169" fontId="2" fillId="7" borderId="0" xfId="0" applyNumberFormat="1" applyFont="1" applyFill="1" applyAlignment="1">
      <alignment horizontal="left"/>
    </xf>
    <xf numFmtId="169" fontId="2" fillId="7" borderId="0" xfId="0" applyNumberFormat="1" applyFont="1" applyFill="1" applyBorder="1" applyAlignment="1">
      <alignment horizontal="left"/>
    </xf>
    <xf numFmtId="4" fontId="0" fillId="0" borderId="1" xfId="0" applyNumberFormat="1" applyFill="1" applyBorder="1"/>
    <xf numFmtId="4" fontId="0" fillId="0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9" borderId="1" xfId="0" applyNumberFormat="1" applyFill="1" applyBorder="1"/>
    <xf numFmtId="0" fontId="0" fillId="9" borderId="13" xfId="0" applyFill="1" applyBorder="1"/>
    <xf numFmtId="0" fontId="1" fillId="10" borderId="0" xfId="0" applyFont="1" applyFill="1"/>
    <xf numFmtId="169" fontId="0" fillId="9" borderId="1" xfId="0" applyNumberFormat="1" applyFill="1" applyBorder="1"/>
    <xf numFmtId="168" fontId="0" fillId="0" borderId="1" xfId="0" applyNumberFormat="1" applyBorder="1" applyAlignment="1">
      <alignment horizontal="center"/>
    </xf>
    <xf numFmtId="168" fontId="0" fillId="9" borderId="1" xfId="0" applyNumberFormat="1" applyFill="1" applyBorder="1" applyAlignment="1">
      <alignment horizontal="center"/>
    </xf>
    <xf numFmtId="0" fontId="0" fillId="9" borderId="10" xfId="0" applyFill="1" applyBorder="1"/>
    <xf numFmtId="2" fontId="0" fillId="9" borderId="1" xfId="0" applyNumberFormat="1" applyFill="1" applyBorder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0" borderId="11" xfId="0" applyBorder="1" applyAlignment="1">
      <alignment horizontal="center"/>
    </xf>
    <xf numFmtId="164" fontId="0" fillId="9" borderId="10" xfId="0" applyNumberFormat="1" applyFill="1" applyBorder="1"/>
    <xf numFmtId="1" fontId="0" fillId="9" borderId="1" xfId="0" applyNumberFormat="1" applyFill="1" applyBorder="1"/>
    <xf numFmtId="10" fontId="0" fillId="9" borderId="1" xfId="0" applyNumberFormat="1" applyFill="1" applyBorder="1"/>
    <xf numFmtId="170" fontId="0" fillId="9" borderId="1" xfId="0" applyNumberFormat="1" applyFill="1" applyBorder="1" applyAlignment="1">
      <alignment horizontal="center"/>
    </xf>
    <xf numFmtId="10" fontId="0" fillId="9" borderId="10" xfId="0" applyNumberFormat="1" applyFill="1" applyBorder="1"/>
    <xf numFmtId="10" fontId="0" fillId="9" borderId="1" xfId="0" applyNumberFormat="1" applyFill="1" applyBorder="1" applyAlignment="1">
      <alignment horizontal="center"/>
    </xf>
    <xf numFmtId="171" fontId="0" fillId="9" borderId="1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164" fontId="0" fillId="9" borderId="14" xfId="0" applyNumberFormat="1" applyFill="1" applyBorder="1" applyAlignment="1">
      <alignment horizontal="center"/>
    </xf>
    <xf numFmtId="171" fontId="0" fillId="9" borderId="14" xfId="0" applyNumberFormat="1" applyFill="1" applyBorder="1" applyAlignment="1">
      <alignment horizontal="center"/>
    </xf>
    <xf numFmtId="9" fontId="0" fillId="9" borderId="1" xfId="0" applyNumberFormat="1" applyFill="1" applyBorder="1" applyAlignment="1">
      <alignment horizontal="center"/>
    </xf>
    <xf numFmtId="0" fontId="1" fillId="10" borderId="3" xfId="0" applyFont="1" applyFill="1" applyBorder="1"/>
    <xf numFmtId="0" fontId="0" fillId="9" borderId="15" xfId="0" applyFill="1" applyBorder="1"/>
    <xf numFmtId="164" fontId="2" fillId="7" borderId="15" xfId="0" applyNumberFormat="1" applyFont="1" applyFill="1" applyBorder="1" applyAlignment="1">
      <alignment horizontal="left"/>
    </xf>
    <xf numFmtId="164" fontId="0" fillId="8" borderId="1" xfId="0" applyNumberFormat="1" applyFill="1" applyBorder="1" applyAlignment="1">
      <alignment horizontal="center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4" fontId="0" fillId="9" borderId="1" xfId="0" applyNumberFormat="1" applyFill="1" applyBorder="1" applyAlignment="1">
      <alignment horizontal="center"/>
    </xf>
    <xf numFmtId="4" fontId="0" fillId="9" borderId="1" xfId="0" applyNumberFormat="1" applyFill="1" applyBorder="1"/>
    <xf numFmtId="4" fontId="0" fillId="9" borderId="10" xfId="0" applyNumberFormat="1" applyFill="1" applyBorder="1" applyAlignment="1">
      <alignment horizontal="center"/>
    </xf>
    <xf numFmtId="164" fontId="0" fillId="9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to</a:t>
            </a:r>
            <a:r>
              <a:rPr lang="en-US" baseline="0"/>
              <a:t> P(storm)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Tree!$B$86</c:f>
              <c:strCache>
                <c:ptCount val="1"/>
                <c:pt idx="0">
                  <c:v>Harvest Now</c:v>
                </c:pt>
              </c:strCache>
            </c:strRef>
          </c:tx>
          <c:marker>
            <c:symbol val="none"/>
          </c:marker>
          <c:xVal>
            <c:numRef>
              <c:f>Tree!$A$88:$A$98</c:f>
              <c:numCache>
                <c:formatCode>#,##0.00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Tree!$B$88:$B$98</c:f>
              <c:numCache>
                <c:formatCode>"$"#,##0.00</c:formatCode>
                <c:ptCount val="11"/>
                <c:pt idx="0">
                  <c:v>34.200000000000003</c:v>
                </c:pt>
                <c:pt idx="1">
                  <c:v>34.200000000000003</c:v>
                </c:pt>
                <c:pt idx="2">
                  <c:v>34.200000000000003</c:v>
                </c:pt>
                <c:pt idx="3">
                  <c:v>34.200000000000003</c:v>
                </c:pt>
                <c:pt idx="4">
                  <c:v>34.200000000000003</c:v>
                </c:pt>
                <c:pt idx="5">
                  <c:v>34.200000000000003</c:v>
                </c:pt>
                <c:pt idx="6">
                  <c:v>34.200000000000003</c:v>
                </c:pt>
                <c:pt idx="7">
                  <c:v>34.200000000000003</c:v>
                </c:pt>
                <c:pt idx="8">
                  <c:v>34.200000000000003</c:v>
                </c:pt>
                <c:pt idx="9">
                  <c:v>34.200000000000003</c:v>
                </c:pt>
                <c:pt idx="10">
                  <c:v>34.200000000000003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Tree!$C$86</c:f>
              <c:strCache>
                <c:ptCount val="1"/>
                <c:pt idx="0">
                  <c:v>Wait</c:v>
                </c:pt>
              </c:strCache>
            </c:strRef>
          </c:tx>
          <c:marker>
            <c:symbol val="none"/>
          </c:marker>
          <c:xVal>
            <c:numRef>
              <c:f>Tree!$A$88:$A$98</c:f>
              <c:numCache>
                <c:formatCode>#,##0.00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Tree!$C$88:$C$98</c:f>
              <c:numCache>
                <c:formatCode>"$"#,##0.00</c:formatCode>
                <c:ptCount val="11"/>
                <c:pt idx="0">
                  <c:v>37.200000000000003</c:v>
                </c:pt>
                <c:pt idx="1">
                  <c:v>37.278000000000006</c:v>
                </c:pt>
                <c:pt idx="2">
                  <c:v>37.356000000000009</c:v>
                </c:pt>
                <c:pt idx="3">
                  <c:v>37.433999999999997</c:v>
                </c:pt>
                <c:pt idx="4">
                  <c:v>37.512</c:v>
                </c:pt>
                <c:pt idx="5">
                  <c:v>37.590000000000003</c:v>
                </c:pt>
                <c:pt idx="6">
                  <c:v>37.668000000000006</c:v>
                </c:pt>
                <c:pt idx="7">
                  <c:v>37.746000000000002</c:v>
                </c:pt>
                <c:pt idx="8">
                  <c:v>37.824000000000005</c:v>
                </c:pt>
                <c:pt idx="9">
                  <c:v>37.902000000000001</c:v>
                </c:pt>
                <c:pt idx="10">
                  <c:v>37.980000000000004</c:v>
                </c:pt>
              </c:numCache>
            </c:numRef>
          </c:yVal>
          <c:smooth val="1"/>
        </c:ser>
        <c:ser>
          <c:idx val="2"/>
          <c:order val="2"/>
          <c:spPr>
            <a:ln>
              <a:prstDash val="sysDash"/>
            </a:ln>
          </c:spPr>
          <c:marker>
            <c:symbol val="none"/>
          </c:marker>
          <c:xVal>
            <c:numRef>
              <c:f>Tree!$E$87:$E$88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Tree!$F$87:$F$88</c:f>
              <c:numCache>
                <c:formatCode>"$"#,##0.00</c:formatCode>
                <c:ptCount val="2"/>
                <c:pt idx="0">
                  <c:v>34</c:v>
                </c:pt>
                <c:pt idx="1">
                  <c:v>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372224"/>
        <c:axId val="160374144"/>
      </c:scatterChart>
      <c:valAx>
        <c:axId val="16037222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P(storm)</a:t>
                </a:r>
              </a:p>
            </c:rich>
          </c:tx>
          <c:layout/>
          <c:overlay val="0"/>
        </c:title>
        <c:numFmt formatCode="#,##0.0" sourceLinked="0"/>
        <c:majorTickMark val="in"/>
        <c:minorTickMark val="none"/>
        <c:tickLblPos val="nextTo"/>
        <c:crossAx val="160374144"/>
        <c:crosses val="autoZero"/>
        <c:crossBetween val="midCat"/>
        <c:majorUnit val="0.1"/>
      </c:valAx>
      <c:valAx>
        <c:axId val="160374144"/>
        <c:scaling>
          <c:orientation val="minMax"/>
          <c:max val="39"/>
          <c:min val="34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Certainty Equivalent (</a:t>
                </a:r>
                <a:r>
                  <a:rPr lang="en-US" sz="1000" b="1" i="0" u="none" strike="noStrike" baseline="0">
                    <a:effectLst/>
                  </a:rPr>
                  <a:t>thousands)</a:t>
                </a:r>
                <a:endParaRPr lang="en-US"/>
              </a:p>
            </c:rich>
          </c:tx>
          <c:layout/>
          <c:overlay val="0"/>
        </c:title>
        <c:numFmt formatCode="&quot;$&quot;#,##0.00" sourceLinked="1"/>
        <c:majorTickMark val="in"/>
        <c:minorTickMark val="none"/>
        <c:tickLblPos val="nextTo"/>
        <c:crossAx val="160372224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to</a:t>
            </a:r>
            <a:r>
              <a:rPr lang="en-US" baseline="0"/>
              <a:t> P(Botrytis)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Tree!$B$106</c:f>
              <c:strCache>
                <c:ptCount val="1"/>
                <c:pt idx="0">
                  <c:v>Harvest Now</c:v>
                </c:pt>
              </c:strCache>
            </c:strRef>
          </c:tx>
          <c:marker>
            <c:symbol val="none"/>
          </c:marker>
          <c:xVal>
            <c:numRef>
              <c:f>Tree!$A$108:$A$118</c:f>
              <c:numCache>
                <c:formatCode>#,##0.00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Tree!$B$108:$B$118</c:f>
              <c:numCache>
                <c:formatCode>"$"#,##0.00</c:formatCode>
                <c:ptCount val="11"/>
                <c:pt idx="0">
                  <c:v>34.200000000000003</c:v>
                </c:pt>
                <c:pt idx="1">
                  <c:v>34.200000000000003</c:v>
                </c:pt>
                <c:pt idx="2">
                  <c:v>34.200000000000003</c:v>
                </c:pt>
                <c:pt idx="3">
                  <c:v>34.200000000000003</c:v>
                </c:pt>
                <c:pt idx="4">
                  <c:v>34.200000000000003</c:v>
                </c:pt>
                <c:pt idx="5">
                  <c:v>34.200000000000003</c:v>
                </c:pt>
                <c:pt idx="6">
                  <c:v>34.200000000000003</c:v>
                </c:pt>
                <c:pt idx="7">
                  <c:v>34.200000000000003</c:v>
                </c:pt>
                <c:pt idx="8">
                  <c:v>34.200000000000003</c:v>
                </c:pt>
                <c:pt idx="9">
                  <c:v>34.200000000000003</c:v>
                </c:pt>
                <c:pt idx="10">
                  <c:v>34.200000000000003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Tree!$C$106</c:f>
              <c:strCache>
                <c:ptCount val="1"/>
                <c:pt idx="0">
                  <c:v>Wait</c:v>
                </c:pt>
              </c:strCache>
            </c:strRef>
          </c:tx>
          <c:marker>
            <c:symbol val="none"/>
          </c:marker>
          <c:xVal>
            <c:numRef>
              <c:f>Tree!$A$108:$A$118</c:f>
              <c:numCache>
                <c:formatCode>#,##0.00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Tree!$C$108:$C$118</c:f>
              <c:numCache>
                <c:formatCode>"$"#,##0.00</c:formatCode>
                <c:ptCount val="11"/>
                <c:pt idx="0">
                  <c:v>25.05</c:v>
                </c:pt>
                <c:pt idx="1">
                  <c:v>28.185000000000002</c:v>
                </c:pt>
                <c:pt idx="2">
                  <c:v>31.320000000000004</c:v>
                </c:pt>
                <c:pt idx="3">
                  <c:v>34.454999999999998</c:v>
                </c:pt>
                <c:pt idx="4">
                  <c:v>37.590000000000003</c:v>
                </c:pt>
                <c:pt idx="5">
                  <c:v>40.725000000000009</c:v>
                </c:pt>
                <c:pt idx="6">
                  <c:v>43.860000000000007</c:v>
                </c:pt>
                <c:pt idx="7">
                  <c:v>46.995000000000005</c:v>
                </c:pt>
                <c:pt idx="8">
                  <c:v>50.13000000000001</c:v>
                </c:pt>
                <c:pt idx="9">
                  <c:v>53.265000000000008</c:v>
                </c:pt>
                <c:pt idx="10">
                  <c:v>56.400000000000006</c:v>
                </c:pt>
              </c:numCache>
            </c:numRef>
          </c:yVal>
          <c:smooth val="1"/>
        </c:ser>
        <c:ser>
          <c:idx val="2"/>
          <c:order val="2"/>
          <c:spPr>
            <a:ln>
              <a:prstDash val="sysDash"/>
            </a:ln>
          </c:spPr>
          <c:marker>
            <c:symbol val="none"/>
          </c:marker>
          <c:xVal>
            <c:numRef>
              <c:f>Tree!$E$107:$E$108</c:f>
              <c:numCache>
                <c:formatCode>General</c:formatCode>
                <c:ptCount val="2"/>
                <c:pt idx="0">
                  <c:v>0.4</c:v>
                </c:pt>
                <c:pt idx="1">
                  <c:v>0.4</c:v>
                </c:pt>
              </c:numCache>
            </c:numRef>
          </c:xVal>
          <c:yVal>
            <c:numRef>
              <c:f>Tree!$F$107:$F$108</c:f>
              <c:numCache>
                <c:formatCode>"$"#,##0.00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13568"/>
        <c:axId val="160423936"/>
      </c:scatterChart>
      <c:valAx>
        <c:axId val="16041356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P(Botrytis)</a:t>
                </a:r>
              </a:p>
            </c:rich>
          </c:tx>
          <c:layout/>
          <c:overlay val="0"/>
        </c:title>
        <c:numFmt formatCode="#,##0.0" sourceLinked="0"/>
        <c:majorTickMark val="in"/>
        <c:minorTickMark val="none"/>
        <c:tickLblPos val="nextTo"/>
        <c:crossAx val="160423936"/>
        <c:crosses val="autoZero"/>
        <c:crossBetween val="midCat"/>
        <c:majorUnit val="0.1"/>
      </c:valAx>
      <c:valAx>
        <c:axId val="160423936"/>
        <c:scaling>
          <c:orientation val="minMax"/>
          <c:max val="60"/>
          <c:min val="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Certainty Equivalent (thousands)</a:t>
                </a:r>
              </a:p>
            </c:rich>
          </c:tx>
          <c:layout/>
          <c:overlay val="0"/>
        </c:title>
        <c:numFmt formatCode="&quot;$&quot;#,##0.00" sourceLinked="1"/>
        <c:majorTickMark val="in"/>
        <c:minorTickMark val="none"/>
        <c:tickLblPos val="nextTo"/>
        <c:crossAx val="160413568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to</a:t>
            </a:r>
            <a:r>
              <a:rPr lang="en-US" baseline="0"/>
              <a:t> Price of Botrytis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Tree!$B$128</c:f>
              <c:strCache>
                <c:ptCount val="1"/>
                <c:pt idx="0">
                  <c:v>Harvest Now</c:v>
                </c:pt>
              </c:strCache>
            </c:strRef>
          </c:tx>
          <c:marker>
            <c:symbol val="none"/>
          </c:marker>
          <c:xVal>
            <c:numRef>
              <c:f>Tree!$A$130:$A$139</c:f>
              <c:numCache>
                <c:formatCode>#,##0.00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Tree!$B$130:$B$139</c:f>
              <c:numCache>
                <c:formatCode>"$"#,##0.00</c:formatCode>
                <c:ptCount val="10"/>
                <c:pt idx="0">
                  <c:v>34.200000000000003</c:v>
                </c:pt>
                <c:pt idx="1">
                  <c:v>34.200000000000003</c:v>
                </c:pt>
                <c:pt idx="2">
                  <c:v>34.200000000000003</c:v>
                </c:pt>
                <c:pt idx="3">
                  <c:v>34.200000000000003</c:v>
                </c:pt>
                <c:pt idx="4">
                  <c:v>34.200000000000003</c:v>
                </c:pt>
                <c:pt idx="5">
                  <c:v>34.200000000000003</c:v>
                </c:pt>
                <c:pt idx="6">
                  <c:v>34.200000000000003</c:v>
                </c:pt>
                <c:pt idx="7">
                  <c:v>34.200000000000003</c:v>
                </c:pt>
                <c:pt idx="8">
                  <c:v>34.200000000000003</c:v>
                </c:pt>
                <c:pt idx="9">
                  <c:v>34.200000000000003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Tree!$C$128</c:f>
              <c:strCache>
                <c:ptCount val="1"/>
                <c:pt idx="0">
                  <c:v>Wait</c:v>
                </c:pt>
              </c:strCache>
            </c:strRef>
          </c:tx>
          <c:marker>
            <c:symbol val="none"/>
          </c:marker>
          <c:xVal>
            <c:numRef>
              <c:f>Tree!$A$130:$A$139</c:f>
              <c:numCache>
                <c:formatCode>#,##0.00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Tree!$C$130:$C$139</c:f>
              <c:numCache>
                <c:formatCode>"$"#,##0.00</c:formatCode>
                <c:ptCount val="10"/>
                <c:pt idx="0">
                  <c:v>25.830000000000002</c:v>
                </c:pt>
                <c:pt idx="1">
                  <c:v>27.51</c:v>
                </c:pt>
                <c:pt idx="2">
                  <c:v>29.19</c:v>
                </c:pt>
                <c:pt idx="3">
                  <c:v>30.87</c:v>
                </c:pt>
                <c:pt idx="4">
                  <c:v>32.549999999999997</c:v>
                </c:pt>
                <c:pt idx="5">
                  <c:v>34.230000000000004</c:v>
                </c:pt>
                <c:pt idx="6">
                  <c:v>35.910000000000004</c:v>
                </c:pt>
                <c:pt idx="7">
                  <c:v>37.590000000000003</c:v>
                </c:pt>
                <c:pt idx="8">
                  <c:v>39.27000000000001</c:v>
                </c:pt>
                <c:pt idx="9">
                  <c:v>40.950000000000003</c:v>
                </c:pt>
              </c:numCache>
            </c:numRef>
          </c:yVal>
          <c:smooth val="1"/>
        </c:ser>
        <c:ser>
          <c:idx val="2"/>
          <c:order val="2"/>
          <c:spPr>
            <a:ln>
              <a:prstDash val="sysDash"/>
            </a:ln>
          </c:spPr>
          <c:marker>
            <c:symbol val="none"/>
          </c:marker>
          <c:xVal>
            <c:numRef>
              <c:f>Tree!$E$129:$E$130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xVal>
          <c:yVal>
            <c:numRef>
              <c:f>Tree!$F$129:$F$130</c:f>
              <c:numCache>
                <c:formatCode>"$"#,##0.00</c:formatCode>
                <c:ptCount val="2"/>
                <c:pt idx="0">
                  <c:v>24</c:v>
                </c:pt>
                <c:pt idx="1">
                  <c:v>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50240"/>
        <c:axId val="161452416"/>
      </c:scatterChart>
      <c:valAx>
        <c:axId val="161450240"/>
        <c:scaling>
          <c:orientation val="minMax"/>
          <c:max val="10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Price of Botrytis  (per bottle)</a:t>
                </a:r>
                <a:endParaRPr lang="en-US"/>
              </a:p>
            </c:rich>
          </c:tx>
          <c:layout/>
          <c:overlay val="0"/>
        </c:title>
        <c:numFmt formatCode="&quot;$&quot;#,##0.0" sourceLinked="0"/>
        <c:majorTickMark val="in"/>
        <c:minorTickMark val="none"/>
        <c:tickLblPos val="nextTo"/>
        <c:crossAx val="161452416"/>
        <c:crosses val="autoZero"/>
        <c:crossBetween val="midCat"/>
        <c:majorUnit val="1"/>
      </c:valAx>
      <c:valAx>
        <c:axId val="161452416"/>
        <c:scaling>
          <c:orientation val="minMax"/>
          <c:max val="41"/>
          <c:min val="24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Certainty Equivalent (thousands)</a:t>
                </a:r>
              </a:p>
            </c:rich>
          </c:tx>
          <c:layout/>
          <c:overlay val="0"/>
        </c:title>
        <c:numFmt formatCode="&quot;$&quot;#,##0.00" sourceLinked="1"/>
        <c:majorTickMark val="in"/>
        <c:minorTickMark val="none"/>
        <c:tickLblPos val="nextTo"/>
        <c:crossAx val="161450240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to </a:t>
            </a:r>
            <a:r>
              <a:rPr lang="en-US" baseline="0"/>
              <a:t>Gamma (1/$)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Tree!$B$150</c:f>
              <c:strCache>
                <c:ptCount val="1"/>
                <c:pt idx="0">
                  <c:v>Harvest Now</c:v>
                </c:pt>
              </c:strCache>
            </c:strRef>
          </c:tx>
          <c:marker>
            <c:symbol val="none"/>
          </c:marker>
          <c:xVal>
            <c:numRef>
              <c:f>Tree!$A$152:$A$171</c:f>
              <c:numCache>
                <c:formatCode>0.000</c:formatCode>
                <c:ptCount val="2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0.01</c:v>
                </c:pt>
                <c:pt idx="7">
                  <c:v>1.4999999999999999E-2</c:v>
                </c:pt>
                <c:pt idx="8">
                  <c:v>0.02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0.04</c:v>
                </c:pt>
                <c:pt idx="12">
                  <c:v>0.05</c:v>
                </c:pt>
                <c:pt idx="13">
                  <c:v>0.1</c:v>
                </c:pt>
                <c:pt idx="14">
                  <c:v>0.2</c:v>
                </c:pt>
                <c:pt idx="15">
                  <c:v>0.3</c:v>
                </c:pt>
                <c:pt idx="16">
                  <c:v>0.5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Tree!$B$152:$B$171</c:f>
              <c:numCache>
                <c:formatCode>"$"#,##0.00</c:formatCode>
                <c:ptCount val="20"/>
                <c:pt idx="0">
                  <c:v>34.200000000000053</c:v>
                </c:pt>
                <c:pt idx="1">
                  <c:v>34.20000000000001</c:v>
                </c:pt>
                <c:pt idx="2">
                  <c:v>34.199999999999996</c:v>
                </c:pt>
                <c:pt idx="3">
                  <c:v>34.200000000000003</c:v>
                </c:pt>
                <c:pt idx="4">
                  <c:v>34.20000000000001</c:v>
                </c:pt>
                <c:pt idx="5">
                  <c:v>34.20000000000001</c:v>
                </c:pt>
                <c:pt idx="6">
                  <c:v>34.199999999999996</c:v>
                </c:pt>
                <c:pt idx="7">
                  <c:v>34.199999999999996</c:v>
                </c:pt>
                <c:pt idx="8">
                  <c:v>34.200000000000003</c:v>
                </c:pt>
                <c:pt idx="9">
                  <c:v>34.200000000000003</c:v>
                </c:pt>
                <c:pt idx="10">
                  <c:v>34.20000000000001</c:v>
                </c:pt>
                <c:pt idx="11">
                  <c:v>34.199999999999996</c:v>
                </c:pt>
                <c:pt idx="12">
                  <c:v>34.20000000000001</c:v>
                </c:pt>
                <c:pt idx="13">
                  <c:v>34.200000000000017</c:v>
                </c:pt>
                <c:pt idx="14">
                  <c:v>34.199999999999818</c:v>
                </c:pt>
                <c:pt idx="15">
                  <c:v>34.19999999999731</c:v>
                </c:pt>
                <c:pt idx="16">
                  <c:v>34.200000000174526</c:v>
                </c:pt>
                <c:pt idx="17">
                  <c:v>34.200017487581569</c:v>
                </c:pt>
                <c:pt idx="18">
                  <c:v>34.201070222458078</c:v>
                </c:pt>
                <c:pt idx="19">
                  <c:v>34.171851212215564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Tree!$C$150</c:f>
              <c:strCache>
                <c:ptCount val="1"/>
                <c:pt idx="0">
                  <c:v>Wait</c:v>
                </c:pt>
              </c:strCache>
            </c:strRef>
          </c:tx>
          <c:marker>
            <c:symbol val="none"/>
          </c:marker>
          <c:xVal>
            <c:numRef>
              <c:f>Tree!$A$152:$A$171</c:f>
              <c:numCache>
                <c:formatCode>0.000</c:formatCode>
                <c:ptCount val="20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0.01</c:v>
                </c:pt>
                <c:pt idx="7">
                  <c:v>1.4999999999999999E-2</c:v>
                </c:pt>
                <c:pt idx="8">
                  <c:v>0.02</c:v>
                </c:pt>
                <c:pt idx="9">
                  <c:v>2.5000000000000001E-2</c:v>
                </c:pt>
                <c:pt idx="10">
                  <c:v>0.03</c:v>
                </c:pt>
                <c:pt idx="11">
                  <c:v>0.04</c:v>
                </c:pt>
                <c:pt idx="12">
                  <c:v>0.05</c:v>
                </c:pt>
                <c:pt idx="13">
                  <c:v>0.1</c:v>
                </c:pt>
                <c:pt idx="14">
                  <c:v>0.2</c:v>
                </c:pt>
                <c:pt idx="15">
                  <c:v>0.3</c:v>
                </c:pt>
                <c:pt idx="16">
                  <c:v>0.5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</c:numCache>
            </c:numRef>
          </c:xVal>
          <c:yVal>
            <c:numRef>
              <c:f>Tree!$C$152:$C$171</c:f>
              <c:numCache>
                <c:formatCode>"$"#,##0.00</c:formatCode>
                <c:ptCount val="20"/>
                <c:pt idx="0">
                  <c:v>37.350086785386992</c:v>
                </c:pt>
                <c:pt idx="1">
                  <c:v>37.112360187338837</c:v>
                </c:pt>
                <c:pt idx="2">
                  <c:v>36.876856774177938</c:v>
                </c:pt>
                <c:pt idx="3">
                  <c:v>36.64360962352751</c:v>
                </c:pt>
                <c:pt idx="4">
                  <c:v>36.412648384681972</c:v>
                </c:pt>
                <c:pt idx="5">
                  <c:v>36.183999350405564</c:v>
                </c:pt>
                <c:pt idx="6">
                  <c:v>35.292938343424964</c:v>
                </c:pt>
                <c:pt idx="7">
                  <c:v>34.232999163176096</c:v>
                </c:pt>
                <c:pt idx="8">
                  <c:v>33.233233397061092</c:v>
                </c:pt>
                <c:pt idx="9">
                  <c:v>32.292675036170216</c:v>
                </c:pt>
                <c:pt idx="10">
                  <c:v>31.409351407050114</c:v>
                </c:pt>
                <c:pt idx="11">
                  <c:v>29.803406122388104</c:v>
                </c:pt>
                <c:pt idx="12">
                  <c:v>28.390622243930466</c:v>
                </c:pt>
                <c:pt idx="13">
                  <c:v>23.420748850189526</c:v>
                </c:pt>
                <c:pt idx="14">
                  <c:v>18.823530690723345</c:v>
                </c:pt>
                <c:pt idx="15">
                  <c:v>16.904148541578309</c:v>
                </c:pt>
                <c:pt idx="16">
                  <c:v>15.307803095939045</c:v>
                </c:pt>
                <c:pt idx="17">
                  <c:v>14.404965520364321</c:v>
                </c:pt>
                <c:pt idx="18">
                  <c:v>14.237747482975436</c:v>
                </c:pt>
                <c:pt idx="19">
                  <c:v>14.103972791886983</c:v>
                </c:pt>
              </c:numCache>
            </c:numRef>
          </c:yVal>
          <c:smooth val="1"/>
        </c:ser>
        <c:ser>
          <c:idx val="2"/>
          <c:order val="2"/>
          <c:spPr>
            <a:ln>
              <a:prstDash val="sysDash"/>
            </a:ln>
          </c:spPr>
          <c:marker>
            <c:symbol val="none"/>
          </c:marker>
          <c:xVal>
            <c:numRef>
              <c:f>Tree!$E$151:$E$152</c:f>
              <c:numCache>
                <c:formatCode>General</c:formatCode>
                <c:ptCount val="2"/>
                <c:pt idx="0">
                  <c:v>0.01</c:v>
                </c:pt>
                <c:pt idx="1">
                  <c:v>0.01</c:v>
                </c:pt>
              </c:numCache>
            </c:numRef>
          </c:xVal>
          <c:yVal>
            <c:numRef>
              <c:f>Tree!$F$151:$F$152</c:f>
              <c:numCache>
                <c:formatCode>"$"#,##0.00</c:formatCode>
                <c:ptCount val="2"/>
                <c:pt idx="0">
                  <c:v>25</c:v>
                </c:pt>
                <c:pt idx="1">
                  <c:v>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483392"/>
        <c:axId val="161489664"/>
      </c:scatterChart>
      <c:valAx>
        <c:axId val="161483392"/>
        <c:scaling>
          <c:orientation val="minMax"/>
          <c:max val="5.000000000000001E-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Gamma (1/$)</a:t>
                </a:r>
                <a:endParaRPr lang="en-US"/>
              </a:p>
            </c:rich>
          </c:tx>
          <c:layout/>
          <c:overlay val="0"/>
        </c:title>
        <c:numFmt formatCode="#,##0.000" sourceLinked="0"/>
        <c:majorTickMark val="in"/>
        <c:minorTickMark val="none"/>
        <c:tickLblPos val="nextTo"/>
        <c:crossAx val="161489664"/>
        <c:crosses val="autoZero"/>
        <c:crossBetween val="midCat"/>
      </c:valAx>
      <c:valAx>
        <c:axId val="161489664"/>
        <c:scaling>
          <c:orientation val="minMax"/>
          <c:max val="40"/>
          <c:min val="2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Certainty Equivalent (thousands)</a:t>
                </a:r>
              </a:p>
            </c:rich>
          </c:tx>
          <c:layout/>
          <c:overlay val="0"/>
        </c:title>
        <c:numFmt formatCode="&quot;$&quot;#,##0.00" sourceLinked="1"/>
        <c:majorTickMark val="in"/>
        <c:minorTickMark val="none"/>
        <c:tickLblPos val="nextTo"/>
        <c:crossAx val="161483392"/>
        <c:crosses val="autoZero"/>
        <c:crossBetween val="midCat"/>
        <c:majorUnit val="5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to</a:t>
            </a:r>
            <a:r>
              <a:rPr lang="en-US" baseline="0"/>
              <a:t> Risk Tolerance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Tree!$B$150</c:f>
              <c:strCache>
                <c:ptCount val="1"/>
                <c:pt idx="0">
                  <c:v>Harvest Now</c:v>
                </c:pt>
              </c:strCache>
            </c:strRef>
          </c:tx>
          <c:marker>
            <c:symbol val="none"/>
          </c:marker>
          <c:xVal>
            <c:numRef>
              <c:f>Tree!$D$152:$D$171</c:f>
              <c:numCache>
                <c:formatCode>0.00</c:formatCode>
                <c:ptCount val="20"/>
                <c:pt idx="0">
                  <c:v>1000</c:v>
                </c:pt>
                <c:pt idx="1">
                  <c:v>500</c:v>
                </c:pt>
                <c:pt idx="2">
                  <c:v>333.33333333333331</c:v>
                </c:pt>
                <c:pt idx="3">
                  <c:v>250</c:v>
                </c:pt>
                <c:pt idx="4">
                  <c:v>200</c:v>
                </c:pt>
                <c:pt idx="5">
                  <c:v>166.66666666666666</c:v>
                </c:pt>
                <c:pt idx="6">
                  <c:v>100</c:v>
                </c:pt>
                <c:pt idx="7">
                  <c:v>66.666666666666671</c:v>
                </c:pt>
                <c:pt idx="8">
                  <c:v>50</c:v>
                </c:pt>
                <c:pt idx="9">
                  <c:v>40</c:v>
                </c:pt>
                <c:pt idx="10">
                  <c:v>33.333333333333336</c:v>
                </c:pt>
                <c:pt idx="11">
                  <c:v>25</c:v>
                </c:pt>
                <c:pt idx="12">
                  <c:v>20</c:v>
                </c:pt>
                <c:pt idx="13">
                  <c:v>10</c:v>
                </c:pt>
                <c:pt idx="14">
                  <c:v>5</c:v>
                </c:pt>
                <c:pt idx="15">
                  <c:v>3.3333333333333335</c:v>
                </c:pt>
                <c:pt idx="16">
                  <c:v>2</c:v>
                </c:pt>
                <c:pt idx="17">
                  <c:v>1.25</c:v>
                </c:pt>
                <c:pt idx="18">
                  <c:v>1.1111111111111112</c:v>
                </c:pt>
                <c:pt idx="19">
                  <c:v>1</c:v>
                </c:pt>
              </c:numCache>
            </c:numRef>
          </c:xVal>
          <c:yVal>
            <c:numRef>
              <c:f>Tree!$B$152:$B$171</c:f>
              <c:numCache>
                <c:formatCode>"$"#,##0.00</c:formatCode>
                <c:ptCount val="20"/>
                <c:pt idx="0">
                  <c:v>34.200000000000053</c:v>
                </c:pt>
                <c:pt idx="1">
                  <c:v>34.20000000000001</c:v>
                </c:pt>
                <c:pt idx="2">
                  <c:v>34.199999999999996</c:v>
                </c:pt>
                <c:pt idx="3">
                  <c:v>34.200000000000003</c:v>
                </c:pt>
                <c:pt idx="4">
                  <c:v>34.20000000000001</c:v>
                </c:pt>
                <c:pt idx="5">
                  <c:v>34.20000000000001</c:v>
                </c:pt>
                <c:pt idx="6">
                  <c:v>34.199999999999996</c:v>
                </c:pt>
                <c:pt idx="7">
                  <c:v>34.199999999999996</c:v>
                </c:pt>
                <c:pt idx="8">
                  <c:v>34.200000000000003</c:v>
                </c:pt>
                <c:pt idx="9">
                  <c:v>34.200000000000003</c:v>
                </c:pt>
                <c:pt idx="10">
                  <c:v>34.20000000000001</c:v>
                </c:pt>
                <c:pt idx="11">
                  <c:v>34.199999999999996</c:v>
                </c:pt>
                <c:pt idx="12">
                  <c:v>34.20000000000001</c:v>
                </c:pt>
                <c:pt idx="13">
                  <c:v>34.200000000000017</c:v>
                </c:pt>
                <c:pt idx="14">
                  <c:v>34.199999999999818</c:v>
                </c:pt>
                <c:pt idx="15">
                  <c:v>34.19999999999731</c:v>
                </c:pt>
                <c:pt idx="16">
                  <c:v>34.200000000174526</c:v>
                </c:pt>
                <c:pt idx="17">
                  <c:v>34.200017487581569</c:v>
                </c:pt>
                <c:pt idx="18">
                  <c:v>34.201070222458078</c:v>
                </c:pt>
                <c:pt idx="19">
                  <c:v>34.171851212215564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Tree!$C$150</c:f>
              <c:strCache>
                <c:ptCount val="1"/>
                <c:pt idx="0">
                  <c:v>Wait</c:v>
                </c:pt>
              </c:strCache>
            </c:strRef>
          </c:tx>
          <c:marker>
            <c:symbol val="none"/>
          </c:marker>
          <c:xVal>
            <c:numRef>
              <c:f>Tree!$D$152:$D$171</c:f>
              <c:numCache>
                <c:formatCode>0.00</c:formatCode>
                <c:ptCount val="20"/>
                <c:pt idx="0">
                  <c:v>1000</c:v>
                </c:pt>
                <c:pt idx="1">
                  <c:v>500</c:v>
                </c:pt>
                <c:pt idx="2">
                  <c:v>333.33333333333331</c:v>
                </c:pt>
                <c:pt idx="3">
                  <c:v>250</c:v>
                </c:pt>
                <c:pt idx="4">
                  <c:v>200</c:v>
                </c:pt>
                <c:pt idx="5">
                  <c:v>166.66666666666666</c:v>
                </c:pt>
                <c:pt idx="6">
                  <c:v>100</c:v>
                </c:pt>
                <c:pt idx="7">
                  <c:v>66.666666666666671</c:v>
                </c:pt>
                <c:pt idx="8">
                  <c:v>50</c:v>
                </c:pt>
                <c:pt idx="9">
                  <c:v>40</c:v>
                </c:pt>
                <c:pt idx="10">
                  <c:v>33.333333333333336</c:v>
                </c:pt>
                <c:pt idx="11">
                  <c:v>25</c:v>
                </c:pt>
                <c:pt idx="12">
                  <c:v>20</c:v>
                </c:pt>
                <c:pt idx="13">
                  <c:v>10</c:v>
                </c:pt>
                <c:pt idx="14">
                  <c:v>5</c:v>
                </c:pt>
                <c:pt idx="15">
                  <c:v>3.3333333333333335</c:v>
                </c:pt>
                <c:pt idx="16">
                  <c:v>2</c:v>
                </c:pt>
                <c:pt idx="17">
                  <c:v>1.25</c:v>
                </c:pt>
                <c:pt idx="18">
                  <c:v>1.1111111111111112</c:v>
                </c:pt>
                <c:pt idx="19">
                  <c:v>1</c:v>
                </c:pt>
              </c:numCache>
            </c:numRef>
          </c:xVal>
          <c:yVal>
            <c:numRef>
              <c:f>Tree!$C$152:$C$171</c:f>
              <c:numCache>
                <c:formatCode>"$"#,##0.00</c:formatCode>
                <c:ptCount val="20"/>
                <c:pt idx="0">
                  <c:v>37.350086785386992</c:v>
                </c:pt>
                <c:pt idx="1">
                  <c:v>37.112360187338837</c:v>
                </c:pt>
                <c:pt idx="2">
                  <c:v>36.876856774177938</c:v>
                </c:pt>
                <c:pt idx="3">
                  <c:v>36.64360962352751</c:v>
                </c:pt>
                <c:pt idx="4">
                  <c:v>36.412648384681972</c:v>
                </c:pt>
                <c:pt idx="5">
                  <c:v>36.183999350405564</c:v>
                </c:pt>
                <c:pt idx="6">
                  <c:v>35.292938343424964</c:v>
                </c:pt>
                <c:pt idx="7">
                  <c:v>34.232999163176096</c:v>
                </c:pt>
                <c:pt idx="8">
                  <c:v>33.233233397061092</c:v>
                </c:pt>
                <c:pt idx="9">
                  <c:v>32.292675036170216</c:v>
                </c:pt>
                <c:pt idx="10">
                  <c:v>31.409351407050114</c:v>
                </c:pt>
                <c:pt idx="11">
                  <c:v>29.803406122388104</c:v>
                </c:pt>
                <c:pt idx="12">
                  <c:v>28.390622243930466</c:v>
                </c:pt>
                <c:pt idx="13">
                  <c:v>23.420748850189526</c:v>
                </c:pt>
                <c:pt idx="14">
                  <c:v>18.823530690723345</c:v>
                </c:pt>
                <c:pt idx="15">
                  <c:v>16.904148541578309</c:v>
                </c:pt>
                <c:pt idx="16">
                  <c:v>15.307803095939045</c:v>
                </c:pt>
                <c:pt idx="17">
                  <c:v>14.404965520364321</c:v>
                </c:pt>
                <c:pt idx="18">
                  <c:v>14.237747482975436</c:v>
                </c:pt>
                <c:pt idx="19">
                  <c:v>14.103972791886983</c:v>
                </c:pt>
              </c:numCache>
            </c:numRef>
          </c:yVal>
          <c:smooth val="1"/>
        </c:ser>
        <c:ser>
          <c:idx val="2"/>
          <c:order val="2"/>
          <c:spPr>
            <a:ln>
              <a:prstDash val="sysDash"/>
            </a:ln>
          </c:spPr>
          <c:marker>
            <c:symbol val="none"/>
          </c:marker>
          <c:xVal>
            <c:numRef>
              <c:f>Tree!$E$169:$E$170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xVal>
          <c:yVal>
            <c:numRef>
              <c:f>Tree!$F$169:$F$170</c:f>
              <c:numCache>
                <c:formatCode>"$"#,##0.00</c:formatCode>
                <c:ptCount val="2"/>
                <c:pt idx="0">
                  <c:v>36</c:v>
                </c:pt>
                <c:pt idx="1">
                  <c:v>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22432"/>
        <c:axId val="161524352"/>
      </c:scatterChart>
      <c:valAx>
        <c:axId val="161522432"/>
        <c:scaling>
          <c:orientation val="minMax"/>
          <c:max val="15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Risk Tolerance ($)</a:t>
                </a:r>
                <a:endParaRPr lang="en-US"/>
              </a:p>
            </c:rich>
          </c:tx>
          <c:layout/>
          <c:overlay val="0"/>
        </c:title>
        <c:numFmt formatCode="#,##0" sourceLinked="0"/>
        <c:majorTickMark val="in"/>
        <c:minorTickMark val="none"/>
        <c:tickLblPos val="nextTo"/>
        <c:crossAx val="161524352"/>
        <c:crosses val="autoZero"/>
        <c:crossBetween val="midCat"/>
      </c:valAx>
      <c:valAx>
        <c:axId val="161524352"/>
        <c:scaling>
          <c:orientation val="minMax"/>
          <c:max val="36"/>
          <c:min val="1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Certainty Equivalent (thousands)</a:t>
                </a:r>
              </a:p>
            </c:rich>
          </c:tx>
          <c:layout/>
          <c:overlay val="0"/>
        </c:title>
        <c:numFmt formatCode="&quot;$&quot;#,##0.00" sourceLinked="1"/>
        <c:majorTickMark val="in"/>
        <c:minorTickMark val="none"/>
        <c:tickLblPos val="nextTo"/>
        <c:crossAx val="161522432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to </a:t>
            </a:r>
            <a:r>
              <a:rPr lang="en-US" sz="1800" b="1" i="0" u="none" strike="noStrike" baseline="0">
                <a:effectLst/>
              </a:rPr>
              <a:t>Reputation  for superior wine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Tree!$B$150</c:f>
              <c:strCache>
                <c:ptCount val="1"/>
                <c:pt idx="0">
                  <c:v>Harvest Now</c:v>
                </c:pt>
              </c:strCache>
            </c:strRef>
          </c:tx>
          <c:marker>
            <c:symbol val="none"/>
          </c:marker>
          <c:xVal>
            <c:numRef>
              <c:f>Tree!$A$192:$A$202</c:f>
              <c:numCache>
                <c:formatCode>"$"#,##0.00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Tree!$B$192:$B$202</c:f>
              <c:numCache>
                <c:formatCode>"$"#,##0.00</c:formatCode>
                <c:ptCount val="11"/>
                <c:pt idx="0">
                  <c:v>34.200000000000003</c:v>
                </c:pt>
                <c:pt idx="1">
                  <c:v>34.200000000000003</c:v>
                </c:pt>
                <c:pt idx="2">
                  <c:v>34.200000000000003</c:v>
                </c:pt>
                <c:pt idx="3">
                  <c:v>34.200000000000003</c:v>
                </c:pt>
                <c:pt idx="4">
                  <c:v>34.200000000000003</c:v>
                </c:pt>
                <c:pt idx="5">
                  <c:v>34.200000000000003</c:v>
                </c:pt>
                <c:pt idx="6">
                  <c:v>34.200000000000003</c:v>
                </c:pt>
                <c:pt idx="7">
                  <c:v>34.200000000000003</c:v>
                </c:pt>
                <c:pt idx="8">
                  <c:v>34.200000000000003</c:v>
                </c:pt>
                <c:pt idx="9">
                  <c:v>34.200000000000003</c:v>
                </c:pt>
                <c:pt idx="10">
                  <c:v>34.200000000000003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Tree!$C$150</c:f>
              <c:strCache>
                <c:ptCount val="1"/>
                <c:pt idx="0">
                  <c:v>Wait</c:v>
                </c:pt>
              </c:strCache>
            </c:strRef>
          </c:tx>
          <c:marker>
            <c:symbol val="none"/>
          </c:marker>
          <c:xVal>
            <c:numRef>
              <c:f>Tree!$A$192:$A$202</c:f>
              <c:numCache>
                <c:formatCode>"$"#,##0.00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Tree!$C$192:$C$202</c:f>
              <c:numCache>
                <c:formatCode>"$"#,##0.00</c:formatCode>
                <c:ptCount val="11"/>
                <c:pt idx="0">
                  <c:v>35.910000000000004</c:v>
                </c:pt>
                <c:pt idx="1">
                  <c:v>36.75</c:v>
                </c:pt>
                <c:pt idx="2">
                  <c:v>37.590000000000003</c:v>
                </c:pt>
                <c:pt idx="3">
                  <c:v>38.430000000000007</c:v>
                </c:pt>
                <c:pt idx="4">
                  <c:v>39.270000000000003</c:v>
                </c:pt>
                <c:pt idx="5">
                  <c:v>40.11</c:v>
                </c:pt>
                <c:pt idx="6">
                  <c:v>40.950000000000003</c:v>
                </c:pt>
                <c:pt idx="7">
                  <c:v>41.790000000000006</c:v>
                </c:pt>
                <c:pt idx="8">
                  <c:v>42.63000000000001</c:v>
                </c:pt>
                <c:pt idx="9">
                  <c:v>43.47</c:v>
                </c:pt>
                <c:pt idx="10">
                  <c:v>44.31</c:v>
                </c:pt>
              </c:numCache>
            </c:numRef>
          </c:yVal>
          <c:smooth val="1"/>
        </c:ser>
        <c:ser>
          <c:idx val="2"/>
          <c:order val="2"/>
          <c:spPr>
            <a:ln>
              <a:prstDash val="sysDash"/>
            </a:ln>
          </c:spPr>
          <c:marker>
            <c:symbol val="none"/>
          </c:marker>
          <c:xVal>
            <c:numRef>
              <c:f>Tree!$D$191:$D$192</c:f>
              <c:numCache>
                <c:formatCode>"$"#,##0.00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Tree!$E$191:$E$192</c:f>
              <c:numCache>
                <c:formatCode>"$"#,##0.00</c:formatCode>
                <c:ptCount val="2"/>
                <c:pt idx="0">
                  <c:v>30</c:v>
                </c:pt>
                <c:pt idx="1">
                  <c:v>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10208"/>
        <c:axId val="161312128"/>
      </c:scatterChart>
      <c:valAx>
        <c:axId val="161310208"/>
        <c:scaling>
          <c:orientation val="minMax"/>
          <c:max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Reputation value per bottle for superior wine ($)</a:t>
                </a:r>
                <a:endParaRPr lang="en-US"/>
              </a:p>
            </c:rich>
          </c:tx>
          <c:layout/>
          <c:overlay val="0"/>
        </c:title>
        <c:numFmt formatCode="&quot;$&quot;#,##0.00" sourceLinked="0"/>
        <c:majorTickMark val="in"/>
        <c:minorTickMark val="none"/>
        <c:tickLblPos val="nextTo"/>
        <c:crossAx val="161312128"/>
        <c:crosses val="autoZero"/>
        <c:crossBetween val="midCat"/>
      </c:valAx>
      <c:valAx>
        <c:axId val="161312128"/>
        <c:scaling>
          <c:orientation val="minMax"/>
          <c:max val="45"/>
          <c:min val="3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Certainty Equivalent (thousands)</a:t>
                </a:r>
              </a:p>
            </c:rich>
          </c:tx>
          <c:layout/>
          <c:overlay val="0"/>
        </c:title>
        <c:numFmt formatCode="&quot;$&quot;#,##0.00" sourceLinked="1"/>
        <c:majorTickMark val="in"/>
        <c:minorTickMark val="none"/>
        <c:tickLblPos val="nextTo"/>
        <c:crossAx val="161310208"/>
        <c:crosses val="autoZero"/>
        <c:crossBetween val="midCat"/>
        <c:majorUnit val="5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to </a:t>
            </a:r>
            <a:r>
              <a:rPr lang="en-US" sz="1800" b="1" i="0" u="none" strike="noStrike" baseline="0">
                <a:effectLst/>
              </a:rPr>
              <a:t>Reputation  for inferior wine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Tree!$B$226</c:f>
              <c:strCache>
                <c:ptCount val="1"/>
                <c:pt idx="0">
                  <c:v>Bottle</c:v>
                </c:pt>
              </c:strCache>
            </c:strRef>
          </c:tx>
          <c:marker>
            <c:symbol val="none"/>
          </c:marker>
          <c:xVal>
            <c:numRef>
              <c:f>Tree!$A$228:$A$238</c:f>
              <c:numCache>
                <c:formatCode>"$"#,##0.00</c:formatCode>
                <c:ptCount val="11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-2</c:v>
                </c:pt>
                <c:pt idx="5">
                  <c:v>-2.5</c:v>
                </c:pt>
                <c:pt idx="6">
                  <c:v>-3</c:v>
                </c:pt>
                <c:pt idx="7">
                  <c:v>-3.5</c:v>
                </c:pt>
                <c:pt idx="8">
                  <c:v>-4</c:v>
                </c:pt>
                <c:pt idx="9">
                  <c:v>-4.5</c:v>
                </c:pt>
                <c:pt idx="10">
                  <c:v>-5</c:v>
                </c:pt>
              </c:numCache>
            </c:numRef>
          </c:xVal>
          <c:yVal>
            <c:numRef>
              <c:f>Tree!$B$228:$B$238</c:f>
              <c:numCache>
                <c:formatCode>"$"#,##0.00</c:formatCode>
                <c:ptCount val="11"/>
                <c:pt idx="0">
                  <c:v>25.8</c:v>
                </c:pt>
                <c:pt idx="1">
                  <c:v>19.350000000000001</c:v>
                </c:pt>
                <c:pt idx="2">
                  <c:v>12.9</c:v>
                </c:pt>
                <c:pt idx="3">
                  <c:v>6.4499999999999993</c:v>
                </c:pt>
                <c:pt idx="4">
                  <c:v>0</c:v>
                </c:pt>
                <c:pt idx="5">
                  <c:v>-6.4499999999999993</c:v>
                </c:pt>
                <c:pt idx="6">
                  <c:v>-12.900000000000002</c:v>
                </c:pt>
                <c:pt idx="7">
                  <c:v>-19.349999999999998</c:v>
                </c:pt>
                <c:pt idx="8">
                  <c:v>-25.8</c:v>
                </c:pt>
                <c:pt idx="9">
                  <c:v>-32.25</c:v>
                </c:pt>
                <c:pt idx="10">
                  <c:v>-38.700000000000003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Tree!$C$226</c:f>
              <c:strCache>
                <c:ptCount val="1"/>
                <c:pt idx="0">
                  <c:v>Bulk</c:v>
                </c:pt>
              </c:strCache>
            </c:strRef>
          </c:tx>
          <c:marker>
            <c:symbol val="none"/>
          </c:marker>
          <c:xVal>
            <c:numRef>
              <c:f>Tree!$A$228:$A$238</c:f>
              <c:numCache>
                <c:formatCode>"$"#,##0.00</c:formatCode>
                <c:ptCount val="11"/>
                <c:pt idx="0">
                  <c:v>0</c:v>
                </c:pt>
                <c:pt idx="1">
                  <c:v>-0.5</c:v>
                </c:pt>
                <c:pt idx="2">
                  <c:v>-1</c:v>
                </c:pt>
                <c:pt idx="3">
                  <c:v>-1.5</c:v>
                </c:pt>
                <c:pt idx="4">
                  <c:v>-2</c:v>
                </c:pt>
                <c:pt idx="5">
                  <c:v>-2.5</c:v>
                </c:pt>
                <c:pt idx="6">
                  <c:v>-3</c:v>
                </c:pt>
                <c:pt idx="7">
                  <c:v>-3.5</c:v>
                </c:pt>
                <c:pt idx="8">
                  <c:v>-4</c:v>
                </c:pt>
                <c:pt idx="9">
                  <c:v>-4.5</c:v>
                </c:pt>
                <c:pt idx="10">
                  <c:v>-5</c:v>
                </c:pt>
              </c:numCache>
            </c:numRef>
          </c:xVal>
          <c:yVal>
            <c:numRef>
              <c:f>Tree!$C$228:$C$238</c:f>
              <c:numCache>
                <c:formatCode>"$"#,##0.00</c:formatCode>
                <c:ptCount val="11"/>
                <c:pt idx="0">
                  <c:v>12.9</c:v>
                </c:pt>
                <c:pt idx="1">
                  <c:v>12.9</c:v>
                </c:pt>
                <c:pt idx="2">
                  <c:v>12.9</c:v>
                </c:pt>
                <c:pt idx="3">
                  <c:v>12.9</c:v>
                </c:pt>
                <c:pt idx="4">
                  <c:v>12.9</c:v>
                </c:pt>
                <c:pt idx="5">
                  <c:v>12.9</c:v>
                </c:pt>
                <c:pt idx="6">
                  <c:v>12.9</c:v>
                </c:pt>
                <c:pt idx="7">
                  <c:v>12.9</c:v>
                </c:pt>
                <c:pt idx="8">
                  <c:v>12.9</c:v>
                </c:pt>
                <c:pt idx="9">
                  <c:v>12.9</c:v>
                </c:pt>
                <c:pt idx="10">
                  <c:v>12.9</c:v>
                </c:pt>
              </c:numCache>
            </c:numRef>
          </c:yVal>
          <c:smooth val="1"/>
        </c:ser>
        <c:ser>
          <c:idx val="2"/>
          <c:order val="2"/>
          <c:spPr>
            <a:ln>
              <a:prstDash val="sysDash"/>
            </a:ln>
          </c:spPr>
          <c:marker>
            <c:symbol val="none"/>
          </c:marker>
          <c:xVal>
            <c:numRef>
              <c:f>Tree!$D$227:$D$228</c:f>
              <c:numCache>
                <c:formatCode>"$"#,##0.00</c:formatCode>
                <c:ptCount val="2"/>
                <c:pt idx="0">
                  <c:v>-1.5</c:v>
                </c:pt>
                <c:pt idx="1">
                  <c:v>-1.5</c:v>
                </c:pt>
              </c:numCache>
            </c:numRef>
          </c:xVal>
          <c:yVal>
            <c:numRef>
              <c:f>Tree!$E$227:$E$228</c:f>
              <c:numCache>
                <c:formatCode>"$"#,##0.00</c:formatCode>
                <c:ptCount val="2"/>
                <c:pt idx="0">
                  <c:v>-40</c:v>
                </c:pt>
                <c:pt idx="1">
                  <c:v>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63840"/>
        <c:axId val="161382400"/>
      </c:scatterChart>
      <c:valAx>
        <c:axId val="161363840"/>
        <c:scaling>
          <c:orientation val="minMax"/>
          <c:max val="0"/>
          <c:min val="-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Reputation value per bottle for inferior wine ($)</a:t>
                </a:r>
                <a:endParaRPr lang="en-US"/>
              </a:p>
            </c:rich>
          </c:tx>
          <c:layout/>
          <c:overlay val="0"/>
        </c:title>
        <c:numFmt formatCode="&quot;$&quot;#,##0.00" sourceLinked="0"/>
        <c:majorTickMark val="in"/>
        <c:minorTickMark val="none"/>
        <c:tickLblPos val="nextTo"/>
        <c:crossAx val="161382400"/>
        <c:crosses val="autoZero"/>
        <c:crossBetween val="midCat"/>
      </c:valAx>
      <c:valAx>
        <c:axId val="161382400"/>
        <c:scaling>
          <c:orientation val="minMax"/>
          <c:max val="30"/>
          <c:min val="-4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Certainty Equivalent (thousands)</a:t>
                </a:r>
              </a:p>
            </c:rich>
          </c:tx>
          <c:layout/>
          <c:overlay val="0"/>
        </c:title>
        <c:numFmt formatCode="&quot;$&quot;#,##0.00" sourceLinked="1"/>
        <c:majorTickMark val="in"/>
        <c:minorTickMark val="none"/>
        <c:tickLblPos val="nextTo"/>
        <c:crossAx val="161363840"/>
        <c:crossesAt val="-5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to Swelling due to water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Tree!$B$250</c:f>
              <c:strCache>
                <c:ptCount val="1"/>
                <c:pt idx="0">
                  <c:v>Harvest Now</c:v>
                </c:pt>
              </c:strCache>
            </c:strRef>
          </c:tx>
          <c:marker>
            <c:symbol val="none"/>
          </c:marker>
          <c:xVal>
            <c:numRef>
              <c:f>Tree!$A$252:$A$262</c:f>
              <c:numCache>
                <c:formatCode>0.0%</c:formatCode>
                <c:ptCount val="11"/>
                <c:pt idx="0">
                  <c:v>0.05</c:v>
                </c:pt>
                <c:pt idx="1">
                  <c:v>5.5E-2</c:v>
                </c:pt>
                <c:pt idx="2">
                  <c:v>0.06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7.4999999999999997E-2</c:v>
                </c:pt>
                <c:pt idx="6">
                  <c:v>0.08</c:v>
                </c:pt>
                <c:pt idx="7">
                  <c:v>8.5000000000000006E-2</c:v>
                </c:pt>
                <c:pt idx="8">
                  <c:v>0.09</c:v>
                </c:pt>
                <c:pt idx="9">
                  <c:v>9.5000000000000001E-2</c:v>
                </c:pt>
                <c:pt idx="10">
                  <c:v>0.1</c:v>
                </c:pt>
              </c:numCache>
            </c:numRef>
          </c:xVal>
          <c:yVal>
            <c:numRef>
              <c:f>Tree!$B$252:$B$262</c:f>
              <c:numCache>
                <c:formatCode>"$"#,##0.00</c:formatCode>
                <c:ptCount val="11"/>
                <c:pt idx="0">
                  <c:v>34.200000000000003</c:v>
                </c:pt>
                <c:pt idx="1">
                  <c:v>34.200000000000003</c:v>
                </c:pt>
                <c:pt idx="2">
                  <c:v>34.200000000000003</c:v>
                </c:pt>
                <c:pt idx="3">
                  <c:v>34.200000000000003</c:v>
                </c:pt>
                <c:pt idx="4">
                  <c:v>34.200000000000003</c:v>
                </c:pt>
                <c:pt idx="5">
                  <c:v>34.200000000000003</c:v>
                </c:pt>
                <c:pt idx="6">
                  <c:v>34.200000000000003</c:v>
                </c:pt>
                <c:pt idx="7">
                  <c:v>34.200000000000003</c:v>
                </c:pt>
                <c:pt idx="8">
                  <c:v>34.200000000000003</c:v>
                </c:pt>
                <c:pt idx="9">
                  <c:v>34.200000000000003</c:v>
                </c:pt>
                <c:pt idx="10">
                  <c:v>34.200000000000003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Tree!$C$250</c:f>
              <c:strCache>
                <c:ptCount val="1"/>
                <c:pt idx="0">
                  <c:v>Wait</c:v>
                </c:pt>
              </c:strCache>
            </c:strRef>
          </c:tx>
          <c:marker>
            <c:symbol val="none"/>
          </c:marker>
          <c:xVal>
            <c:numRef>
              <c:f>Tree!$A$252:$A$262</c:f>
              <c:numCache>
                <c:formatCode>0.0%</c:formatCode>
                <c:ptCount val="11"/>
                <c:pt idx="0">
                  <c:v>0.05</c:v>
                </c:pt>
                <c:pt idx="1">
                  <c:v>5.5E-2</c:v>
                </c:pt>
                <c:pt idx="2">
                  <c:v>0.06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7.4999999999999997E-2</c:v>
                </c:pt>
                <c:pt idx="6">
                  <c:v>0.08</c:v>
                </c:pt>
                <c:pt idx="7">
                  <c:v>8.5000000000000006E-2</c:v>
                </c:pt>
                <c:pt idx="8">
                  <c:v>0.09</c:v>
                </c:pt>
                <c:pt idx="9">
                  <c:v>9.5000000000000001E-2</c:v>
                </c:pt>
                <c:pt idx="10">
                  <c:v>0.1</c:v>
                </c:pt>
              </c:numCache>
            </c:numRef>
          </c:xVal>
          <c:yVal>
            <c:numRef>
              <c:f>Tree!$C$252:$C$262</c:f>
              <c:numCache>
                <c:formatCode>"$"#,##0.00</c:formatCode>
                <c:ptCount val="11"/>
                <c:pt idx="0">
                  <c:v>37.5</c:v>
                </c:pt>
                <c:pt idx="1">
                  <c:v>37.518000000000001</c:v>
                </c:pt>
                <c:pt idx="2">
                  <c:v>37.536000000000001</c:v>
                </c:pt>
                <c:pt idx="3">
                  <c:v>37.554000000000002</c:v>
                </c:pt>
                <c:pt idx="4">
                  <c:v>37.572000000000003</c:v>
                </c:pt>
                <c:pt idx="5">
                  <c:v>37.590000000000003</c:v>
                </c:pt>
                <c:pt idx="6">
                  <c:v>37.608000000000004</c:v>
                </c:pt>
                <c:pt idx="7">
                  <c:v>37.626000000000005</c:v>
                </c:pt>
                <c:pt idx="8">
                  <c:v>37.644000000000005</c:v>
                </c:pt>
                <c:pt idx="9">
                  <c:v>37.662000000000006</c:v>
                </c:pt>
                <c:pt idx="10">
                  <c:v>37.680000000000007</c:v>
                </c:pt>
              </c:numCache>
            </c:numRef>
          </c:yVal>
          <c:smooth val="1"/>
        </c:ser>
        <c:ser>
          <c:idx val="2"/>
          <c:order val="2"/>
          <c:spPr>
            <a:ln>
              <a:prstDash val="sysDash"/>
            </a:ln>
          </c:spPr>
          <c:marker>
            <c:symbol val="none"/>
          </c:marker>
          <c:xVal>
            <c:numRef>
              <c:f>Tree!$D$251:$D$252</c:f>
              <c:numCache>
                <c:formatCode>0.00%</c:formatCode>
                <c:ptCount val="2"/>
                <c:pt idx="0">
                  <c:v>7.4999999999999997E-2</c:v>
                </c:pt>
                <c:pt idx="1">
                  <c:v>7.4999999999999997E-2</c:v>
                </c:pt>
              </c:numCache>
            </c:numRef>
          </c:xVal>
          <c:yVal>
            <c:numRef>
              <c:f>Tree!$E$251:$E$252</c:f>
              <c:numCache>
                <c:formatCode>"$"#,##0.00</c:formatCode>
                <c:ptCount val="2"/>
                <c:pt idx="0">
                  <c:v>30</c:v>
                </c:pt>
                <c:pt idx="1">
                  <c:v>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95072"/>
        <c:axId val="161396992"/>
      </c:scatterChart>
      <c:valAx>
        <c:axId val="161395072"/>
        <c:scaling>
          <c:orientation val="minMax"/>
          <c:max val="0.1"/>
          <c:min val="5.000000000000001E-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Swelling due to water (%)</a:t>
                </a:r>
                <a:endParaRPr lang="en-US"/>
              </a:p>
            </c:rich>
          </c:tx>
          <c:layout/>
          <c:overlay val="0"/>
        </c:title>
        <c:numFmt formatCode="0.0%" sourceLinked="0"/>
        <c:majorTickMark val="in"/>
        <c:minorTickMark val="none"/>
        <c:tickLblPos val="nextTo"/>
        <c:crossAx val="161396992"/>
        <c:crosses val="autoZero"/>
        <c:crossBetween val="midCat"/>
      </c:valAx>
      <c:valAx>
        <c:axId val="161396992"/>
        <c:scaling>
          <c:orientation val="minMax"/>
          <c:max val="40"/>
          <c:min val="3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Certainty Equivalent (thousands)</a:t>
                </a:r>
              </a:p>
            </c:rich>
          </c:tx>
          <c:layout/>
          <c:overlay val="0"/>
        </c:title>
        <c:numFmt formatCode="&quot;$&quot;#,##0.00" sourceLinked="1"/>
        <c:majorTickMark val="in"/>
        <c:minorTickMark val="none"/>
        <c:tickLblPos val="nextTo"/>
        <c:crossAx val="161395072"/>
        <c:crosses val="autoZero"/>
        <c:crossBetween val="midCat"/>
        <c:majorUnit val="2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to</a:t>
            </a:r>
            <a:r>
              <a:rPr lang="en-US" baseline="0"/>
              <a:t> </a:t>
            </a:r>
            <a:r>
              <a:rPr lang="en-US" sz="1800" b="1" i="0" u="none" strike="noStrike" baseline="0">
                <a:effectLst/>
              </a:rPr>
              <a:t>Price of Not-quite-ripe 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Tree!$B$128</c:f>
              <c:strCache>
                <c:ptCount val="1"/>
                <c:pt idx="0">
                  <c:v>Harvest Now</c:v>
                </c:pt>
              </c:strCache>
            </c:strRef>
          </c:tx>
          <c:marker>
            <c:symbol val="none"/>
          </c:marker>
          <c:xVal>
            <c:numRef>
              <c:f>Tree!$A$275:$A$285</c:f>
              <c:numCache>
                <c:formatCode>"$"#,##0.00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Tree!$B$275:$B$285</c:f>
              <c:numCache>
                <c:formatCode>"$"#,##0.00</c:formatCode>
                <c:ptCount val="1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Tree!$C$128</c:f>
              <c:strCache>
                <c:ptCount val="1"/>
                <c:pt idx="0">
                  <c:v>Wait</c:v>
                </c:pt>
              </c:strCache>
            </c:strRef>
          </c:tx>
          <c:marker>
            <c:symbol val="none"/>
          </c:marker>
          <c:xVal>
            <c:numRef>
              <c:f>Tree!$A$275:$A$285</c:f>
              <c:numCache>
                <c:formatCode>"$"#,##0.00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Tree!$C$275:$C$285</c:f>
              <c:numCache>
                <c:formatCode>"$"#,##0.00</c:formatCode>
                <c:ptCount val="11"/>
                <c:pt idx="0">
                  <c:v>37.590000000000003</c:v>
                </c:pt>
                <c:pt idx="1">
                  <c:v>37.590000000000003</c:v>
                </c:pt>
                <c:pt idx="2">
                  <c:v>37.590000000000003</c:v>
                </c:pt>
                <c:pt idx="3">
                  <c:v>37.590000000000003</c:v>
                </c:pt>
                <c:pt idx="4">
                  <c:v>37.590000000000003</c:v>
                </c:pt>
                <c:pt idx="5">
                  <c:v>37.590000000000003</c:v>
                </c:pt>
                <c:pt idx="6">
                  <c:v>37.590000000000003</c:v>
                </c:pt>
                <c:pt idx="7">
                  <c:v>37.590000000000003</c:v>
                </c:pt>
                <c:pt idx="8">
                  <c:v>37.590000000000003</c:v>
                </c:pt>
                <c:pt idx="9">
                  <c:v>37.590000000000003</c:v>
                </c:pt>
                <c:pt idx="10">
                  <c:v>37.590000000000003</c:v>
                </c:pt>
              </c:numCache>
            </c:numRef>
          </c:yVal>
          <c:smooth val="1"/>
        </c:ser>
        <c:ser>
          <c:idx val="2"/>
          <c:order val="2"/>
          <c:spPr>
            <a:ln>
              <a:prstDash val="sysDash"/>
            </a:ln>
          </c:spPr>
          <c:marker>
            <c:symbol val="none"/>
          </c:marker>
          <c:xVal>
            <c:numRef>
              <c:f>Tree!$D$274:$D$275</c:f>
              <c:numCache>
                <c:formatCode>"$"#,##0.00</c:formatCode>
                <c:ptCount val="2"/>
                <c:pt idx="0">
                  <c:v>2.85</c:v>
                </c:pt>
                <c:pt idx="1">
                  <c:v>2.85</c:v>
                </c:pt>
              </c:numCache>
            </c:numRef>
          </c:xVal>
          <c:yVal>
            <c:numRef>
              <c:f>Tree!$E$274:$E$275</c:f>
              <c:numCache>
                <c:formatCode>"$"#,##0.00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55808"/>
        <c:axId val="161257728"/>
      </c:scatterChart>
      <c:valAx>
        <c:axId val="161255808"/>
        <c:scaling>
          <c:orientation val="minMax"/>
          <c:max val="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Price of Not-quite-ripe  ($)</a:t>
                </a:r>
                <a:endParaRPr lang="en-US"/>
              </a:p>
            </c:rich>
          </c:tx>
          <c:layout/>
          <c:overlay val="0"/>
        </c:title>
        <c:numFmt formatCode="&quot;$&quot;#,##0.0" sourceLinked="0"/>
        <c:majorTickMark val="in"/>
        <c:minorTickMark val="none"/>
        <c:tickLblPos val="nextTo"/>
        <c:crossAx val="161257728"/>
        <c:crosses val="autoZero"/>
        <c:crossBetween val="midCat"/>
        <c:majorUnit val="1"/>
      </c:valAx>
      <c:valAx>
        <c:axId val="161257728"/>
        <c:scaling>
          <c:orientation val="minMax"/>
          <c:max val="6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Certainty Equivalent (thousands)</a:t>
                </a:r>
              </a:p>
            </c:rich>
          </c:tx>
          <c:layout/>
          <c:overlay val="0"/>
        </c:title>
        <c:numFmt formatCode="&quot;$&quot;#,##0.00" sourceLinked="1"/>
        <c:majorTickMark val="in"/>
        <c:minorTickMark val="none"/>
        <c:tickLblPos val="nextTo"/>
        <c:crossAx val="161255808"/>
        <c:crosses val="autoZero"/>
        <c:crossBetween val="midCat"/>
      </c:valAx>
    </c:plotArea>
    <c:legend>
      <c:legendPos val="r"/>
      <c:legendEntry>
        <c:idx val="2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Sensitivity to</a:t>
            </a:r>
            <a:r>
              <a:rPr lang="en-US" baseline="0"/>
              <a:t> </a:t>
            </a:r>
            <a:r>
              <a:rPr lang="en-US" sz="1800" b="1" i="0" u="none" strike="noStrike" baseline="0">
                <a:effectLst/>
              </a:rPr>
              <a:t>P(Botrytis) of VPI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Tree!$B$374</c:f>
              <c:strCache>
                <c:ptCount val="1"/>
                <c:pt idx="0">
                  <c:v>P(Botrytis)</c:v>
                </c:pt>
              </c:strCache>
            </c:strRef>
          </c:tx>
          <c:marker>
            <c:symbol val="none"/>
          </c:marker>
          <c:xVal>
            <c:numRef>
              <c:f>Tree!$A$376:$A$386</c:f>
              <c:numCache>
                <c:formatCode>#,##0.00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Tree!$B$376:$B$386</c:f>
              <c:numCache>
                <c:formatCode>"$"#,##0.00</c:formatCode>
                <c:ptCount val="11"/>
                <c:pt idx="0">
                  <c:v>0</c:v>
                </c:pt>
                <c:pt idx="1">
                  <c:v>2.2199999999999989</c:v>
                </c:pt>
                <c:pt idx="2">
                  <c:v>4.4399999999999977</c:v>
                </c:pt>
                <c:pt idx="3">
                  <c:v>6.4050000000000011</c:v>
                </c:pt>
                <c:pt idx="4">
                  <c:v>5.4899999999999949</c:v>
                </c:pt>
                <c:pt idx="5">
                  <c:v>4.5749999999999957</c:v>
                </c:pt>
                <c:pt idx="6">
                  <c:v>3.6599999999999966</c:v>
                </c:pt>
                <c:pt idx="7">
                  <c:v>2.7450000000000045</c:v>
                </c:pt>
                <c:pt idx="8">
                  <c:v>1.8299999999999912</c:v>
                </c:pt>
                <c:pt idx="9">
                  <c:v>0.91499999999999915</c:v>
                </c:pt>
                <c:pt idx="10">
                  <c:v>0</c:v>
                </c:pt>
              </c:numCache>
            </c:numRef>
          </c:yVal>
          <c:smooth val="1"/>
        </c:ser>
        <c:ser>
          <c:idx val="2"/>
          <c:order val="1"/>
          <c:spPr>
            <a:ln>
              <a:prstDash val="sysDash"/>
            </a:ln>
          </c:spPr>
          <c:marker>
            <c:symbol val="none"/>
          </c:marker>
          <c:xVal>
            <c:numRef>
              <c:f>Tree!$C$376:$C$377</c:f>
              <c:numCache>
                <c:formatCode>#,##0.00</c:formatCode>
                <c:ptCount val="2"/>
                <c:pt idx="0">
                  <c:v>0.4</c:v>
                </c:pt>
                <c:pt idx="1">
                  <c:v>0.4</c:v>
                </c:pt>
              </c:numCache>
            </c:numRef>
          </c:xVal>
          <c:yVal>
            <c:numRef>
              <c:f>Tree!$D$376:$D$377</c:f>
              <c:numCache>
                <c:formatCode>#,##0.00</c:formatCode>
                <c:ptCount val="2"/>
                <c:pt idx="0">
                  <c:v>14</c:v>
                </c:pt>
                <c:pt idx="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85984"/>
        <c:axId val="58462976"/>
      </c:scatterChart>
      <c:valAx>
        <c:axId val="54185984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P(Botrytis) </a:t>
                </a:r>
                <a:endParaRPr lang="en-US"/>
              </a:p>
            </c:rich>
          </c:tx>
          <c:layout/>
          <c:overlay val="0"/>
        </c:title>
        <c:numFmt formatCode="#,##0.0" sourceLinked="0"/>
        <c:majorTickMark val="in"/>
        <c:minorTickMark val="none"/>
        <c:tickLblPos val="nextTo"/>
        <c:crossAx val="58462976"/>
        <c:crosses val="autoZero"/>
        <c:crossBetween val="midCat"/>
        <c:majorUnit val="0.2"/>
      </c:valAx>
      <c:valAx>
        <c:axId val="58462976"/>
        <c:scaling>
          <c:orientation val="minMax"/>
          <c:max val="8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VPI $ (thousands)</a:t>
                </a:r>
              </a:p>
            </c:rich>
          </c:tx>
          <c:layout/>
          <c:overlay val="0"/>
        </c:title>
        <c:numFmt formatCode="&quot;$&quot;#,##0.00" sourceLinked="1"/>
        <c:majorTickMark val="in"/>
        <c:minorTickMark val="none"/>
        <c:tickLblPos val="nextTo"/>
        <c:crossAx val="54185984"/>
        <c:crosses val="autoZero"/>
        <c:crossBetween val="midCat"/>
        <c:majorUnit val="2"/>
      </c:valAx>
    </c:plotArea>
    <c:legend>
      <c:legendPos val="r"/>
      <c:legendEntry>
        <c:idx val="1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2375647</xdr:colOff>
      <xdr:row>28</xdr:row>
      <xdr:rowOff>114300</xdr:rowOff>
    </xdr:from>
    <xdr:to>
      <xdr:col>1</xdr:col>
      <xdr:colOff>85725</xdr:colOff>
      <xdr:row>29</xdr:row>
      <xdr:rowOff>112059</xdr:rowOff>
    </xdr:to>
    <xdr:sp macro="" textlink="">
      <xdr:nvSpPr>
        <xdr:cNvPr id="2" name="Rectangle 1"/>
        <xdr:cNvSpPr/>
      </xdr:nvSpPr>
      <xdr:spPr>
        <a:xfrm>
          <a:off x="2375647" y="5448300"/>
          <a:ext cx="164166" cy="188259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1476375</xdr:colOff>
      <xdr:row>31</xdr:row>
      <xdr:rowOff>95251</xdr:rowOff>
    </xdr:from>
    <xdr:to>
      <xdr:col>5</xdr:col>
      <xdr:colOff>95250</xdr:colOff>
      <xdr:row>32</xdr:row>
      <xdr:rowOff>76201</xdr:rowOff>
    </xdr:to>
    <xdr:sp macro="" textlink="">
      <xdr:nvSpPr>
        <xdr:cNvPr id="4" name="Rectangle 3"/>
        <xdr:cNvSpPr/>
      </xdr:nvSpPr>
      <xdr:spPr>
        <a:xfrm>
          <a:off x="6238875" y="6000751"/>
          <a:ext cx="161925" cy="171450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994270</xdr:colOff>
      <xdr:row>35</xdr:row>
      <xdr:rowOff>110686</xdr:rowOff>
    </xdr:from>
    <xdr:to>
      <xdr:col>3</xdr:col>
      <xdr:colOff>92128</xdr:colOff>
      <xdr:row>36</xdr:row>
      <xdr:rowOff>103066</xdr:rowOff>
    </xdr:to>
    <xdr:sp macro="" textlink="">
      <xdr:nvSpPr>
        <xdr:cNvPr id="5" name="Oval 4"/>
        <xdr:cNvSpPr/>
      </xdr:nvSpPr>
      <xdr:spPr>
        <a:xfrm>
          <a:off x="3214009" y="6778186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1609725</xdr:colOff>
      <xdr:row>28</xdr:row>
      <xdr:rowOff>102870</xdr:rowOff>
    </xdr:from>
    <xdr:to>
      <xdr:col>4</xdr:col>
      <xdr:colOff>68580</xdr:colOff>
      <xdr:row>29</xdr:row>
      <xdr:rowOff>95250</xdr:rowOff>
    </xdr:to>
    <xdr:sp macro="" textlink="">
      <xdr:nvSpPr>
        <xdr:cNvPr id="6" name="Oval 5"/>
        <xdr:cNvSpPr/>
      </xdr:nvSpPr>
      <xdr:spPr>
        <a:xfrm>
          <a:off x="6162675" y="5446395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1466593</xdr:colOff>
      <xdr:row>39</xdr:row>
      <xdr:rowOff>94589</xdr:rowOff>
    </xdr:from>
    <xdr:to>
      <xdr:col>5</xdr:col>
      <xdr:colOff>102219</xdr:colOff>
      <xdr:row>40</xdr:row>
      <xdr:rowOff>86969</xdr:rowOff>
    </xdr:to>
    <xdr:sp macro="" textlink="">
      <xdr:nvSpPr>
        <xdr:cNvPr id="7" name="Oval 6"/>
        <xdr:cNvSpPr/>
      </xdr:nvSpPr>
      <xdr:spPr>
        <a:xfrm>
          <a:off x="6229093" y="7524089"/>
          <a:ext cx="176191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1590675</xdr:colOff>
      <xdr:row>42</xdr:row>
      <xdr:rowOff>111155</xdr:rowOff>
    </xdr:from>
    <xdr:to>
      <xdr:col>4</xdr:col>
      <xdr:colOff>49530</xdr:colOff>
      <xdr:row>43</xdr:row>
      <xdr:rowOff>103535</xdr:rowOff>
    </xdr:to>
    <xdr:sp macro="" textlink="">
      <xdr:nvSpPr>
        <xdr:cNvPr id="8" name="Oval 7"/>
        <xdr:cNvSpPr/>
      </xdr:nvSpPr>
      <xdr:spPr>
        <a:xfrm>
          <a:off x="6143625" y="812168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1476375</xdr:colOff>
      <xdr:row>62</xdr:row>
      <xdr:rowOff>95251</xdr:rowOff>
    </xdr:from>
    <xdr:to>
      <xdr:col>5</xdr:col>
      <xdr:colOff>95250</xdr:colOff>
      <xdr:row>63</xdr:row>
      <xdr:rowOff>76201</xdr:rowOff>
    </xdr:to>
    <xdr:sp macro="" textlink="">
      <xdr:nvSpPr>
        <xdr:cNvPr id="28" name="Rectangle 27"/>
        <xdr:cNvSpPr/>
      </xdr:nvSpPr>
      <xdr:spPr>
        <a:xfrm>
          <a:off x="7404287" y="6000751"/>
          <a:ext cx="165287" cy="171450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994270</xdr:colOff>
      <xdr:row>66</xdr:row>
      <xdr:rowOff>110686</xdr:rowOff>
    </xdr:from>
    <xdr:to>
      <xdr:col>3</xdr:col>
      <xdr:colOff>92128</xdr:colOff>
      <xdr:row>67</xdr:row>
      <xdr:rowOff>103066</xdr:rowOff>
    </xdr:to>
    <xdr:sp macro="" textlink="">
      <xdr:nvSpPr>
        <xdr:cNvPr id="29" name="Oval 28"/>
        <xdr:cNvSpPr/>
      </xdr:nvSpPr>
      <xdr:spPr>
        <a:xfrm>
          <a:off x="4288799" y="6778186"/>
          <a:ext cx="184829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1466593</xdr:colOff>
      <xdr:row>70</xdr:row>
      <xdr:rowOff>94589</xdr:rowOff>
    </xdr:from>
    <xdr:to>
      <xdr:col>5</xdr:col>
      <xdr:colOff>102219</xdr:colOff>
      <xdr:row>71</xdr:row>
      <xdr:rowOff>86969</xdr:rowOff>
    </xdr:to>
    <xdr:sp macro="" textlink="">
      <xdr:nvSpPr>
        <xdr:cNvPr id="31" name="Oval 30"/>
        <xdr:cNvSpPr/>
      </xdr:nvSpPr>
      <xdr:spPr>
        <a:xfrm>
          <a:off x="7394505" y="7524089"/>
          <a:ext cx="182038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1476375</xdr:colOff>
      <xdr:row>62</xdr:row>
      <xdr:rowOff>95251</xdr:rowOff>
    </xdr:from>
    <xdr:to>
      <xdr:col>5</xdr:col>
      <xdr:colOff>95250</xdr:colOff>
      <xdr:row>63</xdr:row>
      <xdr:rowOff>76201</xdr:rowOff>
    </xdr:to>
    <xdr:sp macro="" textlink="">
      <xdr:nvSpPr>
        <xdr:cNvPr id="34" name="Rectangle 33"/>
        <xdr:cNvSpPr/>
      </xdr:nvSpPr>
      <xdr:spPr>
        <a:xfrm>
          <a:off x="7404287" y="6000751"/>
          <a:ext cx="165287" cy="171450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994270</xdr:colOff>
      <xdr:row>66</xdr:row>
      <xdr:rowOff>110686</xdr:rowOff>
    </xdr:from>
    <xdr:to>
      <xdr:col>3</xdr:col>
      <xdr:colOff>92128</xdr:colOff>
      <xdr:row>67</xdr:row>
      <xdr:rowOff>103066</xdr:rowOff>
    </xdr:to>
    <xdr:sp macro="" textlink="">
      <xdr:nvSpPr>
        <xdr:cNvPr id="35" name="Oval 34"/>
        <xdr:cNvSpPr/>
      </xdr:nvSpPr>
      <xdr:spPr>
        <a:xfrm>
          <a:off x="4288799" y="6778186"/>
          <a:ext cx="184829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1466593</xdr:colOff>
      <xdr:row>70</xdr:row>
      <xdr:rowOff>94589</xdr:rowOff>
    </xdr:from>
    <xdr:to>
      <xdr:col>5</xdr:col>
      <xdr:colOff>102219</xdr:colOff>
      <xdr:row>71</xdr:row>
      <xdr:rowOff>86969</xdr:rowOff>
    </xdr:to>
    <xdr:sp macro="" textlink="">
      <xdr:nvSpPr>
        <xdr:cNvPr id="37" name="Oval 36"/>
        <xdr:cNvSpPr/>
      </xdr:nvSpPr>
      <xdr:spPr>
        <a:xfrm>
          <a:off x="7394505" y="7524089"/>
          <a:ext cx="182038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2386853</xdr:colOff>
      <xdr:row>59</xdr:row>
      <xdr:rowOff>114300</xdr:rowOff>
    </xdr:from>
    <xdr:to>
      <xdr:col>1</xdr:col>
      <xdr:colOff>85725</xdr:colOff>
      <xdr:row>60</xdr:row>
      <xdr:rowOff>100853</xdr:rowOff>
    </xdr:to>
    <xdr:sp macro="" textlink="">
      <xdr:nvSpPr>
        <xdr:cNvPr id="39" name="Rectangle 38"/>
        <xdr:cNvSpPr/>
      </xdr:nvSpPr>
      <xdr:spPr>
        <a:xfrm>
          <a:off x="2386853" y="11365006"/>
          <a:ext cx="152960" cy="177053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1476375</xdr:colOff>
      <xdr:row>62</xdr:row>
      <xdr:rowOff>95251</xdr:rowOff>
    </xdr:from>
    <xdr:to>
      <xdr:col>5</xdr:col>
      <xdr:colOff>95250</xdr:colOff>
      <xdr:row>63</xdr:row>
      <xdr:rowOff>76201</xdr:rowOff>
    </xdr:to>
    <xdr:sp macro="" textlink="">
      <xdr:nvSpPr>
        <xdr:cNvPr id="40" name="Rectangle 39"/>
        <xdr:cNvSpPr/>
      </xdr:nvSpPr>
      <xdr:spPr>
        <a:xfrm>
          <a:off x="7404287" y="6000751"/>
          <a:ext cx="165287" cy="171450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994270</xdr:colOff>
      <xdr:row>66</xdr:row>
      <xdr:rowOff>110686</xdr:rowOff>
    </xdr:from>
    <xdr:to>
      <xdr:col>3</xdr:col>
      <xdr:colOff>92128</xdr:colOff>
      <xdr:row>67</xdr:row>
      <xdr:rowOff>103066</xdr:rowOff>
    </xdr:to>
    <xdr:sp macro="" textlink="">
      <xdr:nvSpPr>
        <xdr:cNvPr id="41" name="Oval 40"/>
        <xdr:cNvSpPr/>
      </xdr:nvSpPr>
      <xdr:spPr>
        <a:xfrm>
          <a:off x="4288799" y="6778186"/>
          <a:ext cx="184829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1609725</xdr:colOff>
      <xdr:row>59</xdr:row>
      <xdr:rowOff>102871</xdr:rowOff>
    </xdr:from>
    <xdr:to>
      <xdr:col>4</xdr:col>
      <xdr:colOff>68580</xdr:colOff>
      <xdr:row>60</xdr:row>
      <xdr:rowOff>95251</xdr:rowOff>
    </xdr:to>
    <xdr:sp macro="" textlink="">
      <xdr:nvSpPr>
        <xdr:cNvPr id="42" name="Oval 41"/>
        <xdr:cNvSpPr/>
      </xdr:nvSpPr>
      <xdr:spPr>
        <a:xfrm>
          <a:off x="6162675" y="11361421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1466593</xdr:colOff>
      <xdr:row>70</xdr:row>
      <xdr:rowOff>94589</xdr:rowOff>
    </xdr:from>
    <xdr:to>
      <xdr:col>5</xdr:col>
      <xdr:colOff>102219</xdr:colOff>
      <xdr:row>71</xdr:row>
      <xdr:rowOff>86969</xdr:rowOff>
    </xdr:to>
    <xdr:sp macro="" textlink="">
      <xdr:nvSpPr>
        <xdr:cNvPr id="43" name="Oval 42"/>
        <xdr:cNvSpPr/>
      </xdr:nvSpPr>
      <xdr:spPr>
        <a:xfrm>
          <a:off x="7394505" y="7524089"/>
          <a:ext cx="182038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1609725</xdr:colOff>
      <xdr:row>73</xdr:row>
      <xdr:rowOff>111155</xdr:rowOff>
    </xdr:from>
    <xdr:to>
      <xdr:col>4</xdr:col>
      <xdr:colOff>68580</xdr:colOff>
      <xdr:row>74</xdr:row>
      <xdr:rowOff>103535</xdr:rowOff>
    </xdr:to>
    <xdr:sp macro="" textlink="">
      <xdr:nvSpPr>
        <xdr:cNvPr id="44" name="Oval 43"/>
        <xdr:cNvSpPr/>
      </xdr:nvSpPr>
      <xdr:spPr>
        <a:xfrm>
          <a:off x="6162675" y="14036705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100854</xdr:colOff>
      <xdr:row>83</xdr:row>
      <xdr:rowOff>23532</xdr:rowOff>
    </xdr:from>
    <xdr:to>
      <xdr:col>13</xdr:col>
      <xdr:colOff>56030</xdr:colOff>
      <xdr:row>99</xdr:row>
      <xdr:rowOff>145677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44823</xdr:colOff>
      <xdr:row>105</xdr:row>
      <xdr:rowOff>22411</xdr:rowOff>
    </xdr:from>
    <xdr:to>
      <xdr:col>12</xdr:col>
      <xdr:colOff>605117</xdr:colOff>
      <xdr:row>121</xdr:row>
      <xdr:rowOff>144556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76200</xdr:colOff>
      <xdr:row>126</xdr:row>
      <xdr:rowOff>171450</xdr:rowOff>
    </xdr:from>
    <xdr:to>
      <xdr:col>13</xdr:col>
      <xdr:colOff>26894</xdr:colOff>
      <xdr:row>143</xdr:row>
      <xdr:rowOff>103095</xdr:rowOff>
    </xdr:to>
    <xdr:graphicFrame macro="">
      <xdr:nvGraphicFramePr>
        <xdr:cNvPr id="47" name="Chart 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114300</xdr:colOff>
      <xdr:row>148</xdr:row>
      <xdr:rowOff>161925</xdr:rowOff>
    </xdr:from>
    <xdr:to>
      <xdr:col>13</xdr:col>
      <xdr:colOff>64994</xdr:colOff>
      <xdr:row>165</xdr:row>
      <xdr:rowOff>93570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133350</xdr:colOff>
      <xdr:row>167</xdr:row>
      <xdr:rowOff>0</xdr:rowOff>
    </xdr:from>
    <xdr:to>
      <xdr:col>13</xdr:col>
      <xdr:colOff>84044</xdr:colOff>
      <xdr:row>183</xdr:row>
      <xdr:rowOff>122145</xdr:rowOff>
    </xdr:to>
    <xdr:graphicFrame macro="">
      <xdr:nvGraphicFramePr>
        <xdr:cNvPr id="49" name="Chart 4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54429</xdr:colOff>
      <xdr:row>187</xdr:row>
      <xdr:rowOff>68036</xdr:rowOff>
    </xdr:from>
    <xdr:to>
      <xdr:col>13</xdr:col>
      <xdr:colOff>5123</xdr:colOff>
      <xdr:row>203</xdr:row>
      <xdr:rowOff>190181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40821</xdr:colOff>
      <xdr:row>221</xdr:row>
      <xdr:rowOff>176893</xdr:rowOff>
    </xdr:from>
    <xdr:to>
      <xdr:col>12</xdr:col>
      <xdr:colOff>603836</xdr:colOff>
      <xdr:row>238</xdr:row>
      <xdr:rowOff>108538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605117</xdr:colOff>
      <xdr:row>248</xdr:row>
      <xdr:rowOff>168088</xdr:rowOff>
    </xdr:from>
    <xdr:to>
      <xdr:col>12</xdr:col>
      <xdr:colOff>114779</xdr:colOff>
      <xdr:row>265</xdr:row>
      <xdr:rowOff>99733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638736</xdr:colOff>
      <xdr:row>270</xdr:row>
      <xdr:rowOff>112059</xdr:rowOff>
    </xdr:from>
    <xdr:to>
      <xdr:col>12</xdr:col>
      <xdr:colOff>141195</xdr:colOff>
      <xdr:row>287</xdr:row>
      <xdr:rowOff>43704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870857</xdr:colOff>
      <xdr:row>324</xdr:row>
      <xdr:rowOff>95250</xdr:rowOff>
    </xdr:from>
    <xdr:to>
      <xdr:col>7</xdr:col>
      <xdr:colOff>95250</xdr:colOff>
      <xdr:row>325</xdr:row>
      <xdr:rowOff>95249</xdr:rowOff>
    </xdr:to>
    <xdr:sp macro="" textlink="">
      <xdr:nvSpPr>
        <xdr:cNvPr id="58" name="Rectangle 57"/>
        <xdr:cNvSpPr/>
      </xdr:nvSpPr>
      <xdr:spPr>
        <a:xfrm>
          <a:off x="9851571" y="62103000"/>
          <a:ext cx="176893" cy="190499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857251</xdr:colOff>
      <xdr:row>332</xdr:row>
      <xdr:rowOff>54429</xdr:rowOff>
    </xdr:from>
    <xdr:to>
      <xdr:col>7</xdr:col>
      <xdr:colOff>149679</xdr:colOff>
      <xdr:row>333</xdr:row>
      <xdr:rowOff>95250</xdr:rowOff>
    </xdr:to>
    <xdr:sp macro="" textlink="">
      <xdr:nvSpPr>
        <xdr:cNvPr id="60" name="Oval 59"/>
        <xdr:cNvSpPr/>
      </xdr:nvSpPr>
      <xdr:spPr>
        <a:xfrm>
          <a:off x="9837965" y="63586179"/>
          <a:ext cx="244928" cy="2313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1476375</xdr:colOff>
      <xdr:row>355</xdr:row>
      <xdr:rowOff>95251</xdr:rowOff>
    </xdr:from>
    <xdr:to>
      <xdr:col>7</xdr:col>
      <xdr:colOff>95250</xdr:colOff>
      <xdr:row>356</xdr:row>
      <xdr:rowOff>76201</xdr:rowOff>
    </xdr:to>
    <xdr:sp macro="" textlink="">
      <xdr:nvSpPr>
        <xdr:cNvPr id="70" name="Rectangle 69"/>
        <xdr:cNvSpPr/>
      </xdr:nvSpPr>
      <xdr:spPr>
        <a:xfrm>
          <a:off x="9933214" y="62103001"/>
          <a:ext cx="95250" cy="171450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1476375</xdr:colOff>
      <xdr:row>355</xdr:row>
      <xdr:rowOff>95251</xdr:rowOff>
    </xdr:from>
    <xdr:to>
      <xdr:col>7</xdr:col>
      <xdr:colOff>95250</xdr:colOff>
      <xdr:row>356</xdr:row>
      <xdr:rowOff>76201</xdr:rowOff>
    </xdr:to>
    <xdr:sp macro="" textlink="">
      <xdr:nvSpPr>
        <xdr:cNvPr id="72" name="Rectangle 71"/>
        <xdr:cNvSpPr/>
      </xdr:nvSpPr>
      <xdr:spPr>
        <a:xfrm>
          <a:off x="9933214" y="62103001"/>
          <a:ext cx="95250" cy="171450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1476375</xdr:colOff>
      <xdr:row>355</xdr:row>
      <xdr:rowOff>95251</xdr:rowOff>
    </xdr:from>
    <xdr:to>
      <xdr:col>7</xdr:col>
      <xdr:colOff>95250</xdr:colOff>
      <xdr:row>356</xdr:row>
      <xdr:rowOff>76201</xdr:rowOff>
    </xdr:to>
    <xdr:sp macro="" textlink="">
      <xdr:nvSpPr>
        <xdr:cNvPr id="74" name="Rectangle 73"/>
        <xdr:cNvSpPr/>
      </xdr:nvSpPr>
      <xdr:spPr>
        <a:xfrm>
          <a:off x="9933214" y="62103001"/>
          <a:ext cx="95250" cy="171450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952501</xdr:colOff>
      <xdr:row>321</xdr:row>
      <xdr:rowOff>122464</xdr:rowOff>
    </xdr:from>
    <xdr:to>
      <xdr:col>6</xdr:col>
      <xdr:colOff>136072</xdr:colOff>
      <xdr:row>322</xdr:row>
      <xdr:rowOff>163285</xdr:rowOff>
    </xdr:to>
    <xdr:sp macro="" textlink="">
      <xdr:nvSpPr>
        <xdr:cNvPr id="76" name="Oval 75"/>
        <xdr:cNvSpPr/>
      </xdr:nvSpPr>
      <xdr:spPr>
        <a:xfrm>
          <a:off x="8871858" y="61558714"/>
          <a:ext cx="244928" cy="2313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952501</xdr:colOff>
      <xdr:row>335</xdr:row>
      <xdr:rowOff>68036</xdr:rowOff>
    </xdr:from>
    <xdr:to>
      <xdr:col>6</xdr:col>
      <xdr:colOff>136072</xdr:colOff>
      <xdr:row>336</xdr:row>
      <xdr:rowOff>108857</xdr:rowOff>
    </xdr:to>
    <xdr:sp macro="" textlink="">
      <xdr:nvSpPr>
        <xdr:cNvPr id="77" name="Oval 76"/>
        <xdr:cNvSpPr/>
      </xdr:nvSpPr>
      <xdr:spPr>
        <a:xfrm>
          <a:off x="8871858" y="64171286"/>
          <a:ext cx="244928" cy="2313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1455966</xdr:colOff>
      <xdr:row>328</xdr:row>
      <xdr:rowOff>81643</xdr:rowOff>
    </xdr:from>
    <xdr:to>
      <xdr:col>5</xdr:col>
      <xdr:colOff>163287</xdr:colOff>
      <xdr:row>329</xdr:row>
      <xdr:rowOff>122464</xdr:rowOff>
    </xdr:to>
    <xdr:sp macro="" textlink="">
      <xdr:nvSpPr>
        <xdr:cNvPr id="78" name="Oval 77"/>
        <xdr:cNvSpPr/>
      </xdr:nvSpPr>
      <xdr:spPr>
        <a:xfrm>
          <a:off x="7837716" y="62851393"/>
          <a:ext cx="244928" cy="2313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898073</xdr:colOff>
      <xdr:row>334</xdr:row>
      <xdr:rowOff>81643</xdr:rowOff>
    </xdr:from>
    <xdr:to>
      <xdr:col>2</xdr:col>
      <xdr:colOff>136073</xdr:colOff>
      <xdr:row>335</xdr:row>
      <xdr:rowOff>122464</xdr:rowOff>
    </xdr:to>
    <xdr:sp macro="" textlink="">
      <xdr:nvSpPr>
        <xdr:cNvPr id="80" name="Oval 79"/>
        <xdr:cNvSpPr/>
      </xdr:nvSpPr>
      <xdr:spPr>
        <a:xfrm>
          <a:off x="3456216" y="63994393"/>
          <a:ext cx="244928" cy="2313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938895</xdr:colOff>
      <xdr:row>352</xdr:row>
      <xdr:rowOff>108857</xdr:rowOff>
    </xdr:from>
    <xdr:to>
      <xdr:col>6</xdr:col>
      <xdr:colOff>122466</xdr:colOff>
      <xdr:row>353</xdr:row>
      <xdr:rowOff>149678</xdr:rowOff>
    </xdr:to>
    <xdr:sp macro="" textlink="">
      <xdr:nvSpPr>
        <xdr:cNvPr id="81" name="Oval 80"/>
        <xdr:cNvSpPr/>
      </xdr:nvSpPr>
      <xdr:spPr>
        <a:xfrm>
          <a:off x="8858252" y="67450607"/>
          <a:ext cx="244928" cy="2313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1483181</xdr:colOff>
      <xdr:row>359</xdr:row>
      <xdr:rowOff>95250</xdr:rowOff>
    </xdr:from>
    <xdr:to>
      <xdr:col>5</xdr:col>
      <xdr:colOff>190502</xdr:colOff>
      <xdr:row>360</xdr:row>
      <xdr:rowOff>136071</xdr:rowOff>
    </xdr:to>
    <xdr:sp macro="" textlink="">
      <xdr:nvSpPr>
        <xdr:cNvPr id="82" name="Oval 81"/>
        <xdr:cNvSpPr/>
      </xdr:nvSpPr>
      <xdr:spPr>
        <a:xfrm>
          <a:off x="7864931" y="68770500"/>
          <a:ext cx="244928" cy="2313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952502</xdr:colOff>
      <xdr:row>366</xdr:row>
      <xdr:rowOff>68035</xdr:rowOff>
    </xdr:from>
    <xdr:to>
      <xdr:col>6</xdr:col>
      <xdr:colOff>136073</xdr:colOff>
      <xdr:row>367</xdr:row>
      <xdr:rowOff>108856</xdr:rowOff>
    </xdr:to>
    <xdr:sp macro="" textlink="">
      <xdr:nvSpPr>
        <xdr:cNvPr id="83" name="Oval 82"/>
        <xdr:cNvSpPr/>
      </xdr:nvSpPr>
      <xdr:spPr>
        <a:xfrm>
          <a:off x="8871859" y="70076785"/>
          <a:ext cx="244928" cy="2313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870859</xdr:colOff>
      <xdr:row>363</xdr:row>
      <xdr:rowOff>27214</xdr:rowOff>
    </xdr:from>
    <xdr:to>
      <xdr:col>7</xdr:col>
      <xdr:colOff>163287</xdr:colOff>
      <xdr:row>364</xdr:row>
      <xdr:rowOff>68035</xdr:rowOff>
    </xdr:to>
    <xdr:sp macro="" textlink="">
      <xdr:nvSpPr>
        <xdr:cNvPr id="84" name="Oval 83"/>
        <xdr:cNvSpPr/>
      </xdr:nvSpPr>
      <xdr:spPr>
        <a:xfrm>
          <a:off x="9851573" y="69464464"/>
          <a:ext cx="244928" cy="2313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1020536</xdr:colOff>
      <xdr:row>321</xdr:row>
      <xdr:rowOff>108857</xdr:rowOff>
    </xdr:from>
    <xdr:to>
      <xdr:col>3</xdr:col>
      <xdr:colOff>108857</xdr:colOff>
      <xdr:row>322</xdr:row>
      <xdr:rowOff>108856</xdr:rowOff>
    </xdr:to>
    <xdr:sp macro="" textlink="">
      <xdr:nvSpPr>
        <xdr:cNvPr id="86" name="Rectangle 85"/>
        <xdr:cNvSpPr/>
      </xdr:nvSpPr>
      <xdr:spPr>
        <a:xfrm>
          <a:off x="4585607" y="61545107"/>
          <a:ext cx="176893" cy="190499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1047749</xdr:colOff>
      <xdr:row>351</xdr:row>
      <xdr:rowOff>176894</xdr:rowOff>
    </xdr:from>
    <xdr:to>
      <xdr:col>3</xdr:col>
      <xdr:colOff>136070</xdr:colOff>
      <xdr:row>352</xdr:row>
      <xdr:rowOff>176893</xdr:rowOff>
    </xdr:to>
    <xdr:sp macro="" textlink="">
      <xdr:nvSpPr>
        <xdr:cNvPr id="87" name="Rectangle 86"/>
        <xdr:cNvSpPr/>
      </xdr:nvSpPr>
      <xdr:spPr>
        <a:xfrm>
          <a:off x="4612820" y="67328144"/>
          <a:ext cx="176893" cy="190499"/>
        </a:xfrm>
        <a:prstGeom prst="rect">
          <a:avLst/>
        </a:prstGeom>
        <a:solidFill>
          <a:schemeClr val="accent1">
            <a:alpha val="9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337457</xdr:colOff>
      <xdr:row>373</xdr:row>
      <xdr:rowOff>119743</xdr:rowOff>
    </xdr:from>
    <xdr:to>
      <xdr:col>12</xdr:col>
      <xdr:colOff>315686</xdr:colOff>
      <xdr:row>396</xdr:row>
      <xdr:rowOff>10886</xdr:rowOff>
    </xdr:to>
    <xdr:graphicFrame macro="">
      <xdr:nvGraphicFramePr>
        <xdr:cNvPr id="50" name="Chart 4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432"/>
  <sheetViews>
    <sheetView tabSelected="1" topLeftCell="A404" zoomScale="70" zoomScaleNormal="70" workbookViewId="0">
      <selection activeCell="G437" sqref="G437"/>
    </sheetView>
  </sheetViews>
  <sheetFormatPr defaultColWidth="9.109375" defaultRowHeight="14.4" x14ac:dyDescent="0.3"/>
  <cols>
    <col min="1" max="1" width="38.44140625" style="14" customWidth="1"/>
    <col min="2" max="2" width="15.109375" style="14" customWidth="1"/>
    <col min="3" max="3" width="16.33203125" style="14" customWidth="1"/>
    <col min="4" max="4" width="25.88671875" style="14" customWidth="1"/>
    <col min="5" max="5" width="23.109375" style="14" customWidth="1"/>
    <col min="6" max="6" width="15.88671875" style="14" customWidth="1"/>
    <col min="7" max="7" width="14.33203125" style="14" customWidth="1"/>
    <col min="8" max="10" width="12.88671875" style="14" customWidth="1"/>
    <col min="11" max="11" width="13.109375" style="14" customWidth="1"/>
    <col min="12" max="12" width="13" style="14" customWidth="1"/>
    <col min="13" max="13" width="9.109375" style="14" customWidth="1"/>
    <col min="14" max="16384" width="9.109375" style="14"/>
  </cols>
  <sheetData>
    <row r="1" spans="1:10" ht="15" x14ac:dyDescent="0.25">
      <c r="A1" s="13" t="s">
        <v>6</v>
      </c>
      <c r="D1" s="15" t="s">
        <v>0</v>
      </c>
      <c r="E1" s="15" t="s">
        <v>4</v>
      </c>
      <c r="F1" s="15" t="s">
        <v>5</v>
      </c>
      <c r="H1" s="37" t="s">
        <v>46</v>
      </c>
      <c r="I1" s="4">
        <v>1000</v>
      </c>
      <c r="J1" s="17"/>
    </row>
    <row r="2" spans="1:10" ht="15" x14ac:dyDescent="0.25">
      <c r="A2" s="3" t="s">
        <v>7</v>
      </c>
      <c r="B2" s="4">
        <v>0.5</v>
      </c>
      <c r="D2" s="8" t="s">
        <v>3</v>
      </c>
      <c r="E2" s="8" t="s">
        <v>13</v>
      </c>
      <c r="F2" s="7">
        <v>8</v>
      </c>
      <c r="H2" s="8" t="s">
        <v>47</v>
      </c>
      <c r="I2" s="4">
        <v>12</v>
      </c>
      <c r="J2" s="17"/>
    </row>
    <row r="3" spans="1:10" ht="15" x14ac:dyDescent="0.25">
      <c r="A3" s="3" t="s">
        <v>8</v>
      </c>
      <c r="B3" s="4">
        <v>0.4</v>
      </c>
      <c r="D3" s="8" t="s">
        <v>15</v>
      </c>
      <c r="E3" s="8" t="s">
        <v>16</v>
      </c>
      <c r="F3" s="7">
        <v>3.5</v>
      </c>
    </row>
    <row r="4" spans="1:10" ht="15" x14ac:dyDescent="0.25">
      <c r="A4" s="3" t="s">
        <v>9</v>
      </c>
      <c r="B4" s="4">
        <v>0.2</v>
      </c>
      <c r="D4" s="8" t="s">
        <v>14</v>
      </c>
      <c r="E4" s="8" t="s">
        <v>17</v>
      </c>
      <c r="F4" s="7">
        <v>3</v>
      </c>
    </row>
    <row r="5" spans="1:10" ht="15" x14ac:dyDescent="0.25">
      <c r="A5" s="3" t="s">
        <v>10</v>
      </c>
      <c r="B5" s="4">
        <v>0.5</v>
      </c>
      <c r="D5" s="8" t="s">
        <v>20</v>
      </c>
      <c r="E5" s="8" t="s">
        <v>43</v>
      </c>
      <c r="F5" s="7">
        <v>2.85</v>
      </c>
    </row>
    <row r="6" spans="1:10" ht="15" x14ac:dyDescent="0.25">
      <c r="A6" s="3" t="s">
        <v>11</v>
      </c>
      <c r="B6" s="4">
        <f>1-B5</f>
        <v>0.5</v>
      </c>
      <c r="D6" s="8" t="s">
        <v>21</v>
      </c>
      <c r="E6" s="8" t="s">
        <v>43</v>
      </c>
      <c r="F6" s="7">
        <v>2.5</v>
      </c>
    </row>
    <row r="7" spans="1:10" ht="15" x14ac:dyDescent="0.25">
      <c r="A7" s="3" t="s">
        <v>30</v>
      </c>
      <c r="B7" s="5">
        <v>7.4999999999999997E-2</v>
      </c>
      <c r="D7" s="8" t="s">
        <v>18</v>
      </c>
      <c r="E7" s="8" t="s">
        <v>44</v>
      </c>
      <c r="F7" s="7">
        <v>2</v>
      </c>
    </row>
    <row r="8" spans="1:10" ht="15" x14ac:dyDescent="0.25">
      <c r="A8" s="3" t="s">
        <v>31</v>
      </c>
      <c r="B8" s="6">
        <v>0.3</v>
      </c>
      <c r="D8" s="8" t="s">
        <v>19</v>
      </c>
      <c r="E8" s="8" t="s">
        <v>45</v>
      </c>
      <c r="F8" s="7" t="s">
        <v>51</v>
      </c>
    </row>
    <row r="9" spans="1:10" ht="15" x14ac:dyDescent="0.25">
      <c r="A9" s="3" t="s">
        <v>41</v>
      </c>
      <c r="B9" s="7">
        <v>1</v>
      </c>
    </row>
    <row r="10" spans="1:10" ht="15" x14ac:dyDescent="0.25">
      <c r="A10" s="3" t="s">
        <v>42</v>
      </c>
      <c r="B10" s="7">
        <v>-1.5</v>
      </c>
    </row>
    <row r="11" spans="1:10" ht="15" x14ac:dyDescent="0.25">
      <c r="A11" s="3" t="s">
        <v>69</v>
      </c>
      <c r="B11" s="51">
        <v>0.01</v>
      </c>
      <c r="C11" s="23"/>
    </row>
    <row r="12" spans="1:10" ht="15" x14ac:dyDescent="0.25">
      <c r="D12" s="13" t="s">
        <v>53</v>
      </c>
    </row>
    <row r="13" spans="1:10" ht="15" x14ac:dyDescent="0.25">
      <c r="A13" s="44" t="s">
        <v>68</v>
      </c>
      <c r="B13" s="50">
        <f>1/B11</f>
        <v>100</v>
      </c>
      <c r="C13" s="23"/>
      <c r="D13" s="54" t="s">
        <v>57</v>
      </c>
    </row>
    <row r="14" spans="1:10" ht="15" x14ac:dyDescent="0.25">
      <c r="D14" s="9" t="s">
        <v>55</v>
      </c>
    </row>
    <row r="15" spans="1:10" ht="15" x14ac:dyDescent="0.25">
      <c r="A15" s="14" t="s">
        <v>61</v>
      </c>
      <c r="D15" s="53" t="s">
        <v>56</v>
      </c>
    </row>
    <row r="16" spans="1:10" ht="15" x14ac:dyDescent="0.25">
      <c r="A16" s="14" t="s">
        <v>70</v>
      </c>
      <c r="D16" s="52" t="s">
        <v>63</v>
      </c>
    </row>
    <row r="18" spans="1:13" ht="15.75" thickBo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</row>
    <row r="19" spans="1:13" ht="15" customHeight="1" x14ac:dyDescent="0.3">
      <c r="A19" s="62" t="s">
        <v>52</v>
      </c>
      <c r="G19" s="86" t="s">
        <v>0</v>
      </c>
      <c r="H19" s="86" t="s">
        <v>5</v>
      </c>
      <c r="I19" s="86" t="s">
        <v>48</v>
      </c>
      <c r="J19" s="38" t="s">
        <v>33</v>
      </c>
      <c r="K19" s="86" t="s">
        <v>40</v>
      </c>
      <c r="L19" s="85" t="s">
        <v>49</v>
      </c>
      <c r="M19" s="85" t="s">
        <v>65</v>
      </c>
    </row>
    <row r="20" spans="1:13" x14ac:dyDescent="0.3">
      <c r="B20" s="45">
        <f>-1/$B$11*LN(1-B21)</f>
        <v>34.199999999999996</v>
      </c>
      <c r="G20" s="86"/>
      <c r="H20" s="86"/>
      <c r="I20" s="86"/>
      <c r="J20" s="38" t="s">
        <v>50</v>
      </c>
      <c r="K20" s="86"/>
      <c r="L20" s="85"/>
      <c r="M20" s="85"/>
    </row>
    <row r="21" spans="1:13" ht="15" x14ac:dyDescent="0.25">
      <c r="B21" s="56">
        <f>M22</f>
        <v>0.28965179529082274</v>
      </c>
      <c r="G21" s="10"/>
      <c r="H21" s="10"/>
      <c r="I21" s="10"/>
      <c r="J21" s="10"/>
      <c r="K21" s="10"/>
      <c r="L21" s="39"/>
      <c r="M21" s="39"/>
    </row>
    <row r="22" spans="1:13" ht="15" x14ac:dyDescent="0.25">
      <c r="B22" s="21" t="s">
        <v>38</v>
      </c>
      <c r="C22" s="21"/>
      <c r="D22" s="21"/>
      <c r="E22" s="21"/>
      <c r="F22" s="21"/>
      <c r="G22" s="10" t="s">
        <v>20</v>
      </c>
      <c r="H22" s="11">
        <f>$F$5</f>
        <v>2.85</v>
      </c>
      <c r="I22" s="40">
        <f>$I$1*$I$2/1000</f>
        <v>12</v>
      </c>
      <c r="J22" s="41">
        <f>H22*I22</f>
        <v>34.200000000000003</v>
      </c>
      <c r="K22" s="11">
        <v>0</v>
      </c>
      <c r="L22" s="42">
        <f>J22+K22*I22</f>
        <v>34.200000000000003</v>
      </c>
      <c r="M22" s="47">
        <f>1-EXP(-$B$11*L22)</f>
        <v>0.28965179529082274</v>
      </c>
    </row>
    <row r="23" spans="1:13" ht="15" x14ac:dyDescent="0.25">
      <c r="B23" s="22"/>
      <c r="G23" s="10"/>
      <c r="H23" s="43"/>
      <c r="I23" s="40"/>
      <c r="J23" s="41"/>
      <c r="K23" s="11"/>
      <c r="L23" s="42"/>
      <c r="M23" s="47"/>
    </row>
    <row r="24" spans="1:13" ht="15" x14ac:dyDescent="0.25">
      <c r="B24" s="24"/>
      <c r="G24" s="10"/>
      <c r="H24" s="43"/>
      <c r="I24" s="40"/>
      <c r="J24" s="41"/>
      <c r="K24" s="11"/>
      <c r="L24" s="42"/>
      <c r="M24" s="47"/>
    </row>
    <row r="25" spans="1:13" ht="15" x14ac:dyDescent="0.25">
      <c r="B25" s="24"/>
      <c r="E25" s="55">
        <f>M26</f>
        <v>0.5304591609572008</v>
      </c>
      <c r="G25" s="10"/>
      <c r="H25" s="43"/>
      <c r="I25" s="40"/>
      <c r="J25" s="41"/>
      <c r="K25" s="11"/>
      <c r="L25" s="42"/>
      <c r="M25" s="47"/>
    </row>
    <row r="26" spans="1:13" ht="15" x14ac:dyDescent="0.25">
      <c r="B26" s="24"/>
      <c r="E26" s="21" t="s">
        <v>23</v>
      </c>
      <c r="F26" s="21"/>
      <c r="G26" s="10" t="s">
        <v>13</v>
      </c>
      <c r="H26" s="11">
        <f>$F$2</f>
        <v>8</v>
      </c>
      <c r="I26" s="40">
        <f>$I$1*$I$2*(1-$B$8)/1000</f>
        <v>8.4</v>
      </c>
      <c r="J26" s="41">
        <f t="shared" ref="J26:J46" si="0">H26*I26</f>
        <v>67.2</v>
      </c>
      <c r="K26" s="11">
        <f>$B$9</f>
        <v>1</v>
      </c>
      <c r="L26" s="42">
        <f t="shared" ref="L26:L46" si="1">J26+K26*I26</f>
        <v>75.600000000000009</v>
      </c>
      <c r="M26" s="47">
        <f t="shared" ref="M26:M46" si="2">1-EXP(-$B$11*L26)</f>
        <v>0.5304591609572008</v>
      </c>
    </row>
    <row r="27" spans="1:13" ht="15" x14ac:dyDescent="0.25">
      <c r="A27" s="45">
        <f>MAX(B20,B38)</f>
        <v>34.199999999999996</v>
      </c>
      <c r="B27" s="24"/>
      <c r="E27" s="25">
        <f>$B$3</f>
        <v>0.4</v>
      </c>
      <c r="G27" s="10"/>
      <c r="H27" s="43"/>
      <c r="I27" s="40"/>
      <c r="J27" s="41"/>
      <c r="K27" s="11"/>
      <c r="L27" s="42"/>
      <c r="M27" s="47"/>
    </row>
    <row r="28" spans="1:13" ht="15" x14ac:dyDescent="0.25">
      <c r="A28" s="55">
        <f>MAX(B21,B38)</f>
        <v>0.29737319128237588</v>
      </c>
      <c r="B28" s="24"/>
      <c r="D28" s="55">
        <f>E27*E25+E32*E34</f>
        <v>0.28479928505553043</v>
      </c>
      <c r="E28" s="24"/>
      <c r="G28" s="10"/>
      <c r="H28" s="43"/>
      <c r="I28" s="40"/>
      <c r="J28" s="41"/>
      <c r="K28" s="11"/>
      <c r="L28" s="42"/>
      <c r="M28" s="47"/>
    </row>
    <row r="29" spans="1:13" ht="15" x14ac:dyDescent="0.25">
      <c r="A29" s="26" t="s">
        <v>32</v>
      </c>
      <c r="B29" s="24"/>
      <c r="D29" s="26" t="s">
        <v>1</v>
      </c>
      <c r="E29" s="24"/>
      <c r="F29" s="55">
        <f>M30</f>
        <v>6.2463885737950253E-2</v>
      </c>
      <c r="G29" s="10"/>
      <c r="H29" s="43"/>
      <c r="I29" s="40"/>
      <c r="J29" s="41"/>
      <c r="K29" s="11"/>
      <c r="L29" s="42"/>
      <c r="M29" s="47"/>
    </row>
    <row r="30" spans="1:13" ht="15" x14ac:dyDescent="0.25">
      <c r="B30" s="24"/>
      <c r="D30" s="27">
        <f>$B$2</f>
        <v>0.5</v>
      </c>
      <c r="E30" s="28"/>
      <c r="F30" s="21" t="s">
        <v>25</v>
      </c>
      <c r="G30" s="10" t="s">
        <v>18</v>
      </c>
      <c r="H30" s="11">
        <f>$F$7</f>
        <v>2</v>
      </c>
      <c r="I30" s="40">
        <f>$I$1*$I$2*(1+$B$7)/1000</f>
        <v>12.9</v>
      </c>
      <c r="J30" s="41">
        <f t="shared" si="0"/>
        <v>25.8</v>
      </c>
      <c r="K30" s="11">
        <f>$B$10</f>
        <v>-1.5</v>
      </c>
      <c r="L30" s="42">
        <f t="shared" si="1"/>
        <v>6.4499999999999993</v>
      </c>
      <c r="M30" s="47">
        <f t="shared" si="2"/>
        <v>6.2463885737950253E-2</v>
      </c>
    </row>
    <row r="31" spans="1:13" ht="15" x14ac:dyDescent="0.25">
      <c r="B31" s="24"/>
      <c r="D31" s="29"/>
      <c r="E31" s="20"/>
      <c r="F31" s="24"/>
      <c r="G31" s="10"/>
      <c r="H31" s="43"/>
      <c r="I31" s="40"/>
      <c r="J31" s="41"/>
      <c r="K31" s="11"/>
      <c r="L31" s="42"/>
      <c r="M31" s="47"/>
    </row>
    <row r="32" spans="1:13" ht="15" x14ac:dyDescent="0.25">
      <c r="B32" s="24"/>
      <c r="D32" s="29"/>
      <c r="E32" s="30">
        <f>1-$B$3</f>
        <v>0.6</v>
      </c>
      <c r="F32" s="24"/>
      <c r="G32" s="10"/>
      <c r="H32" s="43"/>
      <c r="I32" s="40"/>
      <c r="J32" s="41"/>
      <c r="K32" s="11"/>
      <c r="L32" s="42"/>
      <c r="M32" s="47"/>
    </row>
    <row r="33" spans="2:13" ht="15" x14ac:dyDescent="0.25">
      <c r="B33" s="24"/>
      <c r="D33" s="24"/>
      <c r="E33" s="14" t="s">
        <v>24</v>
      </c>
      <c r="F33" s="24"/>
      <c r="G33" s="10"/>
      <c r="H33" s="43"/>
      <c r="I33" s="40"/>
      <c r="J33" s="41"/>
      <c r="K33" s="11"/>
      <c r="L33" s="42"/>
      <c r="M33" s="47"/>
    </row>
    <row r="34" spans="2:13" ht="15" x14ac:dyDescent="0.25">
      <c r="B34" s="24"/>
      <c r="D34" s="24"/>
      <c r="E34" s="55">
        <f>MAX(F29,F36)</f>
        <v>0.12102603445441684</v>
      </c>
      <c r="F34" s="31"/>
      <c r="G34" s="10" t="s">
        <v>34</v>
      </c>
      <c r="H34" s="11" t="s">
        <v>51</v>
      </c>
      <c r="I34" s="40" t="s">
        <v>51</v>
      </c>
      <c r="J34" s="11">
        <f>J30/2</f>
        <v>12.9</v>
      </c>
      <c r="K34" s="11">
        <v>0</v>
      </c>
      <c r="L34" s="42">
        <f>J34+K34</f>
        <v>12.9</v>
      </c>
      <c r="M34" s="47">
        <f t="shared" si="2"/>
        <v>0.12102603445441684</v>
      </c>
    </row>
    <row r="35" spans="2:13" ht="15" x14ac:dyDescent="0.25">
      <c r="B35" s="24"/>
      <c r="D35" s="24"/>
      <c r="F35" s="14" t="s">
        <v>26</v>
      </c>
      <c r="G35" s="10"/>
      <c r="H35" s="43"/>
      <c r="I35" s="40"/>
      <c r="J35" s="41"/>
      <c r="K35" s="11"/>
      <c r="L35" s="42"/>
      <c r="M35" s="47"/>
    </row>
    <row r="36" spans="2:13" ht="15" x14ac:dyDescent="0.25">
      <c r="B36" s="31"/>
      <c r="C36" s="21"/>
      <c r="D36" s="24"/>
      <c r="F36" s="55">
        <f>M34</f>
        <v>0.12102603445441684</v>
      </c>
      <c r="G36" s="10"/>
      <c r="H36" s="43"/>
      <c r="I36" s="40"/>
      <c r="J36" s="41"/>
      <c r="K36" s="11"/>
      <c r="L36" s="42"/>
      <c r="M36" s="47"/>
    </row>
    <row r="37" spans="2:13" ht="15" x14ac:dyDescent="0.25">
      <c r="B37" s="14" t="s">
        <v>39</v>
      </c>
      <c r="D37" s="24"/>
      <c r="F37" s="55">
        <f>M38</f>
        <v>0.34295318018494325</v>
      </c>
      <c r="G37" s="10"/>
      <c r="H37" s="43"/>
      <c r="I37" s="40"/>
      <c r="J37" s="41"/>
      <c r="K37" s="11"/>
      <c r="L37" s="42"/>
      <c r="M37" s="47"/>
    </row>
    <row r="38" spans="2:13" ht="15" x14ac:dyDescent="0.25">
      <c r="B38" s="55">
        <f>D30*D28+D43*D45</f>
        <v>0.29737319128237588</v>
      </c>
      <c r="D38" s="24"/>
      <c r="F38" s="21" t="s">
        <v>29</v>
      </c>
      <c r="G38" s="10" t="s">
        <v>35</v>
      </c>
      <c r="H38" s="11">
        <f>$F$3</f>
        <v>3.5</v>
      </c>
      <c r="I38" s="40">
        <f>$I$1*$I$2/1000</f>
        <v>12</v>
      </c>
      <c r="J38" s="41">
        <f t="shared" si="0"/>
        <v>42</v>
      </c>
      <c r="K38" s="11">
        <v>0</v>
      </c>
      <c r="L38" s="42">
        <f t="shared" si="1"/>
        <v>42</v>
      </c>
      <c r="M38" s="47">
        <f t="shared" si="2"/>
        <v>0.34295318018494325</v>
      </c>
    </row>
    <row r="39" spans="2:13" ht="15" x14ac:dyDescent="0.25">
      <c r="B39" s="45">
        <f>-1/$B$11*LN(1-B38)</f>
        <v>35.292938343424964</v>
      </c>
      <c r="D39" s="24"/>
      <c r="E39" s="55">
        <f>F39*F37+F42*F44</f>
        <v>0.32263842705695611</v>
      </c>
      <c r="F39" s="25">
        <f>$B$5</f>
        <v>0.5</v>
      </c>
      <c r="G39" s="10"/>
      <c r="H39" s="43"/>
      <c r="I39" s="40"/>
      <c r="J39" s="41"/>
      <c r="K39" s="11"/>
      <c r="L39" s="42"/>
      <c r="M39" s="47"/>
    </row>
    <row r="40" spans="2:13" ht="15" x14ac:dyDescent="0.25">
      <c r="D40" s="24"/>
      <c r="E40" s="21" t="s">
        <v>27</v>
      </c>
      <c r="F40" s="24"/>
      <c r="G40" s="10"/>
      <c r="H40" s="43"/>
      <c r="I40" s="40"/>
      <c r="J40" s="41"/>
      <c r="K40" s="11"/>
      <c r="L40" s="42"/>
      <c r="M40" s="47"/>
    </row>
    <row r="41" spans="2:13" ht="15" x14ac:dyDescent="0.25">
      <c r="D41" s="29"/>
      <c r="E41" s="32">
        <f>1-$B$4</f>
        <v>0.8</v>
      </c>
      <c r="F41" s="24"/>
      <c r="G41" s="10"/>
      <c r="H41" s="43"/>
      <c r="I41" s="40"/>
      <c r="J41" s="41"/>
      <c r="K41" s="11"/>
      <c r="L41" s="42"/>
      <c r="M41" s="47"/>
    </row>
    <row r="42" spans="2:13" ht="15" x14ac:dyDescent="0.25">
      <c r="D42" s="29"/>
      <c r="E42" s="20"/>
      <c r="F42" s="33">
        <f>1-$B$5</f>
        <v>0.5</v>
      </c>
      <c r="G42" s="10" t="s">
        <v>36</v>
      </c>
      <c r="H42" s="11">
        <f>$F$4</f>
        <v>3</v>
      </c>
      <c r="I42" s="40">
        <f>$I$1*$I$2/1000</f>
        <v>12</v>
      </c>
      <c r="J42" s="41">
        <f t="shared" si="0"/>
        <v>36</v>
      </c>
      <c r="K42" s="11">
        <v>0</v>
      </c>
      <c r="L42" s="42">
        <f t="shared" si="1"/>
        <v>36</v>
      </c>
      <c r="M42" s="47">
        <f t="shared" si="2"/>
        <v>0.30232367392896897</v>
      </c>
    </row>
    <row r="43" spans="2:13" ht="15" x14ac:dyDescent="0.25">
      <c r="D43" s="34">
        <f>1-$B$2</f>
        <v>0.5</v>
      </c>
      <c r="E43" s="20"/>
      <c r="F43" s="14" t="s">
        <v>28</v>
      </c>
      <c r="G43" s="10"/>
      <c r="H43" s="43"/>
      <c r="I43" s="40"/>
      <c r="J43" s="41"/>
      <c r="K43" s="11"/>
      <c r="L43" s="42"/>
      <c r="M43" s="47"/>
    </row>
    <row r="44" spans="2:13" ht="15" x14ac:dyDescent="0.25">
      <c r="D44" s="35" t="s">
        <v>22</v>
      </c>
      <c r="E44" s="24"/>
      <c r="F44" s="55">
        <f>M42</f>
        <v>0.30232367392896897</v>
      </c>
      <c r="G44" s="10"/>
      <c r="H44" s="43"/>
      <c r="I44" s="40"/>
      <c r="J44" s="41"/>
      <c r="K44" s="11"/>
      <c r="L44" s="42"/>
      <c r="M44" s="47"/>
    </row>
    <row r="45" spans="2:13" ht="15" x14ac:dyDescent="0.25">
      <c r="D45" s="55">
        <f>E41*E39+E46*E48</f>
        <v>0.30994709750922134</v>
      </c>
      <c r="E45" s="24"/>
      <c r="G45" s="10"/>
      <c r="H45" s="43"/>
      <c r="I45" s="40"/>
      <c r="J45" s="41"/>
      <c r="K45" s="11"/>
      <c r="L45" s="42"/>
      <c r="M45" s="47"/>
    </row>
    <row r="46" spans="2:13" ht="15" x14ac:dyDescent="0.25">
      <c r="E46" s="33">
        <f>$B$4</f>
        <v>0.2</v>
      </c>
      <c r="F46" s="21"/>
      <c r="G46" s="10" t="s">
        <v>37</v>
      </c>
      <c r="H46" s="11">
        <f>$F$6</f>
        <v>2.5</v>
      </c>
      <c r="I46" s="40">
        <f>$I$1*$I$2/1000</f>
        <v>12</v>
      </c>
      <c r="J46" s="41">
        <f t="shared" si="0"/>
        <v>30</v>
      </c>
      <c r="K46" s="11">
        <v>0</v>
      </c>
      <c r="L46" s="42">
        <f t="shared" si="1"/>
        <v>30</v>
      </c>
      <c r="M46" s="47">
        <f t="shared" si="2"/>
        <v>0.25918177931828212</v>
      </c>
    </row>
    <row r="47" spans="2:13" ht="15" x14ac:dyDescent="0.25">
      <c r="E47" s="14" t="s">
        <v>2</v>
      </c>
      <c r="M47" s="23"/>
    </row>
    <row r="48" spans="2:13" ht="15" x14ac:dyDescent="0.25">
      <c r="E48" s="55">
        <f>M46</f>
        <v>0.25918177931828212</v>
      </c>
      <c r="M48" s="23"/>
    </row>
    <row r="49" spans="1:13" ht="15.75" thickBot="1" x14ac:dyDescent="0.3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48"/>
    </row>
    <row r="50" spans="1:13" ht="15" customHeight="1" x14ac:dyDescent="0.3">
      <c r="A50" s="62" t="s">
        <v>54</v>
      </c>
      <c r="G50" s="86" t="s">
        <v>0</v>
      </c>
      <c r="H50" s="86" t="s">
        <v>5</v>
      </c>
      <c r="I50" s="86" t="s">
        <v>48</v>
      </c>
      <c r="J50" s="38" t="s">
        <v>33</v>
      </c>
      <c r="K50" s="86" t="s">
        <v>40</v>
      </c>
      <c r="L50" s="85" t="s">
        <v>49</v>
      </c>
      <c r="M50" s="85"/>
    </row>
    <row r="51" spans="1:13" x14ac:dyDescent="0.3">
      <c r="G51" s="86"/>
      <c r="H51" s="86"/>
      <c r="I51" s="86"/>
      <c r="J51" s="38" t="s">
        <v>50</v>
      </c>
      <c r="K51" s="86"/>
      <c r="L51" s="85"/>
      <c r="M51" s="85"/>
    </row>
    <row r="52" spans="1:13" ht="15" x14ac:dyDescent="0.25">
      <c r="B52" s="46">
        <f>L53</f>
        <v>34.200000000000003</v>
      </c>
      <c r="G52" s="10"/>
      <c r="H52" s="10"/>
      <c r="I52" s="10"/>
      <c r="J52" s="10"/>
      <c r="K52" s="10"/>
      <c r="L52" s="39"/>
      <c r="M52" s="49"/>
    </row>
    <row r="53" spans="1:13" ht="15" x14ac:dyDescent="0.25">
      <c r="B53" s="21" t="s">
        <v>38</v>
      </c>
      <c r="C53" s="21"/>
      <c r="D53" s="21"/>
      <c r="E53" s="21"/>
      <c r="F53" s="21"/>
      <c r="G53" s="10" t="s">
        <v>20</v>
      </c>
      <c r="H53" s="11">
        <f>$F$5</f>
        <v>2.85</v>
      </c>
      <c r="I53" s="40">
        <f>$I$1*$I$2/1000</f>
        <v>12</v>
      </c>
      <c r="J53" s="41">
        <f>H53*I53</f>
        <v>34.200000000000003</v>
      </c>
      <c r="K53" s="11">
        <v>0</v>
      </c>
      <c r="L53" s="42">
        <f>J53+K53*I53</f>
        <v>34.200000000000003</v>
      </c>
      <c r="M53" s="47"/>
    </row>
    <row r="54" spans="1:13" ht="15" x14ac:dyDescent="0.25">
      <c r="B54" s="22"/>
      <c r="G54" s="10"/>
      <c r="H54" s="43"/>
      <c r="I54" s="40"/>
      <c r="J54" s="41"/>
      <c r="K54" s="11"/>
      <c r="L54" s="42"/>
      <c r="M54" s="47"/>
    </row>
    <row r="55" spans="1:13" ht="15" x14ac:dyDescent="0.25">
      <c r="B55" s="24"/>
      <c r="G55" s="10"/>
      <c r="H55" s="43"/>
      <c r="I55" s="40"/>
      <c r="J55" s="41"/>
      <c r="K55" s="11"/>
      <c r="L55" s="42"/>
      <c r="M55" s="47"/>
    </row>
    <row r="56" spans="1:13" ht="15" x14ac:dyDescent="0.25">
      <c r="B56" s="24"/>
      <c r="E56" s="45">
        <f>L57</f>
        <v>75.600000000000009</v>
      </c>
      <c r="G56" s="10"/>
      <c r="H56" s="43"/>
      <c r="I56" s="40"/>
      <c r="J56" s="41"/>
      <c r="K56" s="11"/>
      <c r="L56" s="42"/>
      <c r="M56" s="47"/>
    </row>
    <row r="57" spans="1:13" ht="15" x14ac:dyDescent="0.25">
      <c r="B57" s="24"/>
      <c r="E57" s="21" t="s">
        <v>23</v>
      </c>
      <c r="F57" s="21"/>
      <c r="G57" s="10" t="s">
        <v>13</v>
      </c>
      <c r="H57" s="11">
        <f>$F$2</f>
        <v>8</v>
      </c>
      <c r="I57" s="40">
        <f>$I$1*$I$2*(1-$B$8)/1000</f>
        <v>8.4</v>
      </c>
      <c r="J57" s="41">
        <f t="shared" ref="J57" si="3">H57*I57</f>
        <v>67.2</v>
      </c>
      <c r="K57" s="11">
        <f>$B$9</f>
        <v>1</v>
      </c>
      <c r="L57" s="42">
        <f t="shared" ref="L57" si="4">J57+K57*I57</f>
        <v>75.600000000000009</v>
      </c>
      <c r="M57" s="47"/>
    </row>
    <row r="58" spans="1:13" ht="15" x14ac:dyDescent="0.25">
      <c r="B58" s="24"/>
      <c r="E58" s="25">
        <f>$B$3</f>
        <v>0.4</v>
      </c>
      <c r="G58" s="10"/>
      <c r="H58" s="43"/>
      <c r="I58" s="40"/>
      <c r="J58" s="41"/>
      <c r="K58" s="11"/>
      <c r="L58" s="42"/>
      <c r="M58" s="47"/>
    </row>
    <row r="59" spans="1:13" ht="15" x14ac:dyDescent="0.25">
      <c r="A59" s="45">
        <f>MAX(B52,B69)</f>
        <v>37.590000000000003</v>
      </c>
      <c r="B59" s="24"/>
      <c r="D59" s="45">
        <f>E58*E56+E63*E65</f>
        <v>37.980000000000004</v>
      </c>
      <c r="E59" s="24"/>
      <c r="G59" s="10"/>
      <c r="H59" s="43"/>
      <c r="I59" s="40"/>
      <c r="J59" s="41"/>
      <c r="K59" s="11"/>
      <c r="L59" s="42"/>
      <c r="M59" s="47"/>
    </row>
    <row r="60" spans="1:13" ht="15" x14ac:dyDescent="0.25">
      <c r="A60" s="26" t="s">
        <v>32</v>
      </c>
      <c r="B60" s="24"/>
      <c r="D60" s="26" t="s">
        <v>1</v>
      </c>
      <c r="E60" s="24"/>
      <c r="F60" s="45">
        <f>L61</f>
        <v>6.4499999999999993</v>
      </c>
      <c r="G60" s="10"/>
      <c r="H60" s="43"/>
      <c r="I60" s="40"/>
      <c r="J60" s="41"/>
      <c r="K60" s="11"/>
      <c r="L60" s="42"/>
      <c r="M60" s="47"/>
    </row>
    <row r="61" spans="1:13" ht="15" x14ac:dyDescent="0.25">
      <c r="B61" s="24"/>
      <c r="D61" s="27">
        <f>$B$2</f>
        <v>0.5</v>
      </c>
      <c r="E61" s="28"/>
      <c r="F61" s="21" t="s">
        <v>25</v>
      </c>
      <c r="G61" s="10" t="s">
        <v>18</v>
      </c>
      <c r="H61" s="11">
        <f>$F$7</f>
        <v>2</v>
      </c>
      <c r="I61" s="40">
        <f>$I$1*$I$2*(1+$B$7)/1000</f>
        <v>12.9</v>
      </c>
      <c r="J61" s="41">
        <f t="shared" ref="J61" si="5">H61*I61</f>
        <v>25.8</v>
      </c>
      <c r="K61" s="11">
        <f>$B$10</f>
        <v>-1.5</v>
      </c>
      <c r="L61" s="42">
        <f t="shared" ref="L61" si="6">J61+K61*I61</f>
        <v>6.4499999999999993</v>
      </c>
      <c r="M61" s="47"/>
    </row>
    <row r="62" spans="1:13" ht="15" x14ac:dyDescent="0.25">
      <c r="B62" s="24"/>
      <c r="D62" s="29"/>
      <c r="E62" s="20"/>
      <c r="F62" s="24"/>
      <c r="G62" s="10"/>
      <c r="H62" s="43"/>
      <c r="I62" s="40"/>
      <c r="J62" s="41"/>
      <c r="K62" s="11"/>
      <c r="L62" s="42"/>
      <c r="M62" s="47"/>
    </row>
    <row r="63" spans="1:13" ht="15" x14ac:dyDescent="0.25">
      <c r="B63" s="24"/>
      <c r="D63" s="29"/>
      <c r="E63" s="30">
        <f>1-$B$3</f>
        <v>0.6</v>
      </c>
      <c r="F63" s="24"/>
      <c r="G63" s="10"/>
      <c r="H63" s="43"/>
      <c r="I63" s="40"/>
      <c r="J63" s="41"/>
      <c r="K63" s="11"/>
      <c r="L63" s="42"/>
      <c r="M63" s="47"/>
    </row>
    <row r="64" spans="1:13" ht="15" x14ac:dyDescent="0.25">
      <c r="B64" s="24"/>
      <c r="D64" s="24"/>
      <c r="E64" s="14" t="s">
        <v>24</v>
      </c>
      <c r="F64" s="24"/>
      <c r="G64" s="10"/>
      <c r="H64" s="43"/>
      <c r="I64" s="40"/>
      <c r="J64" s="41"/>
      <c r="K64" s="11"/>
      <c r="L64" s="42"/>
      <c r="M64" s="47"/>
    </row>
    <row r="65" spans="1:13" ht="15" x14ac:dyDescent="0.25">
      <c r="B65" s="24"/>
      <c r="D65" s="24"/>
      <c r="E65" s="45">
        <f>MAX(F60,F67)</f>
        <v>12.9</v>
      </c>
      <c r="F65" s="31"/>
      <c r="G65" s="10" t="s">
        <v>34</v>
      </c>
      <c r="H65" s="11" t="s">
        <v>51</v>
      </c>
      <c r="I65" s="40" t="s">
        <v>51</v>
      </c>
      <c r="J65" s="11">
        <f>J61/2</f>
        <v>12.9</v>
      </c>
      <c r="K65" s="11">
        <v>0</v>
      </c>
      <c r="L65" s="42">
        <f>J65+K65</f>
        <v>12.9</v>
      </c>
      <c r="M65" s="47"/>
    </row>
    <row r="66" spans="1:13" ht="15" x14ac:dyDescent="0.25">
      <c r="B66" s="24"/>
      <c r="D66" s="24"/>
      <c r="F66" s="14" t="s">
        <v>26</v>
      </c>
      <c r="G66" s="10"/>
      <c r="H66" s="43"/>
      <c r="I66" s="40"/>
      <c r="J66" s="41"/>
      <c r="K66" s="11"/>
      <c r="L66" s="42"/>
      <c r="M66" s="47"/>
    </row>
    <row r="67" spans="1:13" ht="15" x14ac:dyDescent="0.25">
      <c r="B67" s="31"/>
      <c r="C67" s="21"/>
      <c r="D67" s="24"/>
      <c r="F67" s="45">
        <f>L65</f>
        <v>12.9</v>
      </c>
      <c r="G67" s="10"/>
      <c r="H67" s="43"/>
      <c r="I67" s="40"/>
      <c r="J67" s="41"/>
      <c r="K67" s="11"/>
      <c r="L67" s="42"/>
      <c r="M67" s="47"/>
    </row>
    <row r="68" spans="1:13" ht="15" x14ac:dyDescent="0.25">
      <c r="B68" s="14" t="s">
        <v>39</v>
      </c>
      <c r="D68" s="24"/>
      <c r="F68" s="45">
        <f>L69</f>
        <v>42</v>
      </c>
      <c r="G68" s="10"/>
      <c r="H68" s="43"/>
      <c r="I68" s="40"/>
      <c r="J68" s="41"/>
      <c r="K68" s="11"/>
      <c r="L68" s="42"/>
      <c r="M68" s="47"/>
    </row>
    <row r="69" spans="1:13" ht="15" x14ac:dyDescent="0.25">
      <c r="B69" s="45">
        <f>D61*D59+D74*D76</f>
        <v>37.590000000000003</v>
      </c>
      <c r="D69" s="24"/>
      <c r="F69" s="21" t="s">
        <v>29</v>
      </c>
      <c r="G69" s="10" t="s">
        <v>35</v>
      </c>
      <c r="H69" s="11">
        <f>$F$3</f>
        <v>3.5</v>
      </c>
      <c r="I69" s="40">
        <f>$I$1*$I$2/1000</f>
        <v>12</v>
      </c>
      <c r="J69" s="41">
        <f t="shared" ref="J69" si="7">H69*I69</f>
        <v>42</v>
      </c>
      <c r="K69" s="11">
        <v>0</v>
      </c>
      <c r="L69" s="42">
        <f t="shared" ref="L69" si="8">J69+K69*I69</f>
        <v>42</v>
      </c>
      <c r="M69" s="47"/>
    </row>
    <row r="70" spans="1:13" ht="15" x14ac:dyDescent="0.25">
      <c r="D70" s="24"/>
      <c r="E70" s="45">
        <f>F70*F68+F73*F75</f>
        <v>39</v>
      </c>
      <c r="F70" s="25">
        <f>$B$5</f>
        <v>0.5</v>
      </c>
      <c r="G70" s="10"/>
      <c r="H70" s="43"/>
      <c r="I70" s="40"/>
      <c r="J70" s="41"/>
      <c r="K70" s="11"/>
      <c r="L70" s="42"/>
      <c r="M70" s="47"/>
    </row>
    <row r="71" spans="1:13" ht="15" x14ac:dyDescent="0.25">
      <c r="D71" s="24"/>
      <c r="E71" s="21" t="s">
        <v>27</v>
      </c>
      <c r="F71" s="24"/>
      <c r="G71" s="10"/>
      <c r="H71" s="43"/>
      <c r="I71" s="40"/>
      <c r="J71" s="41"/>
      <c r="K71" s="11"/>
      <c r="L71" s="42"/>
      <c r="M71" s="47"/>
    </row>
    <row r="72" spans="1:13" ht="15" x14ac:dyDescent="0.25">
      <c r="D72" s="29"/>
      <c r="E72" s="32">
        <f>1-$B$4</f>
        <v>0.8</v>
      </c>
      <c r="F72" s="24"/>
      <c r="G72" s="10"/>
      <c r="H72" s="43"/>
      <c r="I72" s="40"/>
      <c r="J72" s="41"/>
      <c r="K72" s="11"/>
      <c r="L72" s="42"/>
      <c r="M72" s="47"/>
    </row>
    <row r="73" spans="1:13" ht="15" x14ac:dyDescent="0.25">
      <c r="D73" s="29"/>
      <c r="E73" s="20"/>
      <c r="F73" s="33">
        <f>1-$B$5</f>
        <v>0.5</v>
      </c>
      <c r="G73" s="10" t="s">
        <v>36</v>
      </c>
      <c r="H73" s="11">
        <f>$F$4</f>
        <v>3</v>
      </c>
      <c r="I73" s="40">
        <f>$I$1*$I$2/1000</f>
        <v>12</v>
      </c>
      <c r="J73" s="41">
        <f t="shared" ref="J73" si="9">H73*I73</f>
        <v>36</v>
      </c>
      <c r="K73" s="11">
        <v>0</v>
      </c>
      <c r="L73" s="42">
        <f t="shared" ref="L73" si="10">J73+K73*I73</f>
        <v>36</v>
      </c>
      <c r="M73" s="47"/>
    </row>
    <row r="74" spans="1:13" ht="15" x14ac:dyDescent="0.25">
      <c r="D74" s="34">
        <f>1-$B$2</f>
        <v>0.5</v>
      </c>
      <c r="E74" s="20"/>
      <c r="F74" s="14" t="s">
        <v>28</v>
      </c>
      <c r="G74" s="10"/>
      <c r="H74" s="43"/>
      <c r="I74" s="40"/>
      <c r="J74" s="41"/>
      <c r="K74" s="11"/>
      <c r="L74" s="42"/>
      <c r="M74" s="47"/>
    </row>
    <row r="75" spans="1:13" ht="15" x14ac:dyDescent="0.25">
      <c r="D75" s="35" t="s">
        <v>22</v>
      </c>
      <c r="E75" s="24"/>
      <c r="F75" s="45">
        <f>L73</f>
        <v>36</v>
      </c>
      <c r="G75" s="10"/>
      <c r="H75" s="43"/>
      <c r="I75" s="40"/>
      <c r="J75" s="41"/>
      <c r="K75" s="11"/>
      <c r="L75" s="42"/>
      <c r="M75" s="47"/>
    </row>
    <row r="76" spans="1:13" ht="15" x14ac:dyDescent="0.25">
      <c r="D76" s="45">
        <f>E72*E70+E77*E79</f>
        <v>37.200000000000003</v>
      </c>
      <c r="E76" s="24"/>
      <c r="G76" s="10"/>
      <c r="H76" s="43"/>
      <c r="I76" s="40"/>
      <c r="J76" s="41"/>
      <c r="K76" s="11"/>
      <c r="L76" s="42"/>
      <c r="M76" s="47"/>
    </row>
    <row r="77" spans="1:13" ht="15" x14ac:dyDescent="0.25">
      <c r="E77" s="33">
        <f>$B$4</f>
        <v>0.2</v>
      </c>
      <c r="F77" s="21"/>
      <c r="G77" s="10" t="s">
        <v>37</v>
      </c>
      <c r="H77" s="11">
        <f>$F$6</f>
        <v>2.5</v>
      </c>
      <c r="I77" s="40">
        <f>$I$1*$I$2/1000</f>
        <v>12</v>
      </c>
      <c r="J77" s="41">
        <f t="shared" ref="J77" si="11">H77*I77</f>
        <v>30</v>
      </c>
      <c r="K77" s="11">
        <v>0</v>
      </c>
      <c r="L77" s="42">
        <f t="shared" ref="L77" si="12">J77+K77*I77</f>
        <v>30</v>
      </c>
      <c r="M77" s="47"/>
    </row>
    <row r="78" spans="1:13" ht="15" x14ac:dyDescent="0.25">
      <c r="E78" s="14" t="s">
        <v>2</v>
      </c>
    </row>
    <row r="79" spans="1:13" ht="15" x14ac:dyDescent="0.25">
      <c r="A79" s="20"/>
      <c r="B79" s="20"/>
      <c r="C79" s="20"/>
      <c r="D79" s="20"/>
      <c r="E79" s="46">
        <f>L77</f>
        <v>30</v>
      </c>
      <c r="F79" s="20"/>
      <c r="G79" s="20"/>
      <c r="H79" s="20"/>
      <c r="I79" s="20"/>
      <c r="J79" s="20"/>
      <c r="K79" s="20"/>
      <c r="L79" s="20"/>
      <c r="M79" s="20"/>
    </row>
    <row r="80" spans="1:13" ht="15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</row>
    <row r="81" spans="1:13" ht="15.75" thickBo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</row>
    <row r="82" spans="1:13" ht="15" x14ac:dyDescent="0.25">
      <c r="A82" s="62" t="s">
        <v>59</v>
      </c>
    </row>
    <row r="84" spans="1:13" ht="15" x14ac:dyDescent="0.25">
      <c r="A84" s="18" t="s">
        <v>7</v>
      </c>
      <c r="B84" s="16">
        <f>B2</f>
        <v>0.5</v>
      </c>
    </row>
    <row r="86" spans="1:13" ht="15" x14ac:dyDescent="0.25">
      <c r="A86"/>
      <c r="B86" s="1" t="s">
        <v>58</v>
      </c>
      <c r="C86" s="1" t="s">
        <v>39</v>
      </c>
      <c r="E86" s="18" t="s">
        <v>60</v>
      </c>
      <c r="F86" s="18"/>
    </row>
    <row r="87" spans="1:13" ht="15" x14ac:dyDescent="0.25">
      <c r="A87" s="57"/>
      <c r="B87" s="12">
        <f>B52</f>
        <v>34.200000000000003</v>
      </c>
      <c r="C87" s="2">
        <f>B69</f>
        <v>37.590000000000003</v>
      </c>
      <c r="E87" s="18">
        <f>B84</f>
        <v>0.5</v>
      </c>
      <c r="F87" s="60">
        <v>34</v>
      </c>
    </row>
    <row r="88" spans="1:13" ht="15" x14ac:dyDescent="0.25">
      <c r="A88" s="59">
        <v>0</v>
      </c>
      <c r="B88" s="2">
        <f t="dataTable" ref="B88:C98" dt2D="0" dtr="0" r1="B2" ca="1"/>
        <v>34.200000000000003</v>
      </c>
      <c r="C88" s="2">
        <v>37.200000000000003</v>
      </c>
      <c r="E88" s="18">
        <f>E87</f>
        <v>0.5</v>
      </c>
      <c r="F88" s="60">
        <v>39</v>
      </c>
    </row>
    <row r="89" spans="1:13" ht="15" x14ac:dyDescent="0.25">
      <c r="A89" s="59">
        <v>0.1</v>
      </c>
      <c r="B89" s="2">
        <v>34.200000000000003</v>
      </c>
      <c r="C89" s="2">
        <v>37.278000000000006</v>
      </c>
    </row>
    <row r="90" spans="1:13" ht="15" x14ac:dyDescent="0.25">
      <c r="A90" s="59">
        <v>0.2</v>
      </c>
      <c r="B90" s="2">
        <v>34.200000000000003</v>
      </c>
      <c r="C90" s="2">
        <v>37.356000000000009</v>
      </c>
    </row>
    <row r="91" spans="1:13" ht="15" x14ac:dyDescent="0.25">
      <c r="A91" s="59">
        <v>0.3</v>
      </c>
      <c r="B91" s="2">
        <v>34.200000000000003</v>
      </c>
      <c r="C91" s="2">
        <v>37.433999999999997</v>
      </c>
    </row>
    <row r="92" spans="1:13" ht="15" x14ac:dyDescent="0.25">
      <c r="A92" s="59">
        <v>0.4</v>
      </c>
      <c r="B92" s="2">
        <v>34.200000000000003</v>
      </c>
      <c r="C92" s="2">
        <v>37.512</v>
      </c>
    </row>
    <row r="93" spans="1:13" ht="15" x14ac:dyDescent="0.25">
      <c r="A93" s="59">
        <v>0.5</v>
      </c>
      <c r="B93" s="2">
        <v>34.200000000000003</v>
      </c>
      <c r="C93" s="2">
        <v>37.590000000000003</v>
      </c>
    </row>
    <row r="94" spans="1:13" ht="15" x14ac:dyDescent="0.25">
      <c r="A94" s="59">
        <v>0.6</v>
      </c>
      <c r="B94" s="2">
        <v>34.200000000000003</v>
      </c>
      <c r="C94" s="2">
        <v>37.668000000000006</v>
      </c>
    </row>
    <row r="95" spans="1:13" ht="15" x14ac:dyDescent="0.25">
      <c r="A95" s="59">
        <v>0.7</v>
      </c>
      <c r="B95" s="2">
        <v>34.200000000000003</v>
      </c>
      <c r="C95" s="2">
        <v>37.746000000000002</v>
      </c>
    </row>
    <row r="96" spans="1:13" ht="15" x14ac:dyDescent="0.25">
      <c r="A96" s="59">
        <v>0.8</v>
      </c>
      <c r="B96" s="2">
        <v>34.200000000000003</v>
      </c>
      <c r="C96" s="2">
        <v>37.824000000000005</v>
      </c>
    </row>
    <row r="97" spans="1:13" ht="15" x14ac:dyDescent="0.25">
      <c r="A97" s="59">
        <v>0.9</v>
      </c>
      <c r="B97" s="2">
        <v>34.200000000000003</v>
      </c>
      <c r="C97" s="2">
        <v>37.902000000000001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</row>
    <row r="98" spans="1:13" ht="15" x14ac:dyDescent="0.25">
      <c r="A98" s="59">
        <v>1</v>
      </c>
      <c r="B98" s="2">
        <v>34.200000000000003</v>
      </c>
      <c r="C98" s="2">
        <v>37.980000000000004</v>
      </c>
      <c r="D98" s="20"/>
      <c r="E98" s="20"/>
      <c r="F98" s="20"/>
      <c r="G98" s="20"/>
      <c r="H98" s="20"/>
      <c r="I98" s="20"/>
      <c r="J98" s="20"/>
      <c r="K98" s="20"/>
      <c r="L98" s="20"/>
      <c r="M98" s="20"/>
    </row>
    <row r="99" spans="1:13" ht="15" x14ac:dyDescent="0.2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</row>
    <row r="100" spans="1:13" ht="15" x14ac:dyDescent="0.25">
      <c r="A100" s="14" t="s">
        <v>67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</row>
    <row r="101" spans="1:13" ht="15" x14ac:dyDescent="0.25">
      <c r="A101" s="18" t="s">
        <v>7</v>
      </c>
      <c r="B101" s="18" t="s">
        <v>34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</row>
    <row r="102" spans="1:13" ht="15.75" thickBot="1" x14ac:dyDescent="0.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</row>
    <row r="103" spans="1:13" ht="15.75" thickTop="1" x14ac:dyDescent="0.25"/>
    <row r="104" spans="1:13" ht="15" x14ac:dyDescent="0.25">
      <c r="A104" s="16" t="str">
        <f>A3</f>
        <v>P(Botrytis)</v>
      </c>
      <c r="B104" s="16">
        <f>B3</f>
        <v>0.4</v>
      </c>
    </row>
    <row r="106" spans="1:13" ht="15" x14ac:dyDescent="0.25">
      <c r="B106" s="1" t="s">
        <v>58</v>
      </c>
      <c r="C106" s="1" t="s">
        <v>39</v>
      </c>
      <c r="E106" s="18" t="s">
        <v>60</v>
      </c>
      <c r="F106" s="18"/>
    </row>
    <row r="107" spans="1:13" ht="15" x14ac:dyDescent="0.25">
      <c r="A107" s="57"/>
      <c r="B107" s="19">
        <f>B52</f>
        <v>34.200000000000003</v>
      </c>
      <c r="C107" s="19">
        <f>B69</f>
        <v>37.590000000000003</v>
      </c>
      <c r="E107" s="18">
        <f>B104</f>
        <v>0.4</v>
      </c>
      <c r="F107" s="60">
        <v>20</v>
      </c>
    </row>
    <row r="108" spans="1:13" ht="15" x14ac:dyDescent="0.25">
      <c r="A108" s="59">
        <v>0</v>
      </c>
      <c r="B108" s="19">
        <f t="dataTable" ref="B108:C118" dt2D="0" dtr="0" r1="B3" ca="1"/>
        <v>34.200000000000003</v>
      </c>
      <c r="C108" s="19">
        <v>25.05</v>
      </c>
      <c r="E108" s="18">
        <f>E107</f>
        <v>0.4</v>
      </c>
      <c r="F108" s="60">
        <v>60</v>
      </c>
    </row>
    <row r="109" spans="1:13" ht="15" x14ac:dyDescent="0.25">
      <c r="A109" s="59">
        <v>0.1</v>
      </c>
      <c r="B109" s="19">
        <v>34.200000000000003</v>
      </c>
      <c r="C109" s="19">
        <v>28.185000000000002</v>
      </c>
    </row>
    <row r="110" spans="1:13" ht="15" x14ac:dyDescent="0.25">
      <c r="A110" s="59">
        <v>0.2</v>
      </c>
      <c r="B110" s="19">
        <v>34.200000000000003</v>
      </c>
      <c r="C110" s="19">
        <v>31.320000000000004</v>
      </c>
    </row>
    <row r="111" spans="1:13" ht="15" x14ac:dyDescent="0.25">
      <c r="A111" s="59">
        <v>0.3</v>
      </c>
      <c r="B111" s="19">
        <v>34.200000000000003</v>
      </c>
      <c r="C111" s="19">
        <v>34.454999999999998</v>
      </c>
    </row>
    <row r="112" spans="1:13" ht="15" x14ac:dyDescent="0.25">
      <c r="A112" s="59">
        <v>0.4</v>
      </c>
      <c r="B112" s="19">
        <v>34.200000000000003</v>
      </c>
      <c r="C112" s="19">
        <v>37.590000000000003</v>
      </c>
    </row>
    <row r="113" spans="1:13" ht="15" x14ac:dyDescent="0.25">
      <c r="A113" s="59">
        <v>0.5</v>
      </c>
      <c r="B113" s="19">
        <v>34.200000000000003</v>
      </c>
      <c r="C113" s="19">
        <v>40.725000000000009</v>
      </c>
    </row>
    <row r="114" spans="1:13" ht="15" x14ac:dyDescent="0.25">
      <c r="A114" s="59">
        <v>0.6</v>
      </c>
      <c r="B114" s="19">
        <v>34.200000000000003</v>
      </c>
      <c r="C114" s="19">
        <v>43.860000000000007</v>
      </c>
    </row>
    <row r="115" spans="1:13" ht="15" x14ac:dyDescent="0.25">
      <c r="A115" s="59">
        <v>0.7</v>
      </c>
      <c r="B115" s="19">
        <v>34.200000000000003</v>
      </c>
      <c r="C115" s="19">
        <v>46.995000000000005</v>
      </c>
    </row>
    <row r="116" spans="1:13" ht="15" x14ac:dyDescent="0.25">
      <c r="A116" s="59">
        <v>0.8</v>
      </c>
      <c r="B116" s="19">
        <v>34.200000000000003</v>
      </c>
      <c r="C116" s="19">
        <v>50.13000000000001</v>
      </c>
    </row>
    <row r="117" spans="1:13" ht="15" x14ac:dyDescent="0.25">
      <c r="A117" s="59">
        <v>0.9</v>
      </c>
      <c r="B117" s="19">
        <v>34.200000000000003</v>
      </c>
      <c r="C117" s="19">
        <v>53.265000000000008</v>
      </c>
    </row>
    <row r="118" spans="1:13" ht="15" x14ac:dyDescent="0.25">
      <c r="A118" s="59">
        <v>1</v>
      </c>
      <c r="B118" s="19">
        <v>34.200000000000003</v>
      </c>
      <c r="C118" s="19">
        <v>56.400000000000006</v>
      </c>
    </row>
    <row r="120" spans="1:13" ht="15" x14ac:dyDescent="0.25">
      <c r="A120" s="14" t="s">
        <v>67</v>
      </c>
    </row>
    <row r="121" spans="1:13" ht="15" x14ac:dyDescent="0.25">
      <c r="A121" s="16" t="str">
        <f>A104</f>
        <v>P(Botrytis)</v>
      </c>
      <c r="B121" s="16">
        <v>0.29199999999999998</v>
      </c>
    </row>
    <row r="124" spans="1:13" ht="15.75" thickBot="1" x14ac:dyDescent="0.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</row>
    <row r="125" spans="1:13" ht="15.75" thickTop="1" x14ac:dyDescent="0.25"/>
    <row r="126" spans="1:13" ht="15" x14ac:dyDescent="0.25">
      <c r="A126" s="18" t="s">
        <v>62</v>
      </c>
      <c r="B126" s="19">
        <f>F2</f>
        <v>8</v>
      </c>
    </row>
    <row r="128" spans="1:13" ht="15" x14ac:dyDescent="0.25">
      <c r="B128" s="1" t="s">
        <v>58</v>
      </c>
      <c r="C128" s="1" t="s">
        <v>39</v>
      </c>
      <c r="E128" s="18" t="s">
        <v>60</v>
      </c>
      <c r="F128" s="18"/>
    </row>
    <row r="129" spans="1:6" ht="15" x14ac:dyDescent="0.25">
      <c r="A129" s="57"/>
      <c r="B129" s="19">
        <f>B52</f>
        <v>34.200000000000003</v>
      </c>
      <c r="C129" s="19">
        <f>B69</f>
        <v>37.590000000000003</v>
      </c>
      <c r="E129" s="18">
        <f>B126</f>
        <v>8</v>
      </c>
      <c r="F129" s="60">
        <v>24</v>
      </c>
    </row>
    <row r="130" spans="1:6" ht="15" x14ac:dyDescent="0.25">
      <c r="A130" s="59">
        <v>1</v>
      </c>
      <c r="B130" s="19">
        <f t="dataTable" ref="B130:C139" dt2D="0" dtr="0" r1="F2" ca="1"/>
        <v>34.200000000000003</v>
      </c>
      <c r="C130" s="19">
        <v>25.830000000000002</v>
      </c>
      <c r="E130" s="18">
        <f>E129</f>
        <v>8</v>
      </c>
      <c r="F130" s="60">
        <v>41</v>
      </c>
    </row>
    <row r="131" spans="1:6" ht="15" x14ac:dyDescent="0.25">
      <c r="A131" s="59">
        <v>2</v>
      </c>
      <c r="B131" s="19">
        <v>34.200000000000003</v>
      </c>
      <c r="C131" s="19">
        <v>27.51</v>
      </c>
    </row>
    <row r="132" spans="1:6" ht="15" x14ac:dyDescent="0.25">
      <c r="A132" s="59">
        <v>3</v>
      </c>
      <c r="B132" s="19">
        <v>34.200000000000003</v>
      </c>
      <c r="C132" s="19">
        <v>29.19</v>
      </c>
    </row>
    <row r="133" spans="1:6" ht="15" x14ac:dyDescent="0.25">
      <c r="A133" s="59">
        <v>4</v>
      </c>
      <c r="B133" s="19">
        <v>34.200000000000003</v>
      </c>
      <c r="C133" s="19">
        <v>30.87</v>
      </c>
    </row>
    <row r="134" spans="1:6" ht="15" x14ac:dyDescent="0.25">
      <c r="A134" s="59">
        <v>5</v>
      </c>
      <c r="B134" s="19">
        <v>34.200000000000003</v>
      </c>
      <c r="C134" s="19">
        <v>32.549999999999997</v>
      </c>
    </row>
    <row r="135" spans="1:6" ht="15" x14ac:dyDescent="0.25">
      <c r="A135" s="59">
        <v>6</v>
      </c>
      <c r="B135" s="19">
        <v>34.200000000000003</v>
      </c>
      <c r="C135" s="19">
        <v>34.230000000000004</v>
      </c>
    </row>
    <row r="136" spans="1:6" ht="15" x14ac:dyDescent="0.25">
      <c r="A136" s="59">
        <v>7</v>
      </c>
      <c r="B136" s="19">
        <v>34.200000000000003</v>
      </c>
      <c r="C136" s="19">
        <v>35.910000000000004</v>
      </c>
    </row>
    <row r="137" spans="1:6" ht="15" x14ac:dyDescent="0.25">
      <c r="A137" s="59">
        <v>8</v>
      </c>
      <c r="B137" s="19">
        <v>34.200000000000003</v>
      </c>
      <c r="C137" s="19">
        <v>37.590000000000003</v>
      </c>
    </row>
    <row r="138" spans="1:6" ht="15" x14ac:dyDescent="0.25">
      <c r="A138" s="59">
        <v>9</v>
      </c>
      <c r="B138" s="19">
        <v>34.200000000000003</v>
      </c>
      <c r="C138" s="19">
        <v>39.27000000000001</v>
      </c>
    </row>
    <row r="139" spans="1:6" ht="15" x14ac:dyDescent="0.25">
      <c r="A139" s="59">
        <v>10</v>
      </c>
      <c r="B139" s="19">
        <v>34.200000000000003</v>
      </c>
      <c r="C139" s="19">
        <v>40.950000000000003</v>
      </c>
    </row>
    <row r="141" spans="1:6" ht="15" x14ac:dyDescent="0.25">
      <c r="A141" s="14" t="s">
        <v>67</v>
      </c>
    </row>
    <row r="142" spans="1:6" ht="15" x14ac:dyDescent="0.25">
      <c r="A142" s="16" t="str">
        <f>A126</f>
        <v>Price of Botrytis</v>
      </c>
      <c r="B142" s="19">
        <v>5.98</v>
      </c>
    </row>
    <row r="146" spans="1:13" ht="15.75" thickBot="1" x14ac:dyDescent="0.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</row>
    <row r="147" spans="1:13" ht="15.75" thickTop="1" x14ac:dyDescent="0.25"/>
    <row r="148" spans="1:13" ht="15" x14ac:dyDescent="0.25">
      <c r="A148" s="18" t="str">
        <f>A11</f>
        <v>Gamma (Risk aversion coefficient) 1/$</v>
      </c>
      <c r="B148" s="63">
        <f>B11</f>
        <v>0.01</v>
      </c>
    </row>
    <row r="150" spans="1:13" ht="15" x14ac:dyDescent="0.25">
      <c r="B150" s="1" t="s">
        <v>58</v>
      </c>
      <c r="C150" s="1" t="s">
        <v>39</v>
      </c>
      <c r="E150" s="18" t="s">
        <v>60</v>
      </c>
      <c r="F150" s="18"/>
    </row>
    <row r="151" spans="1:13" ht="15" x14ac:dyDescent="0.25">
      <c r="A151" s="58" t="s">
        <v>12</v>
      </c>
      <c r="B151" s="19">
        <f>B20</f>
        <v>34.199999999999996</v>
      </c>
      <c r="C151" s="19">
        <f>B39</f>
        <v>35.292938343424964</v>
      </c>
      <c r="D151" s="16" t="s">
        <v>64</v>
      </c>
      <c r="E151" s="18">
        <v>0.01</v>
      </c>
      <c r="F151" s="60">
        <v>25</v>
      </c>
    </row>
    <row r="152" spans="1:13" ht="15" x14ac:dyDescent="0.25">
      <c r="A152" s="64">
        <v>1E-3</v>
      </c>
      <c r="B152" s="19">
        <f t="dataTable" ref="B152:C171" dt2D="0" dtr="0" r1="B11" ca="1"/>
        <v>34.200000000000053</v>
      </c>
      <c r="C152" s="19">
        <v>37.350086785386992</v>
      </c>
      <c r="D152" s="67">
        <f>1/A152</f>
        <v>1000</v>
      </c>
      <c r="E152" s="66">
        <v>0.01</v>
      </c>
      <c r="F152" s="60">
        <v>40</v>
      </c>
    </row>
    <row r="153" spans="1:13" ht="15" x14ac:dyDescent="0.25">
      <c r="A153" s="64">
        <v>2E-3</v>
      </c>
      <c r="B153" s="19">
        <v>34.20000000000001</v>
      </c>
      <c r="C153" s="19">
        <v>37.112360187338837</v>
      </c>
      <c r="D153" s="67">
        <f t="shared" ref="D153:D171" si="13">1/A153</f>
        <v>500</v>
      </c>
    </row>
    <row r="154" spans="1:13" ht="15" x14ac:dyDescent="0.25">
      <c r="A154" s="64">
        <v>3.0000000000000001E-3</v>
      </c>
      <c r="B154" s="19">
        <v>34.199999999999996</v>
      </c>
      <c r="C154" s="19">
        <v>36.876856774177938</v>
      </c>
      <c r="D154" s="67">
        <f t="shared" si="13"/>
        <v>333.33333333333331</v>
      </c>
    </row>
    <row r="155" spans="1:13" ht="15" x14ac:dyDescent="0.25">
      <c r="A155" s="64">
        <v>4.0000000000000001E-3</v>
      </c>
      <c r="B155" s="19">
        <v>34.200000000000003</v>
      </c>
      <c r="C155" s="19">
        <v>36.64360962352751</v>
      </c>
      <c r="D155" s="67">
        <f t="shared" si="13"/>
        <v>250</v>
      </c>
    </row>
    <row r="156" spans="1:13" ht="15" x14ac:dyDescent="0.25">
      <c r="A156" s="64">
        <v>5.0000000000000001E-3</v>
      </c>
      <c r="B156" s="19">
        <v>34.20000000000001</v>
      </c>
      <c r="C156" s="19">
        <v>36.412648384681972</v>
      </c>
      <c r="D156" s="67">
        <f t="shared" si="13"/>
        <v>200</v>
      </c>
    </row>
    <row r="157" spans="1:13" ht="15" x14ac:dyDescent="0.25">
      <c r="A157" s="64">
        <v>6.0000000000000001E-3</v>
      </c>
      <c r="B157" s="19">
        <v>34.20000000000001</v>
      </c>
      <c r="C157" s="19">
        <v>36.183999350405564</v>
      </c>
      <c r="D157" s="67">
        <f t="shared" si="13"/>
        <v>166.66666666666666</v>
      </c>
    </row>
    <row r="158" spans="1:13" ht="15" x14ac:dyDescent="0.25">
      <c r="A158" s="64">
        <v>0.01</v>
      </c>
      <c r="B158" s="19">
        <v>34.199999999999996</v>
      </c>
      <c r="C158" s="19">
        <v>35.292938343424964</v>
      </c>
      <c r="D158" s="67">
        <f t="shared" si="13"/>
        <v>100</v>
      </c>
    </row>
    <row r="159" spans="1:13" ht="15" x14ac:dyDescent="0.25">
      <c r="A159" s="64">
        <v>1.4999999999999999E-2</v>
      </c>
      <c r="B159" s="19">
        <v>34.199999999999996</v>
      </c>
      <c r="C159" s="19">
        <v>34.232999163176096</v>
      </c>
      <c r="D159" s="67">
        <f t="shared" si="13"/>
        <v>66.666666666666671</v>
      </c>
    </row>
    <row r="160" spans="1:13" ht="15" x14ac:dyDescent="0.25">
      <c r="A160" s="64">
        <v>0.02</v>
      </c>
      <c r="B160" s="19">
        <v>34.200000000000003</v>
      </c>
      <c r="C160" s="19">
        <v>33.233233397061092</v>
      </c>
      <c r="D160" s="67">
        <f t="shared" si="13"/>
        <v>50</v>
      </c>
    </row>
    <row r="161" spans="1:6" ht="15" x14ac:dyDescent="0.25">
      <c r="A161" s="64">
        <v>2.5000000000000001E-2</v>
      </c>
      <c r="B161" s="19">
        <v>34.200000000000003</v>
      </c>
      <c r="C161" s="19">
        <v>32.292675036170216</v>
      </c>
      <c r="D161" s="67">
        <f t="shared" si="13"/>
        <v>40</v>
      </c>
    </row>
    <row r="162" spans="1:6" ht="15" x14ac:dyDescent="0.25">
      <c r="A162" s="65">
        <v>0.03</v>
      </c>
      <c r="B162" s="19">
        <v>34.20000000000001</v>
      </c>
      <c r="C162" s="19">
        <v>31.409351407050114</v>
      </c>
      <c r="D162" s="67">
        <f t="shared" si="13"/>
        <v>33.333333333333336</v>
      </c>
    </row>
    <row r="163" spans="1:6" ht="15" x14ac:dyDescent="0.25">
      <c r="A163" s="65">
        <v>0.04</v>
      </c>
      <c r="B163" s="19">
        <v>34.199999999999996</v>
      </c>
      <c r="C163" s="19">
        <v>29.803406122388104</v>
      </c>
      <c r="D163" s="67">
        <f t="shared" si="13"/>
        <v>25</v>
      </c>
    </row>
    <row r="164" spans="1:6" ht="15" x14ac:dyDescent="0.25">
      <c r="A164" s="65">
        <v>0.05</v>
      </c>
      <c r="B164" s="19">
        <v>34.20000000000001</v>
      </c>
      <c r="C164" s="19">
        <v>28.390622243930466</v>
      </c>
      <c r="D164" s="67">
        <f t="shared" si="13"/>
        <v>20</v>
      </c>
    </row>
    <row r="165" spans="1:6" ht="15" x14ac:dyDescent="0.25">
      <c r="A165" s="65">
        <v>0.1</v>
      </c>
      <c r="B165" s="19">
        <v>34.200000000000017</v>
      </c>
      <c r="C165" s="19">
        <v>23.420748850189526</v>
      </c>
      <c r="D165" s="67">
        <f t="shared" si="13"/>
        <v>10</v>
      </c>
    </row>
    <row r="166" spans="1:6" ht="15" x14ac:dyDescent="0.25">
      <c r="A166" s="65">
        <v>0.2</v>
      </c>
      <c r="B166" s="19">
        <v>34.199999999999818</v>
      </c>
      <c r="C166" s="19">
        <v>18.823530690723345</v>
      </c>
      <c r="D166" s="67">
        <f t="shared" si="13"/>
        <v>5</v>
      </c>
    </row>
    <row r="167" spans="1:6" ht="15" x14ac:dyDescent="0.25">
      <c r="A167" s="65">
        <v>0.3</v>
      </c>
      <c r="B167" s="19">
        <v>34.19999999999731</v>
      </c>
      <c r="C167" s="19">
        <v>16.904148541578309</v>
      </c>
      <c r="D167" s="67">
        <f t="shared" si="13"/>
        <v>3.3333333333333335</v>
      </c>
    </row>
    <row r="168" spans="1:6" ht="15" x14ac:dyDescent="0.25">
      <c r="A168" s="65">
        <v>0.5</v>
      </c>
      <c r="B168" s="19">
        <v>34.200000000174526</v>
      </c>
      <c r="C168" s="19">
        <v>15.307803095939045</v>
      </c>
      <c r="D168" s="67">
        <f t="shared" si="13"/>
        <v>2</v>
      </c>
      <c r="E168" s="66" t="s">
        <v>60</v>
      </c>
      <c r="F168" s="18"/>
    </row>
    <row r="169" spans="1:6" ht="15" x14ac:dyDescent="0.25">
      <c r="A169" s="65">
        <v>0.8</v>
      </c>
      <c r="B169" s="19">
        <v>34.200017487581569</v>
      </c>
      <c r="C169" s="19">
        <v>14.404965520364321</v>
      </c>
      <c r="D169" s="67">
        <f t="shared" si="13"/>
        <v>1.25</v>
      </c>
      <c r="E169" s="66">
        <f>1/B148</f>
        <v>100</v>
      </c>
      <c r="F169" s="60">
        <v>36</v>
      </c>
    </row>
    <row r="170" spans="1:6" ht="15" x14ac:dyDescent="0.25">
      <c r="A170" s="65">
        <v>0.9</v>
      </c>
      <c r="B170" s="19">
        <v>34.201070222458078</v>
      </c>
      <c r="C170" s="19">
        <v>14.237747482975436</v>
      </c>
      <c r="D170" s="67">
        <f t="shared" si="13"/>
        <v>1.1111111111111112</v>
      </c>
      <c r="E170" s="66">
        <f>E169</f>
        <v>100</v>
      </c>
      <c r="F170" s="60">
        <v>14</v>
      </c>
    </row>
    <row r="171" spans="1:6" ht="15" x14ac:dyDescent="0.25">
      <c r="A171" s="65">
        <v>1</v>
      </c>
      <c r="B171" s="19">
        <v>34.171851212215564</v>
      </c>
      <c r="C171" s="19">
        <v>14.103972791886983</v>
      </c>
      <c r="D171" s="67">
        <f t="shared" si="13"/>
        <v>1</v>
      </c>
    </row>
    <row r="173" spans="1:6" ht="15" x14ac:dyDescent="0.25">
      <c r="A173" s="14" t="s">
        <v>67</v>
      </c>
    </row>
    <row r="174" spans="1:6" ht="15" x14ac:dyDescent="0.25">
      <c r="A174" s="18" t="str">
        <f>A148</f>
        <v>Gamma (Risk aversion coefficient) 1/$</v>
      </c>
      <c r="B174" s="18">
        <v>1.515E-2</v>
      </c>
    </row>
    <row r="175" spans="1:6" ht="15" x14ac:dyDescent="0.25">
      <c r="A175" s="18" t="s">
        <v>68</v>
      </c>
      <c r="B175" s="71">
        <f>1/B174</f>
        <v>66.006600660065999</v>
      </c>
    </row>
    <row r="186" spans="1:13" ht="15.75" thickBot="1" x14ac:dyDescent="0.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</row>
    <row r="187" spans="1:13" ht="15.75" thickTop="1" x14ac:dyDescent="0.25"/>
    <row r="188" spans="1:13" ht="15" x14ac:dyDescent="0.25">
      <c r="A188" s="18" t="s">
        <v>41</v>
      </c>
      <c r="B188" s="60">
        <f>B9</f>
        <v>1</v>
      </c>
    </row>
    <row r="190" spans="1:13" ht="15" x14ac:dyDescent="0.25">
      <c r="B190" s="69" t="s">
        <v>58</v>
      </c>
      <c r="C190" s="69" t="s">
        <v>39</v>
      </c>
      <c r="D190" s="66" t="s">
        <v>60</v>
      </c>
      <c r="E190" s="18"/>
    </row>
    <row r="191" spans="1:13" ht="15" x14ac:dyDescent="0.25">
      <c r="A191" s="18"/>
      <c r="B191" s="19">
        <f>B52</f>
        <v>34.200000000000003</v>
      </c>
      <c r="C191" s="19">
        <f>B69</f>
        <v>37.590000000000003</v>
      </c>
      <c r="D191" s="70">
        <f>B188</f>
        <v>1</v>
      </c>
      <c r="E191" s="60">
        <v>30</v>
      </c>
    </row>
    <row r="192" spans="1:13" ht="15" x14ac:dyDescent="0.25">
      <c r="A192" s="19">
        <v>0</v>
      </c>
      <c r="B192" s="19">
        <f t="dataTable" ref="B192:C202" dt2D="0" dtr="0" r1="B9" ca="1"/>
        <v>34.200000000000003</v>
      </c>
      <c r="C192" s="19">
        <v>35.910000000000004</v>
      </c>
      <c r="D192" s="70">
        <f>B188</f>
        <v>1</v>
      </c>
      <c r="E192" s="60">
        <v>45</v>
      </c>
    </row>
    <row r="193" spans="1:13" ht="15" x14ac:dyDescent="0.25">
      <c r="A193" s="19">
        <v>0.5</v>
      </c>
      <c r="B193" s="19">
        <v>34.200000000000003</v>
      </c>
      <c r="C193" s="19">
        <v>36.75</v>
      </c>
    </row>
    <row r="194" spans="1:13" ht="15" x14ac:dyDescent="0.25">
      <c r="A194" s="19">
        <v>1</v>
      </c>
      <c r="B194" s="19">
        <v>34.200000000000003</v>
      </c>
      <c r="C194" s="19">
        <v>37.590000000000003</v>
      </c>
    </row>
    <row r="195" spans="1:13" ht="15" x14ac:dyDescent="0.25">
      <c r="A195" s="19">
        <v>1.5</v>
      </c>
      <c r="B195" s="19">
        <v>34.200000000000003</v>
      </c>
      <c r="C195" s="19">
        <v>38.430000000000007</v>
      </c>
    </row>
    <row r="196" spans="1:13" ht="15" x14ac:dyDescent="0.25">
      <c r="A196" s="19">
        <v>2</v>
      </c>
      <c r="B196" s="19">
        <v>34.200000000000003</v>
      </c>
      <c r="C196" s="19">
        <v>39.270000000000003</v>
      </c>
    </row>
    <row r="197" spans="1:13" ht="15" x14ac:dyDescent="0.25">
      <c r="A197" s="19">
        <v>2.5</v>
      </c>
      <c r="B197" s="19">
        <v>34.200000000000003</v>
      </c>
      <c r="C197" s="19">
        <v>40.11</v>
      </c>
    </row>
    <row r="198" spans="1:13" ht="15" x14ac:dyDescent="0.25">
      <c r="A198" s="19">
        <v>3</v>
      </c>
      <c r="B198" s="19">
        <v>34.200000000000003</v>
      </c>
      <c r="C198" s="19">
        <v>40.950000000000003</v>
      </c>
    </row>
    <row r="199" spans="1:13" ht="15" x14ac:dyDescent="0.25">
      <c r="A199" s="19">
        <v>3.5</v>
      </c>
      <c r="B199" s="19">
        <v>34.200000000000003</v>
      </c>
      <c r="C199" s="19">
        <v>41.790000000000006</v>
      </c>
    </row>
    <row r="200" spans="1:13" ht="15" x14ac:dyDescent="0.25">
      <c r="A200" s="19">
        <v>4</v>
      </c>
      <c r="B200" s="19">
        <v>34.200000000000003</v>
      </c>
      <c r="C200" s="19">
        <v>42.63000000000001</v>
      </c>
    </row>
    <row r="201" spans="1:13" ht="15" x14ac:dyDescent="0.25">
      <c r="A201" s="19">
        <v>4.5</v>
      </c>
      <c r="B201" s="19">
        <v>34.200000000000003</v>
      </c>
      <c r="C201" s="19">
        <v>43.47</v>
      </c>
    </row>
    <row r="202" spans="1:13" ht="15" x14ac:dyDescent="0.25">
      <c r="A202" s="19">
        <v>5</v>
      </c>
      <c r="B202" s="19">
        <v>34.200000000000003</v>
      </c>
      <c r="C202" s="19">
        <v>44.31</v>
      </c>
    </row>
    <row r="204" spans="1:13" ht="15" x14ac:dyDescent="0.25">
      <c r="A204" s="18" t="s">
        <v>67</v>
      </c>
      <c r="B204" s="20"/>
    </row>
    <row r="205" spans="1:13" ht="15" x14ac:dyDescent="0.25">
      <c r="A205" s="18" t="str">
        <f>A188</f>
        <v>Repuation per bottle for superior wine</v>
      </c>
      <c r="B205" s="18" t="s">
        <v>34</v>
      </c>
    </row>
    <row r="208" spans="1:13" ht="15.75" thickBot="1" x14ac:dyDescent="0.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</row>
    <row r="209" spans="1:5" ht="15.75" thickTop="1" x14ac:dyDescent="0.25"/>
    <row r="210" spans="1:5" ht="15" x14ac:dyDescent="0.25">
      <c r="A210" s="18" t="s">
        <v>42</v>
      </c>
      <c r="B210" s="60">
        <f>B10</f>
        <v>-1.5</v>
      </c>
    </row>
    <row r="212" spans="1:5" ht="15" x14ac:dyDescent="0.25">
      <c r="B212" s="69" t="s">
        <v>58</v>
      </c>
      <c r="C212" s="69" t="s">
        <v>39</v>
      </c>
      <c r="D212" s="66" t="s">
        <v>60</v>
      </c>
      <c r="E212" s="18"/>
    </row>
    <row r="213" spans="1:5" ht="15" x14ac:dyDescent="0.25">
      <c r="A213" s="18"/>
      <c r="B213" s="19">
        <f>B52</f>
        <v>34.200000000000003</v>
      </c>
      <c r="C213" s="19">
        <f>B69</f>
        <v>37.590000000000003</v>
      </c>
      <c r="D213" s="70">
        <f>B210</f>
        <v>-1.5</v>
      </c>
      <c r="E213" s="60">
        <v>30</v>
      </c>
    </row>
    <row r="214" spans="1:5" ht="15" x14ac:dyDescent="0.25">
      <c r="A214" s="19">
        <v>0</v>
      </c>
      <c r="B214" s="19">
        <f t="dataTable" ref="B214:C224" dt2D="0" dtr="0" r1="B210" ca="1"/>
        <v>34.200000000000003</v>
      </c>
      <c r="C214" s="19">
        <v>37.590000000000003</v>
      </c>
      <c r="D214" s="70">
        <f>B210</f>
        <v>-1.5</v>
      </c>
      <c r="E214" s="60">
        <v>45</v>
      </c>
    </row>
    <row r="215" spans="1:5" ht="15" x14ac:dyDescent="0.25">
      <c r="A215" s="19">
        <v>-0.5</v>
      </c>
      <c r="B215" s="19">
        <v>34.200000000000003</v>
      </c>
      <c r="C215" s="19">
        <v>37.590000000000003</v>
      </c>
    </row>
    <row r="216" spans="1:5" ht="15" x14ac:dyDescent="0.25">
      <c r="A216" s="19">
        <v>-1</v>
      </c>
      <c r="B216" s="19">
        <v>34.200000000000003</v>
      </c>
      <c r="C216" s="19">
        <v>37.590000000000003</v>
      </c>
    </row>
    <row r="217" spans="1:5" ht="15" x14ac:dyDescent="0.25">
      <c r="A217" s="19">
        <v>-1.5</v>
      </c>
      <c r="B217" s="19">
        <v>34.200000000000003</v>
      </c>
      <c r="C217" s="19">
        <v>37.590000000000003</v>
      </c>
    </row>
    <row r="218" spans="1:5" ht="15" x14ac:dyDescent="0.25">
      <c r="A218" s="19">
        <v>-2</v>
      </c>
      <c r="B218" s="19">
        <v>34.200000000000003</v>
      </c>
      <c r="C218" s="19">
        <v>37.590000000000003</v>
      </c>
    </row>
    <row r="219" spans="1:5" ht="15" x14ac:dyDescent="0.25">
      <c r="A219" s="19">
        <v>-2.5</v>
      </c>
      <c r="B219" s="19">
        <v>34.200000000000003</v>
      </c>
      <c r="C219" s="19">
        <v>37.590000000000003</v>
      </c>
    </row>
    <row r="220" spans="1:5" ht="15" x14ac:dyDescent="0.25">
      <c r="A220" s="19">
        <v>-3</v>
      </c>
      <c r="B220" s="19">
        <v>34.200000000000003</v>
      </c>
      <c r="C220" s="19">
        <v>37.590000000000003</v>
      </c>
    </row>
    <row r="221" spans="1:5" ht="15" x14ac:dyDescent="0.25">
      <c r="A221" s="19">
        <v>-3.5</v>
      </c>
      <c r="B221" s="19">
        <v>34.200000000000003</v>
      </c>
      <c r="C221" s="19">
        <v>37.590000000000003</v>
      </c>
    </row>
    <row r="222" spans="1:5" ht="15" x14ac:dyDescent="0.25">
      <c r="A222" s="19">
        <v>-4</v>
      </c>
      <c r="B222" s="19">
        <v>34.200000000000003</v>
      </c>
      <c r="C222" s="19">
        <v>37.590000000000003</v>
      </c>
    </row>
    <row r="223" spans="1:5" ht="15" x14ac:dyDescent="0.25">
      <c r="A223" s="19">
        <v>-4.5</v>
      </c>
      <c r="B223" s="19">
        <v>34.200000000000003</v>
      </c>
      <c r="C223" s="19">
        <v>37.590000000000003</v>
      </c>
    </row>
    <row r="224" spans="1:5" ht="15" x14ac:dyDescent="0.25">
      <c r="A224" s="19">
        <v>-5</v>
      </c>
      <c r="B224" s="19">
        <v>34.200000000000003</v>
      </c>
      <c r="C224" s="19">
        <v>37.590000000000003</v>
      </c>
    </row>
    <row r="226" spans="1:5" ht="15" x14ac:dyDescent="0.25">
      <c r="B226" s="69" t="s">
        <v>66</v>
      </c>
      <c r="C226" s="69" t="s">
        <v>26</v>
      </c>
      <c r="D226" s="66" t="s">
        <v>60</v>
      </c>
      <c r="E226" s="18"/>
    </row>
    <row r="227" spans="1:5" ht="15" x14ac:dyDescent="0.25">
      <c r="A227" s="18"/>
      <c r="B227" s="19">
        <f>F60</f>
        <v>6.4499999999999993</v>
      </c>
      <c r="C227" s="19">
        <f>F67</f>
        <v>12.9</v>
      </c>
      <c r="D227" s="70">
        <f>B210</f>
        <v>-1.5</v>
      </c>
      <c r="E227" s="60">
        <v>-40</v>
      </c>
    </row>
    <row r="228" spans="1:5" ht="15" x14ac:dyDescent="0.25">
      <c r="A228" s="19">
        <v>0</v>
      </c>
      <c r="B228" s="19">
        <f t="dataTable" ref="B228:C238" dt2D="0" dtr="0" r1="B10" ca="1"/>
        <v>25.8</v>
      </c>
      <c r="C228" s="19">
        <v>12.9</v>
      </c>
      <c r="D228" s="70">
        <f>B210</f>
        <v>-1.5</v>
      </c>
      <c r="E228" s="60">
        <v>30</v>
      </c>
    </row>
    <row r="229" spans="1:5" ht="15" x14ac:dyDescent="0.25">
      <c r="A229" s="19">
        <v>-0.5</v>
      </c>
      <c r="B229" s="19">
        <v>19.350000000000001</v>
      </c>
      <c r="C229" s="19">
        <v>12.9</v>
      </c>
    </row>
    <row r="230" spans="1:5" ht="15" x14ac:dyDescent="0.25">
      <c r="A230" s="19">
        <v>-1</v>
      </c>
      <c r="B230" s="19">
        <v>12.9</v>
      </c>
      <c r="C230" s="19">
        <v>12.9</v>
      </c>
    </row>
    <row r="231" spans="1:5" ht="15" x14ac:dyDescent="0.25">
      <c r="A231" s="19">
        <v>-1.5</v>
      </c>
      <c r="B231" s="19">
        <v>6.4499999999999993</v>
      </c>
      <c r="C231" s="19">
        <v>12.9</v>
      </c>
    </row>
    <row r="232" spans="1:5" ht="15" x14ac:dyDescent="0.25">
      <c r="A232" s="19">
        <v>-2</v>
      </c>
      <c r="B232" s="19">
        <v>0</v>
      </c>
      <c r="C232" s="19">
        <v>12.9</v>
      </c>
    </row>
    <row r="233" spans="1:5" ht="15" x14ac:dyDescent="0.25">
      <c r="A233" s="19">
        <v>-2.5</v>
      </c>
      <c r="B233" s="19">
        <v>-6.4499999999999993</v>
      </c>
      <c r="C233" s="19">
        <v>12.9</v>
      </c>
    </row>
    <row r="234" spans="1:5" ht="15" x14ac:dyDescent="0.25">
      <c r="A234" s="19">
        <v>-3</v>
      </c>
      <c r="B234" s="19">
        <v>-12.900000000000002</v>
      </c>
      <c r="C234" s="19">
        <v>12.9</v>
      </c>
    </row>
    <row r="235" spans="1:5" ht="15" x14ac:dyDescent="0.25">
      <c r="A235" s="19">
        <v>-3.5</v>
      </c>
      <c r="B235" s="19">
        <v>-19.349999999999998</v>
      </c>
      <c r="C235" s="19">
        <v>12.9</v>
      </c>
    </row>
    <row r="236" spans="1:5" ht="15" x14ac:dyDescent="0.25">
      <c r="A236" s="19">
        <v>-4</v>
      </c>
      <c r="B236" s="19">
        <v>-25.8</v>
      </c>
      <c r="C236" s="19">
        <v>12.9</v>
      </c>
    </row>
    <row r="237" spans="1:5" ht="15" x14ac:dyDescent="0.25">
      <c r="A237" s="19">
        <v>-4.5</v>
      </c>
      <c r="B237" s="19">
        <v>-32.25</v>
      </c>
      <c r="C237" s="19">
        <v>12.9</v>
      </c>
    </row>
    <row r="238" spans="1:5" ht="15" x14ac:dyDescent="0.25">
      <c r="A238" s="19">
        <v>-5</v>
      </c>
      <c r="B238" s="19">
        <v>-38.700000000000003</v>
      </c>
      <c r="C238" s="19">
        <v>12.9</v>
      </c>
    </row>
    <row r="240" spans="1:5" ht="15" x14ac:dyDescent="0.25">
      <c r="A240" s="18" t="s">
        <v>71</v>
      </c>
      <c r="B240" s="20"/>
    </row>
    <row r="241" spans="1:13" ht="15" x14ac:dyDescent="0.25">
      <c r="A241" s="18" t="str">
        <f>A210</f>
        <v>Repuation per bottle for inferior wine</v>
      </c>
      <c r="B241" s="18" t="s">
        <v>34</v>
      </c>
    </row>
    <row r="243" spans="1:13" ht="15" x14ac:dyDescent="0.25">
      <c r="A243" s="18" t="s">
        <v>72</v>
      </c>
      <c r="B243" s="20"/>
    </row>
    <row r="244" spans="1:13" ht="15" x14ac:dyDescent="0.25">
      <c r="A244" s="18" t="str">
        <f>A241</f>
        <v>Repuation per bottle for inferior wine</v>
      </c>
      <c r="B244" s="19">
        <v>-1</v>
      </c>
    </row>
    <row r="246" spans="1:13" ht="15.75" thickBot="1" x14ac:dyDescent="0.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</row>
    <row r="247" spans="1:13" ht="15.75" thickTop="1" x14ac:dyDescent="0.25"/>
    <row r="248" spans="1:13" ht="15" x14ac:dyDescent="0.25">
      <c r="A248" s="18" t="s">
        <v>30</v>
      </c>
      <c r="B248" s="72">
        <f>B7</f>
        <v>7.4999999999999997E-2</v>
      </c>
    </row>
    <row r="250" spans="1:13" ht="15" x14ac:dyDescent="0.25">
      <c r="B250" s="69" t="s">
        <v>58</v>
      </c>
      <c r="C250" s="69" t="s">
        <v>39</v>
      </c>
      <c r="D250" s="66" t="s">
        <v>60</v>
      </c>
      <c r="E250" s="18"/>
    </row>
    <row r="251" spans="1:13" ht="15" x14ac:dyDescent="0.25">
      <c r="A251" s="16"/>
      <c r="B251" s="19">
        <f>B52</f>
        <v>34.200000000000003</v>
      </c>
      <c r="C251" s="19">
        <f>B69</f>
        <v>37.590000000000003</v>
      </c>
      <c r="D251" s="74">
        <f>B248</f>
        <v>7.4999999999999997E-2</v>
      </c>
      <c r="E251" s="60">
        <v>30</v>
      </c>
    </row>
    <row r="252" spans="1:13" ht="15" x14ac:dyDescent="0.25">
      <c r="A252" s="73">
        <v>0.05</v>
      </c>
      <c r="B252" s="19">
        <f t="dataTable" ref="B252:C262" dt2D="0" dtr="0" r1="B7" ca="1"/>
        <v>34.200000000000003</v>
      </c>
      <c r="C252" s="19">
        <v>37.5</v>
      </c>
      <c r="D252" s="74">
        <f>B248</f>
        <v>7.4999999999999997E-2</v>
      </c>
      <c r="E252" s="60">
        <v>40</v>
      </c>
    </row>
    <row r="253" spans="1:13" ht="15" x14ac:dyDescent="0.25">
      <c r="A253" s="73">
        <v>5.5E-2</v>
      </c>
      <c r="B253" s="19">
        <v>34.200000000000003</v>
      </c>
      <c r="C253" s="19">
        <v>37.518000000000001</v>
      </c>
    </row>
    <row r="254" spans="1:13" ht="15" x14ac:dyDescent="0.25">
      <c r="A254" s="73">
        <v>0.06</v>
      </c>
      <c r="B254" s="19">
        <v>34.200000000000003</v>
      </c>
      <c r="C254" s="19">
        <v>37.536000000000001</v>
      </c>
    </row>
    <row r="255" spans="1:13" ht="15" x14ac:dyDescent="0.25">
      <c r="A255" s="73">
        <v>6.5000000000000002E-2</v>
      </c>
      <c r="B255" s="19">
        <v>34.200000000000003</v>
      </c>
      <c r="C255" s="19">
        <v>37.554000000000002</v>
      </c>
    </row>
    <row r="256" spans="1:13" ht="15" x14ac:dyDescent="0.25">
      <c r="A256" s="73">
        <v>7.0000000000000007E-2</v>
      </c>
      <c r="B256" s="19">
        <v>34.200000000000003</v>
      </c>
      <c r="C256" s="19">
        <v>37.572000000000003</v>
      </c>
    </row>
    <row r="257" spans="1:13" ht="15" x14ac:dyDescent="0.25">
      <c r="A257" s="73">
        <v>7.4999999999999997E-2</v>
      </c>
      <c r="B257" s="19">
        <v>34.200000000000003</v>
      </c>
      <c r="C257" s="19">
        <v>37.590000000000003</v>
      </c>
    </row>
    <row r="258" spans="1:13" ht="15" x14ac:dyDescent="0.25">
      <c r="A258" s="73">
        <v>0.08</v>
      </c>
      <c r="B258" s="19">
        <v>34.200000000000003</v>
      </c>
      <c r="C258" s="19">
        <v>37.608000000000004</v>
      </c>
    </row>
    <row r="259" spans="1:13" ht="15" x14ac:dyDescent="0.25">
      <c r="A259" s="73">
        <v>8.5000000000000006E-2</v>
      </c>
      <c r="B259" s="19">
        <v>34.200000000000003</v>
      </c>
      <c r="C259" s="19">
        <v>37.626000000000005</v>
      </c>
    </row>
    <row r="260" spans="1:13" ht="15" x14ac:dyDescent="0.25">
      <c r="A260" s="73">
        <v>0.09</v>
      </c>
      <c r="B260" s="19">
        <v>34.200000000000003</v>
      </c>
      <c r="C260" s="19">
        <v>37.644000000000005</v>
      </c>
    </row>
    <row r="261" spans="1:13" ht="15" x14ac:dyDescent="0.25">
      <c r="A261" s="73">
        <v>9.5000000000000001E-2</v>
      </c>
      <c r="B261" s="19">
        <v>34.200000000000003</v>
      </c>
      <c r="C261" s="19">
        <v>37.662000000000006</v>
      </c>
    </row>
    <row r="262" spans="1:13" ht="15" x14ac:dyDescent="0.25">
      <c r="A262" s="73">
        <v>0.1</v>
      </c>
      <c r="B262" s="19">
        <v>34.200000000000003</v>
      </c>
      <c r="C262" s="19">
        <v>37.680000000000007</v>
      </c>
    </row>
    <row r="264" spans="1:13" ht="15" x14ac:dyDescent="0.25">
      <c r="A264" s="18" t="s">
        <v>71</v>
      </c>
      <c r="B264" s="20"/>
    </row>
    <row r="265" spans="1:13" ht="15" x14ac:dyDescent="0.25">
      <c r="A265" s="18" t="str">
        <f>A248</f>
        <v>Swelling due to water</v>
      </c>
      <c r="B265" s="18" t="s">
        <v>34</v>
      </c>
    </row>
    <row r="269" spans="1:13" ht="15.75" thickBot="1" x14ac:dyDescent="0.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</row>
    <row r="270" spans="1:13" ht="15.75" thickTop="1" x14ac:dyDescent="0.25"/>
    <row r="271" spans="1:13" ht="15" x14ac:dyDescent="0.25">
      <c r="A271" s="18" t="str">
        <f>D5</f>
        <v>Not-quite-ripe</v>
      </c>
      <c r="B271" s="60">
        <f>F5</f>
        <v>2.85</v>
      </c>
    </row>
    <row r="273" spans="1:5" ht="15" x14ac:dyDescent="0.25">
      <c r="B273" s="69" t="s">
        <v>58</v>
      </c>
      <c r="C273" s="69" t="s">
        <v>39</v>
      </c>
      <c r="D273" s="66" t="s">
        <v>60</v>
      </c>
      <c r="E273" s="18"/>
    </row>
    <row r="274" spans="1:5" ht="15" x14ac:dyDescent="0.25">
      <c r="A274" s="16"/>
      <c r="B274" s="19">
        <f>B52</f>
        <v>34.200000000000003</v>
      </c>
      <c r="C274" s="19">
        <f>B69</f>
        <v>37.590000000000003</v>
      </c>
      <c r="D274" s="19">
        <f>B271</f>
        <v>2.85</v>
      </c>
      <c r="E274" s="60">
        <v>0</v>
      </c>
    </row>
    <row r="275" spans="1:5" ht="15" x14ac:dyDescent="0.25">
      <c r="A275" s="19">
        <v>0</v>
      </c>
      <c r="B275" s="19">
        <f t="dataTable" ref="B275:C285" dt2D="0" dtr="0" r1="F5"/>
        <v>0</v>
      </c>
      <c r="C275" s="19">
        <v>37.590000000000003</v>
      </c>
      <c r="D275" s="19">
        <f>B271</f>
        <v>2.85</v>
      </c>
      <c r="E275" s="60">
        <v>60</v>
      </c>
    </row>
    <row r="276" spans="1:5" ht="15" x14ac:dyDescent="0.25">
      <c r="A276" s="19">
        <v>0.5</v>
      </c>
      <c r="B276" s="19">
        <v>6</v>
      </c>
      <c r="C276" s="19">
        <v>37.590000000000003</v>
      </c>
    </row>
    <row r="277" spans="1:5" ht="15" x14ac:dyDescent="0.25">
      <c r="A277" s="19">
        <v>1</v>
      </c>
      <c r="B277" s="19">
        <v>12</v>
      </c>
      <c r="C277" s="19">
        <v>37.590000000000003</v>
      </c>
    </row>
    <row r="278" spans="1:5" ht="15" x14ac:dyDescent="0.25">
      <c r="A278" s="19">
        <v>1.5</v>
      </c>
      <c r="B278" s="19">
        <v>18</v>
      </c>
      <c r="C278" s="19">
        <v>37.590000000000003</v>
      </c>
    </row>
    <row r="279" spans="1:5" ht="15" x14ac:dyDescent="0.25">
      <c r="A279" s="19">
        <v>2</v>
      </c>
      <c r="B279" s="19">
        <v>24</v>
      </c>
      <c r="C279" s="19">
        <v>37.590000000000003</v>
      </c>
    </row>
    <row r="280" spans="1:5" ht="15" x14ac:dyDescent="0.25">
      <c r="A280" s="19">
        <v>2.5</v>
      </c>
      <c r="B280" s="19">
        <v>30</v>
      </c>
      <c r="C280" s="19">
        <v>37.590000000000003</v>
      </c>
    </row>
    <row r="281" spans="1:5" ht="15" x14ac:dyDescent="0.25">
      <c r="A281" s="19">
        <v>3</v>
      </c>
      <c r="B281" s="19">
        <v>36</v>
      </c>
      <c r="C281" s="19">
        <v>37.590000000000003</v>
      </c>
    </row>
    <row r="282" spans="1:5" ht="15" x14ac:dyDescent="0.25">
      <c r="A282" s="19">
        <v>3.5</v>
      </c>
      <c r="B282" s="19">
        <v>42</v>
      </c>
      <c r="C282" s="19">
        <v>37.590000000000003</v>
      </c>
    </row>
    <row r="283" spans="1:5" ht="15" x14ac:dyDescent="0.25">
      <c r="A283" s="19">
        <v>4</v>
      </c>
      <c r="B283" s="19">
        <v>48</v>
      </c>
      <c r="C283" s="19">
        <v>37.590000000000003</v>
      </c>
    </row>
    <row r="284" spans="1:5" ht="15" x14ac:dyDescent="0.25">
      <c r="A284" s="19">
        <v>4.5</v>
      </c>
      <c r="B284" s="19">
        <v>54</v>
      </c>
      <c r="C284" s="19">
        <v>37.590000000000003</v>
      </c>
    </row>
    <row r="285" spans="1:5" ht="15" x14ac:dyDescent="0.25">
      <c r="A285" s="19">
        <v>5</v>
      </c>
      <c r="B285" s="19">
        <v>60</v>
      </c>
      <c r="C285" s="19">
        <v>37.590000000000003</v>
      </c>
    </row>
    <row r="287" spans="1:5" ht="15" x14ac:dyDescent="0.25">
      <c r="A287" s="18" t="s">
        <v>67</v>
      </c>
      <c r="B287" s="20"/>
    </row>
    <row r="288" spans="1:5" ht="15" x14ac:dyDescent="0.25">
      <c r="A288" s="18" t="str">
        <f>A271</f>
        <v>Not-quite-ripe</v>
      </c>
      <c r="B288" s="19">
        <v>3.13</v>
      </c>
    </row>
    <row r="292" spans="1:13" ht="15.75" thickBot="1" x14ac:dyDescent="0.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</row>
    <row r="293" spans="1:13" ht="15.75" thickTop="1" x14ac:dyDescent="0.25"/>
    <row r="294" spans="1:13" ht="15" x14ac:dyDescent="0.25">
      <c r="A294" s="14" t="s">
        <v>73</v>
      </c>
    </row>
    <row r="295" spans="1:13" x14ac:dyDescent="0.3">
      <c r="D295" s="23"/>
    </row>
    <row r="296" spans="1:13" x14ac:dyDescent="0.3">
      <c r="A296" s="18" t="s">
        <v>79</v>
      </c>
      <c r="B296" s="16" t="s">
        <v>80</v>
      </c>
      <c r="C296" s="77" t="s">
        <v>78</v>
      </c>
      <c r="D296" s="16" t="s">
        <v>89</v>
      </c>
      <c r="E296" s="16" t="s">
        <v>81</v>
      </c>
      <c r="F296" s="16" t="s">
        <v>76</v>
      </c>
      <c r="G296" s="16" t="s">
        <v>77</v>
      </c>
    </row>
    <row r="297" spans="1:13" x14ac:dyDescent="0.3">
      <c r="A297" s="18" t="str">
        <f>A84</f>
        <v>P(Storm)</v>
      </c>
      <c r="B297" s="16">
        <f>B84</f>
        <v>0.5</v>
      </c>
      <c r="C297" s="77" t="s">
        <v>34</v>
      </c>
      <c r="D297" s="75" t="str">
        <f t="shared" ref="D297:D305" si="14">IF(AND(ISNUMBER(B297),ISNUMBER(C297)),(C297-B297)/B297,"NA")</f>
        <v>NA</v>
      </c>
      <c r="E297" s="16" t="s">
        <v>39</v>
      </c>
      <c r="F297" s="16" t="s">
        <v>39</v>
      </c>
      <c r="G297" s="16" t="s">
        <v>39</v>
      </c>
    </row>
    <row r="298" spans="1:13" x14ac:dyDescent="0.3">
      <c r="A298" s="18" t="str">
        <f>A104</f>
        <v>P(Botrytis)</v>
      </c>
      <c r="B298" s="16">
        <f>B104</f>
        <v>0.4</v>
      </c>
      <c r="C298" s="77">
        <f>B121</f>
        <v>0.29199999999999998</v>
      </c>
      <c r="D298" s="80">
        <f t="shared" si="14"/>
        <v>-0.27000000000000007</v>
      </c>
      <c r="E298" s="16" t="s">
        <v>39</v>
      </c>
      <c r="F298" s="16" t="s">
        <v>58</v>
      </c>
      <c r="G298" s="16" t="s">
        <v>39</v>
      </c>
    </row>
    <row r="299" spans="1:13" x14ac:dyDescent="0.3">
      <c r="A299" s="18" t="str">
        <f>A126</f>
        <v>Price of Botrytis</v>
      </c>
      <c r="B299" s="19">
        <f>B126</f>
        <v>8</v>
      </c>
      <c r="C299" s="78">
        <f>B142</f>
        <v>5.98</v>
      </c>
      <c r="D299" s="80">
        <f t="shared" si="14"/>
        <v>-0.25249999999999995</v>
      </c>
      <c r="E299" s="16" t="s">
        <v>39</v>
      </c>
      <c r="F299" s="16" t="s">
        <v>58</v>
      </c>
      <c r="G299" s="16" t="s">
        <v>39</v>
      </c>
    </row>
    <row r="300" spans="1:13" x14ac:dyDescent="0.3">
      <c r="A300" s="18" t="str">
        <f>A188</f>
        <v>Repuation per bottle for superior wine</v>
      </c>
      <c r="B300" s="19">
        <f>B9</f>
        <v>1</v>
      </c>
      <c r="C300" s="77" t="s">
        <v>34</v>
      </c>
      <c r="D300" s="80" t="str">
        <f t="shared" si="14"/>
        <v>NA</v>
      </c>
      <c r="E300" s="16" t="s">
        <v>39</v>
      </c>
      <c r="F300" s="16" t="s">
        <v>39</v>
      </c>
      <c r="G300" s="16" t="s">
        <v>39</v>
      </c>
    </row>
    <row r="301" spans="1:13" x14ac:dyDescent="0.3">
      <c r="A301" s="18" t="str">
        <f>A210</f>
        <v>Repuation per bottle for inferior wine</v>
      </c>
      <c r="B301" s="19">
        <f>B10</f>
        <v>-1.5</v>
      </c>
      <c r="C301" s="77" t="s">
        <v>34</v>
      </c>
      <c r="D301" s="80" t="str">
        <f t="shared" si="14"/>
        <v>NA</v>
      </c>
      <c r="E301" s="16" t="s">
        <v>39</v>
      </c>
      <c r="F301" s="16" t="s">
        <v>39</v>
      </c>
      <c r="G301" s="16" t="s">
        <v>39</v>
      </c>
    </row>
    <row r="302" spans="1:13" x14ac:dyDescent="0.3">
      <c r="A302" s="18" t="str">
        <f>A248</f>
        <v>Swelling due to water</v>
      </c>
      <c r="B302" s="75">
        <f>B7</f>
        <v>7.4999999999999997E-2</v>
      </c>
      <c r="C302" s="77" t="s">
        <v>34</v>
      </c>
      <c r="D302" s="80" t="str">
        <f t="shared" si="14"/>
        <v>NA</v>
      </c>
      <c r="E302" s="16" t="s">
        <v>39</v>
      </c>
      <c r="F302" s="16" t="s">
        <v>39</v>
      </c>
      <c r="G302" s="16" t="s">
        <v>39</v>
      </c>
    </row>
    <row r="303" spans="1:13" x14ac:dyDescent="0.3">
      <c r="A303" s="18" t="s">
        <v>75</v>
      </c>
      <c r="B303" s="19">
        <f>F5</f>
        <v>2.85</v>
      </c>
      <c r="C303" s="78">
        <f>B288</f>
        <v>3.13</v>
      </c>
      <c r="D303" s="80">
        <f t="shared" si="14"/>
        <v>9.824561403508765E-2</v>
      </c>
      <c r="E303" s="16" t="s">
        <v>39</v>
      </c>
      <c r="F303" s="16" t="s">
        <v>39</v>
      </c>
      <c r="G303" s="16" t="s">
        <v>58</v>
      </c>
    </row>
    <row r="304" spans="1:13" x14ac:dyDescent="0.3">
      <c r="A304" s="18" t="s">
        <v>74</v>
      </c>
      <c r="B304" s="76">
        <f>B13</f>
        <v>100</v>
      </c>
      <c r="C304" s="79">
        <f>B175</f>
        <v>66.006600660065999</v>
      </c>
      <c r="D304" s="80">
        <f t="shared" si="14"/>
        <v>-0.33993399339934</v>
      </c>
      <c r="E304" s="16" t="s">
        <v>39</v>
      </c>
      <c r="F304" s="16" t="s">
        <v>58</v>
      </c>
      <c r="G304" s="16" t="s">
        <v>39</v>
      </c>
    </row>
    <row r="305" spans="1:15" x14ac:dyDescent="0.3">
      <c r="A305" s="18" t="s">
        <v>82</v>
      </c>
      <c r="B305" s="19">
        <v>-1.5</v>
      </c>
      <c r="C305" s="19">
        <f>B244</f>
        <v>-1</v>
      </c>
      <c r="D305" s="80">
        <f t="shared" si="14"/>
        <v>-0.33333333333333331</v>
      </c>
      <c r="E305" s="16" t="s">
        <v>26</v>
      </c>
      <c r="F305" s="16" t="s">
        <v>26</v>
      </c>
      <c r="G305" s="16" t="s">
        <v>66</v>
      </c>
    </row>
    <row r="309" spans="1:15" ht="15.75" thickBot="1" x14ac:dyDescent="0.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</row>
    <row r="310" spans="1:15" ht="15.75" thickTop="1" x14ac:dyDescent="0.25">
      <c r="A310" s="20" t="s">
        <v>83</v>
      </c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</row>
    <row r="312" spans="1:15" x14ac:dyDescent="0.3">
      <c r="A312" s="20"/>
      <c r="B312" s="20"/>
      <c r="C312" s="62" t="s">
        <v>54</v>
      </c>
      <c r="I312" s="86" t="s">
        <v>0</v>
      </c>
      <c r="J312" s="86" t="s">
        <v>5</v>
      </c>
      <c r="K312" s="86" t="s">
        <v>48</v>
      </c>
      <c r="L312" s="68" t="s">
        <v>33</v>
      </c>
      <c r="M312" s="86" t="s">
        <v>40</v>
      </c>
      <c r="N312" s="85" t="s">
        <v>49</v>
      </c>
      <c r="O312" s="85"/>
    </row>
    <row r="313" spans="1:15" x14ac:dyDescent="0.3">
      <c r="I313" s="86"/>
      <c r="J313" s="86"/>
      <c r="K313" s="86"/>
      <c r="L313" s="68" t="s">
        <v>50</v>
      </c>
      <c r="M313" s="86"/>
      <c r="N313" s="85"/>
      <c r="O313" s="85"/>
    </row>
    <row r="314" spans="1:15" ht="15" x14ac:dyDescent="0.25">
      <c r="D314" s="46">
        <f>N315</f>
        <v>34.200000000000003</v>
      </c>
      <c r="I314" s="10"/>
      <c r="J314" s="10"/>
      <c r="K314" s="10"/>
      <c r="L314" s="10"/>
      <c r="M314" s="10"/>
      <c r="N314" s="39"/>
      <c r="O314" s="49"/>
    </row>
    <row r="315" spans="1:15" ht="15" x14ac:dyDescent="0.25">
      <c r="D315" s="21" t="s">
        <v>38</v>
      </c>
      <c r="E315" s="21"/>
      <c r="F315" s="21"/>
      <c r="G315" s="21"/>
      <c r="H315" s="21"/>
      <c r="I315" s="10" t="s">
        <v>20</v>
      </c>
      <c r="J315" s="11">
        <f>$F$5</f>
        <v>2.85</v>
      </c>
      <c r="K315" s="40">
        <f>$I$1*$I$2/1000</f>
        <v>12</v>
      </c>
      <c r="L315" s="41">
        <f>J315*K315</f>
        <v>34.200000000000003</v>
      </c>
      <c r="M315" s="11">
        <v>0</v>
      </c>
      <c r="N315" s="42">
        <f>L315+M315*K315</f>
        <v>34.200000000000003</v>
      </c>
      <c r="O315" s="47"/>
    </row>
    <row r="316" spans="1:15" ht="15" x14ac:dyDescent="0.25">
      <c r="D316" s="22"/>
      <c r="I316" s="10"/>
      <c r="J316" s="43"/>
      <c r="K316" s="40"/>
      <c r="L316" s="41"/>
      <c r="M316" s="11"/>
      <c r="N316" s="42"/>
      <c r="O316" s="47"/>
    </row>
    <row r="317" spans="1:15" ht="15" x14ac:dyDescent="0.25">
      <c r="D317" s="24"/>
      <c r="I317" s="10"/>
      <c r="J317" s="43"/>
      <c r="K317" s="40"/>
      <c r="L317" s="41"/>
      <c r="M317" s="11"/>
      <c r="N317" s="42"/>
      <c r="O317" s="47"/>
    </row>
    <row r="318" spans="1:15" ht="15" x14ac:dyDescent="0.25">
      <c r="D318" s="24"/>
      <c r="G318" s="45">
        <f>N319</f>
        <v>75.600000000000009</v>
      </c>
      <c r="I318" s="10"/>
      <c r="J318" s="43"/>
      <c r="K318" s="40"/>
      <c r="L318" s="41"/>
      <c r="M318" s="11"/>
      <c r="N318" s="42"/>
      <c r="O318" s="47"/>
    </row>
    <row r="319" spans="1:15" ht="15" x14ac:dyDescent="0.25">
      <c r="D319" s="24"/>
      <c r="G319" s="21" t="s">
        <v>23</v>
      </c>
      <c r="H319" s="21"/>
      <c r="I319" s="10" t="s">
        <v>13</v>
      </c>
      <c r="J319" s="11">
        <f>$F$2</f>
        <v>8</v>
      </c>
      <c r="K319" s="40">
        <f>$I$1*$I$2*(1-$B$8)/1000</f>
        <v>8.4</v>
      </c>
      <c r="L319" s="41">
        <f t="shared" ref="L319" si="15">J319*K319</f>
        <v>67.2</v>
      </c>
      <c r="M319" s="11">
        <f>$B$9</f>
        <v>1</v>
      </c>
      <c r="N319" s="42">
        <f t="shared" ref="N319" si="16">L319+M319*K319</f>
        <v>75.600000000000009</v>
      </c>
      <c r="O319" s="47"/>
    </row>
    <row r="320" spans="1:15" ht="15" x14ac:dyDescent="0.25">
      <c r="D320" s="24"/>
      <c r="G320" s="25">
        <v>1</v>
      </c>
      <c r="I320" s="10"/>
      <c r="J320" s="43"/>
      <c r="K320" s="40"/>
      <c r="L320" s="41"/>
      <c r="M320" s="11"/>
      <c r="N320" s="42"/>
      <c r="O320" s="47"/>
    </row>
    <row r="321" spans="2:15" ht="15" x14ac:dyDescent="0.25">
      <c r="C321" s="45">
        <f>MAX(D314,D331)</f>
        <v>56.400000000000006</v>
      </c>
      <c r="D321" s="24"/>
      <c r="F321" s="45">
        <f>G320*G318+G325*G327</f>
        <v>75.600000000000009</v>
      </c>
      <c r="G321" s="24"/>
      <c r="I321" s="10"/>
      <c r="J321" s="43"/>
      <c r="K321" s="40"/>
      <c r="L321" s="41"/>
      <c r="M321" s="11"/>
      <c r="N321" s="42"/>
      <c r="O321" s="47"/>
    </row>
    <row r="322" spans="2:15" ht="15" x14ac:dyDescent="0.25">
      <c r="C322" s="26" t="s">
        <v>84</v>
      </c>
      <c r="D322" s="24"/>
      <c r="F322" s="26" t="s">
        <v>1</v>
      </c>
      <c r="G322" s="24"/>
      <c r="H322" s="45">
        <f>N323</f>
        <v>6.4499999999999993</v>
      </c>
      <c r="I322" s="10"/>
      <c r="J322" s="43"/>
      <c r="K322" s="40"/>
      <c r="L322" s="41"/>
      <c r="M322" s="11"/>
      <c r="N322" s="42"/>
      <c r="O322" s="47"/>
    </row>
    <row r="323" spans="2:15" ht="15" x14ac:dyDescent="0.25">
      <c r="C323" s="25">
        <f>B3</f>
        <v>0.4</v>
      </c>
      <c r="D323" s="24"/>
      <c r="F323" s="27">
        <f>$B$2</f>
        <v>0.5</v>
      </c>
      <c r="G323" s="28"/>
      <c r="H323" s="21" t="s">
        <v>25</v>
      </c>
      <c r="I323" s="10" t="s">
        <v>18</v>
      </c>
      <c r="J323" s="11">
        <f>$F$7</f>
        <v>2</v>
      </c>
      <c r="K323" s="40">
        <f>$I$1*$I$2*(1+$B$7)/1000</f>
        <v>12.9</v>
      </c>
      <c r="L323" s="41">
        <f t="shared" ref="L323" si="17">J323*K323</f>
        <v>25.8</v>
      </c>
      <c r="M323" s="11">
        <f>$B$10</f>
        <v>-1.5</v>
      </c>
      <c r="N323" s="42">
        <f t="shared" ref="N323" si="18">L323+M323*K323</f>
        <v>6.4499999999999993</v>
      </c>
      <c r="O323" s="47"/>
    </row>
    <row r="324" spans="2:15" ht="15" x14ac:dyDescent="0.25">
      <c r="C324" s="24"/>
      <c r="D324" s="24"/>
      <c r="F324" s="29"/>
      <c r="G324" s="20"/>
      <c r="H324" s="24"/>
      <c r="I324" s="10"/>
      <c r="J324" s="43"/>
      <c r="K324" s="40"/>
      <c r="L324" s="41"/>
      <c r="M324" s="11"/>
      <c r="N324" s="42"/>
      <c r="O324" s="47"/>
    </row>
    <row r="325" spans="2:15" ht="15" x14ac:dyDescent="0.25">
      <c r="C325" s="24"/>
      <c r="D325" s="24"/>
      <c r="F325" s="29"/>
      <c r="G325" s="30">
        <v>0</v>
      </c>
      <c r="H325" s="24"/>
      <c r="I325" s="10"/>
      <c r="J325" s="43"/>
      <c r="K325" s="40"/>
      <c r="L325" s="41"/>
      <c r="M325" s="11"/>
      <c r="N325" s="42"/>
      <c r="O325" s="47"/>
    </row>
    <row r="326" spans="2:15" ht="15" x14ac:dyDescent="0.25">
      <c r="C326" s="24"/>
      <c r="D326" s="24"/>
      <c r="F326" s="24"/>
      <c r="G326" s="14" t="s">
        <v>24</v>
      </c>
      <c r="H326" s="24"/>
      <c r="I326" s="10"/>
      <c r="J326" s="43"/>
      <c r="K326" s="40"/>
      <c r="L326" s="41"/>
      <c r="M326" s="11"/>
      <c r="N326" s="42"/>
      <c r="O326" s="47"/>
    </row>
    <row r="327" spans="2:15" ht="15" x14ac:dyDescent="0.25">
      <c r="C327" s="24"/>
      <c r="D327" s="24"/>
      <c r="F327" s="24"/>
      <c r="G327" s="45">
        <f>MAX(H322,H329)</f>
        <v>12.9</v>
      </c>
      <c r="H327" s="31"/>
      <c r="I327" s="10" t="s">
        <v>34</v>
      </c>
      <c r="J327" s="11" t="s">
        <v>51</v>
      </c>
      <c r="K327" s="40" t="s">
        <v>51</v>
      </c>
      <c r="L327" s="11">
        <f>L323/2</f>
        <v>12.9</v>
      </c>
      <c r="M327" s="11">
        <v>0</v>
      </c>
      <c r="N327" s="42">
        <f>L327+M327</f>
        <v>12.9</v>
      </c>
      <c r="O327" s="47"/>
    </row>
    <row r="328" spans="2:15" ht="15" x14ac:dyDescent="0.25">
      <c r="C328" s="24"/>
      <c r="D328" s="24"/>
      <c r="F328" s="24"/>
      <c r="H328" s="14" t="s">
        <v>26</v>
      </c>
      <c r="I328" s="10"/>
      <c r="J328" s="43"/>
      <c r="K328" s="40"/>
      <c r="L328" s="41"/>
      <c r="M328" s="11"/>
      <c r="N328" s="42"/>
      <c r="O328" s="47"/>
    </row>
    <row r="329" spans="2:15" x14ac:dyDescent="0.3">
      <c r="C329" s="24"/>
      <c r="D329" s="31"/>
      <c r="E329" s="21"/>
      <c r="F329" s="24"/>
      <c r="H329" s="45">
        <f>N327</f>
        <v>12.9</v>
      </c>
      <c r="I329" s="10"/>
      <c r="J329" s="43"/>
      <c r="K329" s="40"/>
      <c r="L329" s="41"/>
      <c r="M329" s="11"/>
      <c r="N329" s="42"/>
      <c r="O329" s="47"/>
    </row>
    <row r="330" spans="2:15" x14ac:dyDescent="0.3">
      <c r="C330" s="24"/>
      <c r="D330" s="14" t="s">
        <v>39</v>
      </c>
      <c r="F330" s="24"/>
      <c r="H330" s="45">
        <f>N331</f>
        <v>42</v>
      </c>
      <c r="I330" s="10"/>
      <c r="J330" s="43"/>
      <c r="K330" s="40"/>
      <c r="L330" s="41"/>
      <c r="M330" s="11"/>
      <c r="N330" s="42"/>
      <c r="O330" s="47"/>
    </row>
    <row r="331" spans="2:15" x14ac:dyDescent="0.3">
      <c r="C331" s="24"/>
      <c r="D331" s="45">
        <f>F323*F321+F336*F338</f>
        <v>56.400000000000006</v>
      </c>
      <c r="F331" s="24"/>
      <c r="H331" s="21" t="s">
        <v>29</v>
      </c>
      <c r="I331" s="10" t="s">
        <v>35</v>
      </c>
      <c r="J331" s="11">
        <f>$F$3</f>
        <v>3.5</v>
      </c>
      <c r="K331" s="40">
        <f>$I$1*$I$2/1000</f>
        <v>12</v>
      </c>
      <c r="L331" s="41">
        <f t="shared" ref="L331" si="19">J331*K331</f>
        <v>42</v>
      </c>
      <c r="M331" s="11">
        <v>0</v>
      </c>
      <c r="N331" s="42">
        <f t="shared" ref="N331" si="20">L331+M331*K331</f>
        <v>42</v>
      </c>
      <c r="O331" s="47"/>
    </row>
    <row r="332" spans="2:15" x14ac:dyDescent="0.3">
      <c r="C332" s="24"/>
      <c r="F332" s="24"/>
      <c r="G332" s="45">
        <f>H332*H330+H335*H337</f>
        <v>39</v>
      </c>
      <c r="H332" s="25">
        <f>$B$5</f>
        <v>0.5</v>
      </c>
      <c r="I332" s="10"/>
      <c r="J332" s="43"/>
      <c r="K332" s="40"/>
      <c r="L332" s="41"/>
      <c r="M332" s="11"/>
      <c r="N332" s="42"/>
      <c r="O332" s="47"/>
    </row>
    <row r="333" spans="2:15" x14ac:dyDescent="0.3">
      <c r="C333" s="24"/>
      <c r="F333" s="24"/>
      <c r="G333" s="21" t="s">
        <v>27</v>
      </c>
      <c r="H333" s="24"/>
      <c r="I333" s="10"/>
      <c r="J333" s="43"/>
      <c r="K333" s="40"/>
      <c r="L333" s="41"/>
      <c r="M333" s="11"/>
      <c r="N333" s="42"/>
      <c r="O333" s="47"/>
    </row>
    <row r="334" spans="2:15" x14ac:dyDescent="0.3">
      <c r="C334" s="24"/>
      <c r="F334" s="29"/>
      <c r="G334" s="32">
        <f>1-$B$4</f>
        <v>0.8</v>
      </c>
      <c r="H334" s="24"/>
      <c r="I334" s="10"/>
      <c r="J334" s="43"/>
      <c r="K334" s="40"/>
      <c r="L334" s="41"/>
      <c r="M334" s="11"/>
      <c r="N334" s="42"/>
      <c r="O334" s="47"/>
    </row>
    <row r="335" spans="2:15" x14ac:dyDescent="0.3">
      <c r="B335" s="45">
        <f>C323*C321+C352*C354</f>
        <v>43.08</v>
      </c>
      <c r="C335" s="24"/>
      <c r="F335" s="29"/>
      <c r="G335" s="20"/>
      <c r="H335" s="33">
        <f>1-$B$5</f>
        <v>0.5</v>
      </c>
      <c r="I335" s="10" t="s">
        <v>36</v>
      </c>
      <c r="J335" s="11">
        <f>$F$4</f>
        <v>3</v>
      </c>
      <c r="K335" s="40">
        <f>$I$1*$I$2/1000</f>
        <v>12</v>
      </c>
      <c r="L335" s="41">
        <f t="shared" ref="L335" si="21">J335*K335</f>
        <v>36</v>
      </c>
      <c r="M335" s="11">
        <v>0</v>
      </c>
      <c r="N335" s="42">
        <f t="shared" ref="N335" si="22">L335+M335*K335</f>
        <v>36</v>
      </c>
      <c r="O335" s="47"/>
    </row>
    <row r="336" spans="2:15" x14ac:dyDescent="0.3">
      <c r="C336" s="24"/>
      <c r="F336" s="34">
        <f>1-$B$2</f>
        <v>0.5</v>
      </c>
      <c r="G336" s="20"/>
      <c r="H336" s="14" t="s">
        <v>28</v>
      </c>
      <c r="I336" s="10"/>
      <c r="J336" s="43"/>
      <c r="K336" s="40"/>
      <c r="L336" s="41"/>
      <c r="M336" s="11"/>
      <c r="N336" s="42"/>
      <c r="O336" s="47"/>
    </row>
    <row r="337" spans="3:15" x14ac:dyDescent="0.3">
      <c r="C337" s="24"/>
      <c r="F337" s="35" t="s">
        <v>22</v>
      </c>
      <c r="G337" s="24"/>
      <c r="H337" s="45">
        <f>N335</f>
        <v>36</v>
      </c>
      <c r="I337" s="10"/>
      <c r="J337" s="43"/>
      <c r="K337" s="40"/>
      <c r="L337" s="41"/>
      <c r="M337" s="11"/>
      <c r="N337" s="42"/>
      <c r="O337" s="47"/>
    </row>
    <row r="338" spans="3:15" x14ac:dyDescent="0.3">
      <c r="C338" s="24"/>
      <c r="F338" s="45">
        <f>G334*G332+G339*G341</f>
        <v>37.200000000000003</v>
      </c>
      <c r="G338" s="24"/>
      <c r="I338" s="10"/>
      <c r="J338" s="43"/>
      <c r="K338" s="40"/>
      <c r="L338" s="41"/>
      <c r="M338" s="11"/>
      <c r="N338" s="42"/>
      <c r="O338" s="47"/>
    </row>
    <row r="339" spans="3:15" x14ac:dyDescent="0.3">
      <c r="C339" s="24"/>
      <c r="G339" s="33">
        <f>$B$4</f>
        <v>0.2</v>
      </c>
      <c r="H339" s="21"/>
      <c r="I339" s="10" t="s">
        <v>37</v>
      </c>
      <c r="J339" s="11">
        <f>$F$6</f>
        <v>2.5</v>
      </c>
      <c r="K339" s="40">
        <f>$I$1*$I$2/1000</f>
        <v>12</v>
      </c>
      <c r="L339" s="41">
        <f t="shared" ref="L339" si="23">J339*K339</f>
        <v>30</v>
      </c>
      <c r="M339" s="11">
        <v>0</v>
      </c>
      <c r="N339" s="42">
        <f t="shared" ref="N339" si="24">L339+M339*K339</f>
        <v>30</v>
      </c>
      <c r="O339" s="47"/>
    </row>
    <row r="340" spans="3:15" x14ac:dyDescent="0.3">
      <c r="C340" s="24"/>
      <c r="G340" s="14" t="s">
        <v>2</v>
      </c>
    </row>
    <row r="341" spans="3:15" x14ac:dyDescent="0.3">
      <c r="C341" s="24"/>
      <c r="D341" s="20"/>
      <c r="E341" s="20"/>
      <c r="F341" s="20"/>
      <c r="G341" s="46">
        <f>N339</f>
        <v>30</v>
      </c>
      <c r="H341" s="20"/>
      <c r="I341" s="20"/>
      <c r="J341" s="20"/>
      <c r="K341" s="20"/>
      <c r="L341" s="20"/>
      <c r="M341" s="20"/>
      <c r="N341" s="20"/>
      <c r="O341" s="20"/>
    </row>
    <row r="342" spans="3:15" x14ac:dyDescent="0.3">
      <c r="C342" s="24"/>
    </row>
    <row r="343" spans="3:15" x14ac:dyDescent="0.3">
      <c r="C343" s="81" t="s">
        <v>54</v>
      </c>
      <c r="I343" s="86" t="s">
        <v>0</v>
      </c>
      <c r="J343" s="86" t="s">
        <v>5</v>
      </c>
      <c r="K343" s="86" t="s">
        <v>48</v>
      </c>
      <c r="L343" s="68" t="s">
        <v>33</v>
      </c>
      <c r="M343" s="86" t="s">
        <v>40</v>
      </c>
      <c r="N343" s="85" t="s">
        <v>49</v>
      </c>
      <c r="O343" s="85"/>
    </row>
    <row r="344" spans="3:15" x14ac:dyDescent="0.3">
      <c r="C344" s="24"/>
      <c r="I344" s="86"/>
      <c r="J344" s="86"/>
      <c r="K344" s="86"/>
      <c r="L344" s="68" t="s">
        <v>50</v>
      </c>
      <c r="M344" s="86"/>
      <c r="N344" s="85"/>
      <c r="O344" s="85"/>
    </row>
    <row r="345" spans="3:15" x14ac:dyDescent="0.3">
      <c r="C345" s="24"/>
      <c r="D345" s="46">
        <f>N346</f>
        <v>34.200000000000003</v>
      </c>
      <c r="I345" s="10"/>
      <c r="J345" s="10"/>
      <c r="K345" s="10"/>
      <c r="L345" s="10"/>
      <c r="M345" s="10"/>
      <c r="N345" s="39"/>
      <c r="O345" s="49"/>
    </row>
    <row r="346" spans="3:15" x14ac:dyDescent="0.3">
      <c r="C346" s="24"/>
      <c r="D346" s="21" t="s">
        <v>38</v>
      </c>
      <c r="E346" s="21"/>
      <c r="F346" s="21"/>
      <c r="G346" s="21"/>
      <c r="H346" s="21"/>
      <c r="I346" s="10" t="s">
        <v>20</v>
      </c>
      <c r="J346" s="11">
        <f>$F$5</f>
        <v>2.85</v>
      </c>
      <c r="K346" s="40">
        <f>$I$1*$I$2/1000</f>
        <v>12</v>
      </c>
      <c r="L346" s="41">
        <f>J346*K346</f>
        <v>34.200000000000003</v>
      </c>
      <c r="M346" s="11">
        <v>0</v>
      </c>
      <c r="N346" s="42">
        <f>L346+M346*K346</f>
        <v>34.200000000000003</v>
      </c>
      <c r="O346" s="47"/>
    </row>
    <row r="347" spans="3:15" x14ac:dyDescent="0.3">
      <c r="C347" s="24"/>
      <c r="D347" s="22"/>
      <c r="I347" s="10"/>
      <c r="J347" s="43"/>
      <c r="K347" s="40"/>
      <c r="L347" s="41"/>
      <c r="M347" s="11"/>
      <c r="N347" s="42"/>
      <c r="O347" s="47"/>
    </row>
    <row r="348" spans="3:15" x14ac:dyDescent="0.3">
      <c r="C348" s="24"/>
      <c r="D348" s="24"/>
      <c r="I348" s="10"/>
      <c r="J348" s="43"/>
      <c r="K348" s="40"/>
      <c r="L348" s="41"/>
      <c r="M348" s="11"/>
      <c r="N348" s="42"/>
      <c r="O348" s="47"/>
    </row>
    <row r="349" spans="3:15" x14ac:dyDescent="0.3">
      <c r="C349" s="24"/>
      <c r="D349" s="24"/>
      <c r="G349" s="45">
        <f>N350</f>
        <v>75.600000000000009</v>
      </c>
      <c r="I349" s="10"/>
      <c r="J349" s="43"/>
      <c r="K349" s="40"/>
      <c r="L349" s="41"/>
      <c r="M349" s="11"/>
      <c r="N349" s="42"/>
      <c r="O349" s="47"/>
    </row>
    <row r="350" spans="3:15" x14ac:dyDescent="0.3">
      <c r="C350" s="24"/>
      <c r="D350" s="24"/>
      <c r="G350" s="21" t="s">
        <v>23</v>
      </c>
      <c r="H350" s="21"/>
      <c r="I350" s="10" t="s">
        <v>13</v>
      </c>
      <c r="J350" s="11">
        <f>$F$2</f>
        <v>8</v>
      </c>
      <c r="K350" s="40">
        <f>$I$1*$I$2*(1-$B$8)/1000</f>
        <v>8.4</v>
      </c>
      <c r="L350" s="41">
        <f t="shared" ref="L350" si="25">J350*K350</f>
        <v>67.2</v>
      </c>
      <c r="M350" s="11">
        <f>$B$9</f>
        <v>1</v>
      </c>
      <c r="N350" s="42">
        <f t="shared" ref="N350" si="26">L350+M350*K350</f>
        <v>75.600000000000009</v>
      </c>
      <c r="O350" s="47"/>
    </row>
    <row r="351" spans="3:15" x14ac:dyDescent="0.3">
      <c r="C351" s="24"/>
      <c r="D351" s="24"/>
      <c r="G351" s="25">
        <v>0</v>
      </c>
      <c r="I351" s="10"/>
      <c r="J351" s="43"/>
      <c r="K351" s="40"/>
      <c r="L351" s="41"/>
      <c r="M351" s="11"/>
      <c r="N351" s="42"/>
      <c r="O351" s="47"/>
    </row>
    <row r="352" spans="3:15" x14ac:dyDescent="0.3">
      <c r="C352" s="34">
        <f>1-C323</f>
        <v>0.6</v>
      </c>
      <c r="D352" s="24"/>
      <c r="F352" s="45">
        <f>G351*G349+G356*G358</f>
        <v>12.9</v>
      </c>
      <c r="G352" s="24"/>
      <c r="I352" s="10"/>
      <c r="J352" s="43"/>
      <c r="K352" s="40"/>
      <c r="L352" s="41"/>
      <c r="M352" s="11"/>
      <c r="N352" s="42"/>
      <c r="O352" s="47"/>
    </row>
    <row r="353" spans="1:15" x14ac:dyDescent="0.3">
      <c r="C353" s="82" t="s">
        <v>85</v>
      </c>
      <c r="D353" s="20"/>
      <c r="F353" s="26" t="s">
        <v>1</v>
      </c>
      <c r="G353" s="24"/>
      <c r="H353" s="45">
        <f>N354</f>
        <v>6.4499999999999993</v>
      </c>
      <c r="I353" s="10"/>
      <c r="J353" s="43"/>
      <c r="K353" s="40"/>
      <c r="L353" s="41"/>
      <c r="M353" s="11"/>
      <c r="N353" s="42"/>
      <c r="O353" s="47"/>
    </row>
    <row r="354" spans="1:15" x14ac:dyDescent="0.3">
      <c r="C354" s="83">
        <f>MAX(D345,D362)</f>
        <v>34.200000000000003</v>
      </c>
      <c r="D354" s="20"/>
      <c r="F354" s="27">
        <f>$B$2</f>
        <v>0.5</v>
      </c>
      <c r="G354" s="28"/>
      <c r="H354" s="21" t="s">
        <v>25</v>
      </c>
      <c r="I354" s="10" t="s">
        <v>18</v>
      </c>
      <c r="J354" s="11">
        <f>$F$7</f>
        <v>2</v>
      </c>
      <c r="K354" s="40">
        <f>$I$1*$I$2*(1+$B$7)/1000</f>
        <v>12.9</v>
      </c>
      <c r="L354" s="41">
        <f t="shared" ref="L354" si="27">J354*K354</f>
        <v>25.8</v>
      </c>
      <c r="M354" s="11">
        <f>$B$10</f>
        <v>-1.5</v>
      </c>
      <c r="N354" s="42">
        <f t="shared" ref="N354" si="28">L354+M354*K354</f>
        <v>6.4499999999999993</v>
      </c>
      <c r="O354" s="47"/>
    </row>
    <row r="355" spans="1:15" x14ac:dyDescent="0.3">
      <c r="D355" s="24"/>
      <c r="F355" s="29"/>
      <c r="G355" s="20"/>
      <c r="H355" s="24"/>
      <c r="I355" s="10"/>
      <c r="J355" s="43"/>
      <c r="K355" s="40"/>
      <c r="L355" s="41"/>
      <c r="M355" s="11"/>
      <c r="N355" s="42"/>
      <c r="O355" s="47"/>
    </row>
    <row r="356" spans="1:15" x14ac:dyDescent="0.3">
      <c r="D356" s="24"/>
      <c r="F356" s="29"/>
      <c r="G356" s="30">
        <v>1</v>
      </c>
      <c r="H356" s="24"/>
      <c r="I356" s="10"/>
      <c r="J356" s="43"/>
      <c r="K356" s="40"/>
      <c r="L356" s="41"/>
      <c r="M356" s="11"/>
      <c r="N356" s="42"/>
      <c r="O356" s="47"/>
    </row>
    <row r="357" spans="1:15" x14ac:dyDescent="0.3">
      <c r="D357" s="24"/>
      <c r="F357" s="24"/>
      <c r="G357" s="14" t="s">
        <v>24</v>
      </c>
      <c r="H357" s="24"/>
      <c r="I357" s="10"/>
      <c r="J357" s="43"/>
      <c r="K357" s="40"/>
      <c r="L357" s="41"/>
      <c r="M357" s="11"/>
      <c r="N357" s="42"/>
      <c r="O357" s="47"/>
    </row>
    <row r="358" spans="1:15" x14ac:dyDescent="0.3">
      <c r="D358" s="24"/>
      <c r="F358" s="24"/>
      <c r="G358" s="45">
        <f>MAX(H353,H360)</f>
        <v>12.9</v>
      </c>
      <c r="H358" s="31"/>
      <c r="I358" s="10" t="s">
        <v>34</v>
      </c>
      <c r="J358" s="11" t="s">
        <v>51</v>
      </c>
      <c r="K358" s="40" t="s">
        <v>51</v>
      </c>
      <c r="L358" s="11">
        <f>L354/2</f>
        <v>12.9</v>
      </c>
      <c r="M358" s="11">
        <v>0</v>
      </c>
      <c r="N358" s="42">
        <f>L358+M358</f>
        <v>12.9</v>
      </c>
      <c r="O358" s="47"/>
    </row>
    <row r="359" spans="1:15" x14ac:dyDescent="0.3">
      <c r="D359" s="24"/>
      <c r="F359" s="24"/>
      <c r="H359" s="14" t="s">
        <v>26</v>
      </c>
      <c r="I359" s="10"/>
      <c r="J359" s="43"/>
      <c r="K359" s="40"/>
      <c r="L359" s="41"/>
      <c r="M359" s="11"/>
      <c r="N359" s="42"/>
      <c r="O359" s="47"/>
    </row>
    <row r="360" spans="1:15" x14ac:dyDescent="0.3">
      <c r="D360" s="31"/>
      <c r="E360" s="21"/>
      <c r="F360" s="24"/>
      <c r="H360" s="45">
        <f>N358</f>
        <v>12.9</v>
      </c>
      <c r="I360" s="10"/>
      <c r="J360" s="43"/>
      <c r="K360" s="40"/>
      <c r="L360" s="41"/>
      <c r="M360" s="11"/>
      <c r="N360" s="42"/>
      <c r="O360" s="47"/>
    </row>
    <row r="361" spans="1:15" x14ac:dyDescent="0.3">
      <c r="D361" s="14" t="s">
        <v>39</v>
      </c>
      <c r="F361" s="24"/>
      <c r="H361" s="45">
        <f>N362</f>
        <v>42</v>
      </c>
      <c r="I361" s="10"/>
      <c r="J361" s="43"/>
      <c r="K361" s="40"/>
      <c r="L361" s="41"/>
      <c r="M361" s="11"/>
      <c r="N361" s="42"/>
      <c r="O361" s="47"/>
    </row>
    <row r="362" spans="1:15" x14ac:dyDescent="0.3">
      <c r="D362" s="45">
        <f>F354*F352+F367*F369</f>
        <v>25.05</v>
      </c>
      <c r="F362" s="24"/>
      <c r="H362" s="21" t="s">
        <v>29</v>
      </c>
      <c r="I362" s="10" t="s">
        <v>35</v>
      </c>
      <c r="J362" s="11">
        <f>$F$3</f>
        <v>3.5</v>
      </c>
      <c r="K362" s="40">
        <f>$I$1*$I$2/1000</f>
        <v>12</v>
      </c>
      <c r="L362" s="41">
        <f t="shared" ref="L362" si="29">J362*K362</f>
        <v>42</v>
      </c>
      <c r="M362" s="11">
        <v>0</v>
      </c>
      <c r="N362" s="42">
        <f t="shared" ref="N362" si="30">L362+M362*K362</f>
        <v>42</v>
      </c>
      <c r="O362" s="47"/>
    </row>
    <row r="363" spans="1:15" x14ac:dyDescent="0.3">
      <c r="F363" s="24"/>
      <c r="G363" s="45">
        <f>H363*H361+H366*H368</f>
        <v>39</v>
      </c>
      <c r="H363" s="25">
        <f>$B$5</f>
        <v>0.5</v>
      </c>
      <c r="I363" s="10"/>
      <c r="J363" s="43"/>
      <c r="K363" s="40"/>
      <c r="L363" s="41"/>
      <c r="M363" s="11"/>
      <c r="N363" s="42"/>
      <c r="O363" s="47"/>
    </row>
    <row r="364" spans="1:15" x14ac:dyDescent="0.3">
      <c r="F364" s="24"/>
      <c r="G364" s="21" t="s">
        <v>27</v>
      </c>
      <c r="H364" s="24"/>
      <c r="I364" s="10"/>
      <c r="J364" s="43"/>
      <c r="K364" s="40"/>
      <c r="L364" s="41"/>
      <c r="M364" s="11"/>
      <c r="N364" s="42"/>
      <c r="O364" s="47"/>
    </row>
    <row r="365" spans="1:15" x14ac:dyDescent="0.3">
      <c r="F365" s="29"/>
      <c r="G365" s="32">
        <f>1-$B$4</f>
        <v>0.8</v>
      </c>
      <c r="H365" s="24"/>
      <c r="I365" s="10"/>
      <c r="J365" s="43"/>
      <c r="K365" s="40"/>
      <c r="L365" s="41"/>
      <c r="M365" s="11"/>
      <c r="N365" s="42"/>
      <c r="O365" s="47"/>
    </row>
    <row r="366" spans="1:15" x14ac:dyDescent="0.3">
      <c r="A366" s="44" t="s">
        <v>86</v>
      </c>
      <c r="B366" s="84">
        <f>A59</f>
        <v>37.590000000000003</v>
      </c>
      <c r="F366" s="29"/>
      <c r="G366" s="20"/>
      <c r="H366" s="33">
        <f>1-$B$5</f>
        <v>0.5</v>
      </c>
      <c r="I366" s="10" t="s">
        <v>36</v>
      </c>
      <c r="J366" s="11">
        <f>$F$4</f>
        <v>3</v>
      </c>
      <c r="K366" s="40">
        <f>$I$1*$I$2/1000</f>
        <v>12</v>
      </c>
      <c r="L366" s="41">
        <f t="shared" ref="L366" si="31">J366*K366</f>
        <v>36</v>
      </c>
      <c r="M366" s="11">
        <v>0</v>
      </c>
      <c r="N366" s="42">
        <f t="shared" ref="N366" si="32">L366+M366*K366</f>
        <v>36</v>
      </c>
      <c r="O366" s="47"/>
    </row>
    <row r="367" spans="1:15" x14ac:dyDescent="0.3">
      <c r="A367" s="44" t="s">
        <v>87</v>
      </c>
      <c r="B367" s="84">
        <f>B335</f>
        <v>43.08</v>
      </c>
      <c r="F367" s="34">
        <f>1-$B$2</f>
        <v>0.5</v>
      </c>
      <c r="G367" s="20"/>
      <c r="H367" s="14" t="s">
        <v>28</v>
      </c>
      <c r="I367" s="10"/>
      <c r="J367" s="43"/>
      <c r="K367" s="40"/>
      <c r="L367" s="41"/>
      <c r="M367" s="11"/>
      <c r="N367" s="42"/>
      <c r="O367" s="47"/>
    </row>
    <row r="368" spans="1:15" x14ac:dyDescent="0.3">
      <c r="A368" s="44" t="s">
        <v>88</v>
      </c>
      <c r="B368" s="84">
        <f>B367-B366</f>
        <v>5.4899999999999949</v>
      </c>
      <c r="F368" s="35" t="s">
        <v>22</v>
      </c>
      <c r="G368" s="24"/>
      <c r="H368" s="45">
        <f>N366</f>
        <v>36</v>
      </c>
      <c r="I368" s="10"/>
      <c r="J368" s="43"/>
      <c r="K368" s="40"/>
      <c r="L368" s="41"/>
      <c r="M368" s="11"/>
      <c r="N368" s="42"/>
      <c r="O368" s="47"/>
    </row>
    <row r="369" spans="1:15" x14ac:dyDescent="0.3">
      <c r="F369" s="45">
        <f>G365*G363+G370*G372</f>
        <v>37.200000000000003</v>
      </c>
      <c r="G369" s="24"/>
      <c r="I369" s="10"/>
      <c r="J369" s="43"/>
      <c r="K369" s="40"/>
      <c r="L369" s="41"/>
      <c r="M369" s="11"/>
      <c r="N369" s="42"/>
      <c r="O369" s="47"/>
    </row>
    <row r="370" spans="1:15" x14ac:dyDescent="0.3">
      <c r="G370" s="33">
        <f>$B$4</f>
        <v>0.2</v>
      </c>
      <c r="H370" s="21"/>
      <c r="I370" s="10" t="s">
        <v>37</v>
      </c>
      <c r="J370" s="11">
        <f>$F$6</f>
        <v>2.5</v>
      </c>
      <c r="K370" s="40">
        <f>$I$1*$I$2/1000</f>
        <v>12</v>
      </c>
      <c r="L370" s="41">
        <f t="shared" ref="L370" si="33">J370*K370</f>
        <v>30</v>
      </c>
      <c r="M370" s="11">
        <v>0</v>
      </c>
      <c r="N370" s="42">
        <f t="shared" ref="N370" si="34">L370+M370*K370</f>
        <v>30</v>
      </c>
      <c r="O370" s="47"/>
    </row>
    <row r="371" spans="1:15" x14ac:dyDescent="0.3">
      <c r="A371" s="14" t="s">
        <v>93</v>
      </c>
      <c r="G371" s="14" t="s">
        <v>2</v>
      </c>
    </row>
    <row r="372" spans="1:15" x14ac:dyDescent="0.3">
      <c r="C372" s="20"/>
      <c r="D372" s="20"/>
      <c r="E372" s="20"/>
      <c r="F372" s="20"/>
      <c r="G372" s="46">
        <f>N370</f>
        <v>30</v>
      </c>
      <c r="H372" s="20"/>
      <c r="I372" s="20"/>
      <c r="J372" s="20"/>
      <c r="K372" s="20"/>
      <c r="L372" s="20"/>
      <c r="M372" s="20"/>
      <c r="N372" s="20"/>
      <c r="O372" s="20"/>
    </row>
    <row r="374" spans="1:15" x14ac:dyDescent="0.3">
      <c r="B374" s="23" t="s">
        <v>8</v>
      </c>
      <c r="C374" s="23"/>
    </row>
    <row r="375" spans="1:15" x14ac:dyDescent="0.3">
      <c r="A375" s="16" t="s">
        <v>90</v>
      </c>
      <c r="B375" s="19">
        <f>B368</f>
        <v>5.4899999999999949</v>
      </c>
      <c r="C375" s="66" t="s">
        <v>60</v>
      </c>
      <c r="D375" s="18"/>
      <c r="E375" s="90"/>
    </row>
    <row r="376" spans="1:15" x14ac:dyDescent="0.3">
      <c r="A376" s="87">
        <f>A108</f>
        <v>0</v>
      </c>
      <c r="B376" s="19">
        <f t="dataTable" ref="B376:B386" dt2D="0" dtr="0" r1="B3" ca="1"/>
        <v>0</v>
      </c>
      <c r="C376" s="89">
        <f>A380</f>
        <v>0.4</v>
      </c>
      <c r="D376" s="88">
        <v>14</v>
      </c>
      <c r="E376" s="17"/>
    </row>
    <row r="377" spans="1:15" x14ac:dyDescent="0.3">
      <c r="A377" s="87">
        <f t="shared" ref="A377:A386" si="35">A109</f>
        <v>0.1</v>
      </c>
      <c r="B377" s="19">
        <v>2.2199999999999989</v>
      </c>
      <c r="C377" s="89">
        <f>C376</f>
        <v>0.4</v>
      </c>
      <c r="D377" s="88">
        <v>0</v>
      </c>
      <c r="E377" s="17"/>
    </row>
    <row r="378" spans="1:15" x14ac:dyDescent="0.3">
      <c r="A378" s="87">
        <f t="shared" si="35"/>
        <v>0.2</v>
      </c>
      <c r="B378" s="19">
        <v>4.4399999999999977</v>
      </c>
      <c r="C378" s="17"/>
      <c r="D378" s="17"/>
      <c r="E378" s="17"/>
    </row>
    <row r="379" spans="1:15" x14ac:dyDescent="0.3">
      <c r="A379" s="87">
        <f t="shared" si="35"/>
        <v>0.3</v>
      </c>
      <c r="B379" s="19">
        <v>6.4050000000000011</v>
      </c>
      <c r="C379" s="17"/>
      <c r="D379" s="17"/>
      <c r="E379" s="17"/>
    </row>
    <row r="380" spans="1:15" x14ac:dyDescent="0.3">
      <c r="A380" s="87">
        <f t="shared" si="35"/>
        <v>0.4</v>
      </c>
      <c r="B380" s="19">
        <v>5.4899999999999949</v>
      </c>
      <c r="C380" s="17"/>
      <c r="D380" s="17"/>
      <c r="E380" s="17"/>
    </row>
    <row r="381" spans="1:15" x14ac:dyDescent="0.3">
      <c r="A381" s="87">
        <f t="shared" si="35"/>
        <v>0.5</v>
      </c>
      <c r="B381" s="19">
        <v>4.5749999999999957</v>
      </c>
      <c r="C381" s="17"/>
      <c r="D381" s="17"/>
      <c r="E381" s="17"/>
    </row>
    <row r="382" spans="1:15" x14ac:dyDescent="0.3">
      <c r="A382" s="87">
        <f t="shared" si="35"/>
        <v>0.6</v>
      </c>
      <c r="B382" s="19">
        <v>3.6599999999999966</v>
      </c>
      <c r="C382" s="17"/>
      <c r="D382" s="17"/>
      <c r="E382" s="17"/>
    </row>
    <row r="383" spans="1:15" x14ac:dyDescent="0.3">
      <c r="A383" s="87">
        <f t="shared" si="35"/>
        <v>0.7</v>
      </c>
      <c r="B383" s="19">
        <v>2.7450000000000045</v>
      </c>
      <c r="C383" s="17"/>
      <c r="D383" s="17"/>
      <c r="E383" s="17"/>
    </row>
    <row r="384" spans="1:15" x14ac:dyDescent="0.3">
      <c r="A384" s="87">
        <f t="shared" si="35"/>
        <v>0.8</v>
      </c>
      <c r="B384" s="19">
        <v>1.8299999999999912</v>
      </c>
      <c r="C384" s="17"/>
      <c r="D384" s="17"/>
      <c r="E384" s="17"/>
    </row>
    <row r="385" spans="1:5" x14ac:dyDescent="0.3">
      <c r="A385" s="87">
        <f t="shared" si="35"/>
        <v>0.9</v>
      </c>
      <c r="B385" s="19">
        <v>0.91499999999999915</v>
      </c>
      <c r="C385" s="17"/>
      <c r="D385" s="17"/>
      <c r="E385" s="17"/>
    </row>
    <row r="386" spans="1:5" x14ac:dyDescent="0.3">
      <c r="A386" s="87">
        <f t="shared" si="35"/>
        <v>1</v>
      </c>
      <c r="B386" s="19">
        <v>0</v>
      </c>
      <c r="C386" s="17"/>
      <c r="D386" s="17"/>
      <c r="E386" s="17"/>
    </row>
    <row r="388" spans="1:5" x14ac:dyDescent="0.3">
      <c r="A388" s="18"/>
      <c r="B388" s="16" t="s">
        <v>7</v>
      </c>
      <c r="C388" s="66" t="s">
        <v>60</v>
      </c>
      <c r="D388" s="18"/>
    </row>
    <row r="389" spans="1:5" x14ac:dyDescent="0.3">
      <c r="A389" s="16" t="s">
        <v>90</v>
      </c>
      <c r="B389" s="19">
        <f>B368</f>
        <v>5.4899999999999949</v>
      </c>
      <c r="C389" s="89">
        <v>0.5</v>
      </c>
      <c r="D389" s="88">
        <v>14</v>
      </c>
    </row>
    <row r="390" spans="1:5" x14ac:dyDescent="0.3">
      <c r="A390" s="87">
        <f>A376</f>
        <v>0</v>
      </c>
      <c r="B390" s="19">
        <f t="dataTable" ref="B390:B400" dt2D="0" dtr="0" r1="B2" ca="1"/>
        <v>0</v>
      </c>
      <c r="C390" s="89">
        <v>0.5</v>
      </c>
      <c r="D390" s="88">
        <v>0</v>
      </c>
    </row>
    <row r="391" spans="1:5" x14ac:dyDescent="0.3">
      <c r="A391" s="87">
        <f>A377</f>
        <v>0.1</v>
      </c>
      <c r="B391" s="19">
        <v>0</v>
      </c>
    </row>
    <row r="392" spans="1:5" x14ac:dyDescent="0.3">
      <c r="A392" s="87">
        <f>A378</f>
        <v>0.2</v>
      </c>
      <c r="B392" s="19">
        <v>1.1159999999999997</v>
      </c>
    </row>
    <row r="393" spans="1:5" x14ac:dyDescent="0.3">
      <c r="A393" s="87">
        <f>A379</f>
        <v>0.3</v>
      </c>
      <c r="B393" s="19">
        <v>2.5739999999999981</v>
      </c>
    </row>
    <row r="394" spans="1:5" x14ac:dyDescent="0.3">
      <c r="A394" s="87">
        <f>A380</f>
        <v>0.4</v>
      </c>
      <c r="B394" s="19">
        <v>4.0319999999999965</v>
      </c>
    </row>
    <row r="395" spans="1:5" x14ac:dyDescent="0.3">
      <c r="A395" s="87">
        <f>A381</f>
        <v>0.5</v>
      </c>
      <c r="B395" s="19">
        <v>5.4899999999999949</v>
      </c>
    </row>
    <row r="396" spans="1:5" x14ac:dyDescent="0.3">
      <c r="A396" s="87">
        <f>A382</f>
        <v>0.6</v>
      </c>
      <c r="B396" s="19">
        <v>6.9479999999999933</v>
      </c>
    </row>
    <row r="397" spans="1:5" x14ac:dyDescent="0.3">
      <c r="A397" s="87">
        <f>A383</f>
        <v>0.7</v>
      </c>
      <c r="B397" s="19">
        <v>8.4059999999999988</v>
      </c>
    </row>
    <row r="398" spans="1:5" x14ac:dyDescent="0.3">
      <c r="A398" s="87">
        <f>A384</f>
        <v>0.8</v>
      </c>
      <c r="B398" s="19">
        <v>9.8639999999999972</v>
      </c>
    </row>
    <row r="399" spans="1:5" x14ac:dyDescent="0.3">
      <c r="A399" s="87">
        <f>A385</f>
        <v>0.9</v>
      </c>
      <c r="B399" s="19">
        <v>11.322000000000003</v>
      </c>
    </row>
    <row r="400" spans="1:5" x14ac:dyDescent="0.3">
      <c r="A400" s="87">
        <f>A386</f>
        <v>1</v>
      </c>
      <c r="B400" s="19">
        <v>12.780000000000001</v>
      </c>
    </row>
    <row r="402" spans="1:4" x14ac:dyDescent="0.3">
      <c r="A402" s="18"/>
      <c r="B402" s="16" t="s">
        <v>91</v>
      </c>
      <c r="C402" s="66" t="s">
        <v>60</v>
      </c>
      <c r="D402" s="18"/>
    </row>
    <row r="403" spans="1:4" x14ac:dyDescent="0.3">
      <c r="A403" s="16" t="s">
        <v>90</v>
      </c>
      <c r="B403" s="19">
        <f>B368</f>
        <v>5.4899999999999949</v>
      </c>
      <c r="C403" s="89">
        <v>0.2</v>
      </c>
      <c r="D403" s="88">
        <v>14</v>
      </c>
    </row>
    <row r="404" spans="1:4" x14ac:dyDescent="0.3">
      <c r="A404" s="87">
        <f>A390</f>
        <v>0</v>
      </c>
      <c r="B404" s="19">
        <f t="dataTable" ref="B404:B414" dt2D="0" dtr="0" r1="B4" ca="1"/>
        <v>4.9499999999999957</v>
      </c>
      <c r="C404" s="89">
        <v>0.2</v>
      </c>
      <c r="D404" s="88">
        <v>0</v>
      </c>
    </row>
    <row r="405" spans="1:4" x14ac:dyDescent="0.3">
      <c r="A405" s="87">
        <f>A391</f>
        <v>0.1</v>
      </c>
      <c r="B405" s="19">
        <v>5.2199999999999989</v>
      </c>
    </row>
    <row r="406" spans="1:4" x14ac:dyDescent="0.3">
      <c r="A406" s="87">
        <f>A392</f>
        <v>0.2</v>
      </c>
      <c r="B406" s="19">
        <v>5.4899999999999949</v>
      </c>
    </row>
    <row r="407" spans="1:4" x14ac:dyDescent="0.3">
      <c r="A407" s="87">
        <f>A393</f>
        <v>0.3</v>
      </c>
      <c r="B407" s="19">
        <v>5.7600000000000051</v>
      </c>
    </row>
    <row r="408" spans="1:4" x14ac:dyDescent="0.3">
      <c r="A408" s="87">
        <f>A394</f>
        <v>0.4</v>
      </c>
      <c r="B408" s="19">
        <v>6.0300000000000011</v>
      </c>
    </row>
    <row r="409" spans="1:4" x14ac:dyDescent="0.3">
      <c r="A409" s="87">
        <f>A395</f>
        <v>0.5</v>
      </c>
      <c r="B409" s="19">
        <v>6.3000000000000043</v>
      </c>
    </row>
    <row r="410" spans="1:4" x14ac:dyDescent="0.3">
      <c r="A410" s="87">
        <f>A396</f>
        <v>0.6</v>
      </c>
      <c r="B410" s="19">
        <v>6.5699999999999932</v>
      </c>
    </row>
    <row r="411" spans="1:4" x14ac:dyDescent="0.3">
      <c r="A411" s="87">
        <f>A397</f>
        <v>0.7</v>
      </c>
      <c r="B411" s="19">
        <v>6.8400000000000034</v>
      </c>
    </row>
    <row r="412" spans="1:4" x14ac:dyDescent="0.3">
      <c r="A412" s="87">
        <f>A398</f>
        <v>0.8</v>
      </c>
      <c r="B412" s="19">
        <v>7.1099999999999994</v>
      </c>
    </row>
    <row r="413" spans="1:4" x14ac:dyDescent="0.3">
      <c r="A413" s="87">
        <f>A399</f>
        <v>0.9</v>
      </c>
      <c r="B413" s="19">
        <v>7.3800000000000026</v>
      </c>
    </row>
    <row r="414" spans="1:4" x14ac:dyDescent="0.3">
      <c r="A414" s="87">
        <f>A400</f>
        <v>1</v>
      </c>
      <c r="B414" s="19">
        <v>7.4399999999999977</v>
      </c>
    </row>
    <row r="416" spans="1:4" x14ac:dyDescent="0.3">
      <c r="A416" s="18"/>
      <c r="B416" s="16" t="s">
        <v>92</v>
      </c>
      <c r="C416" s="66" t="s">
        <v>60</v>
      </c>
      <c r="D416" s="18"/>
    </row>
    <row r="417" spans="1:13" x14ac:dyDescent="0.3">
      <c r="A417" s="16" t="s">
        <v>90</v>
      </c>
      <c r="B417" s="19">
        <f>B368</f>
        <v>5.4899999999999949</v>
      </c>
      <c r="C417" s="89">
        <v>0.5</v>
      </c>
      <c r="D417" s="88">
        <v>14</v>
      </c>
    </row>
    <row r="418" spans="1:13" x14ac:dyDescent="0.3">
      <c r="A418" s="87">
        <f>A404</f>
        <v>0</v>
      </c>
      <c r="B418" s="19">
        <f t="dataTable" ref="B418:B428" dt2D="0" dtr="0" r1="B5" ca="1"/>
        <v>6.2100000000000009</v>
      </c>
      <c r="C418" s="89">
        <v>0.5</v>
      </c>
      <c r="D418" s="88">
        <v>0</v>
      </c>
    </row>
    <row r="419" spans="1:13" x14ac:dyDescent="0.3">
      <c r="A419" s="87">
        <f>A405</f>
        <v>0.1</v>
      </c>
      <c r="B419" s="19">
        <v>6.0659999999999954</v>
      </c>
    </row>
    <row r="420" spans="1:13" x14ac:dyDescent="0.3">
      <c r="A420" s="87">
        <f>A406</f>
        <v>0.2</v>
      </c>
      <c r="B420" s="19">
        <v>5.921999999999997</v>
      </c>
    </row>
    <row r="421" spans="1:13" x14ac:dyDescent="0.3">
      <c r="A421" s="87">
        <f>A407</f>
        <v>0.3</v>
      </c>
      <c r="B421" s="19">
        <v>5.7780000000000058</v>
      </c>
    </row>
    <row r="422" spans="1:13" x14ac:dyDescent="0.3">
      <c r="A422" s="87">
        <f>A408</f>
        <v>0.4</v>
      </c>
      <c r="B422" s="19">
        <v>5.6340000000000003</v>
      </c>
    </row>
    <row r="423" spans="1:13" x14ac:dyDescent="0.3">
      <c r="A423" s="87">
        <f>A409</f>
        <v>0.5</v>
      </c>
      <c r="B423" s="19">
        <v>5.4899999999999949</v>
      </c>
    </row>
    <row r="424" spans="1:13" x14ac:dyDescent="0.3">
      <c r="A424" s="87">
        <f>A410</f>
        <v>0.6</v>
      </c>
      <c r="B424" s="19">
        <v>5.3459999999999965</v>
      </c>
    </row>
    <row r="425" spans="1:13" x14ac:dyDescent="0.3">
      <c r="A425" s="87">
        <f>A411</f>
        <v>0.7</v>
      </c>
      <c r="B425" s="19">
        <v>5.2019999999999982</v>
      </c>
    </row>
    <row r="426" spans="1:13" x14ac:dyDescent="0.3">
      <c r="A426" s="87">
        <f>A412</f>
        <v>0.8</v>
      </c>
      <c r="B426" s="19">
        <v>5.0579999999999998</v>
      </c>
    </row>
    <row r="427" spans="1:13" x14ac:dyDescent="0.3">
      <c r="A427" s="87">
        <f>A413</f>
        <v>0.9</v>
      </c>
      <c r="B427" s="19">
        <v>4.9139999999999944</v>
      </c>
    </row>
    <row r="428" spans="1:13" x14ac:dyDescent="0.3">
      <c r="A428" s="87">
        <f>A414</f>
        <v>1</v>
      </c>
      <c r="B428" s="19">
        <v>4.769999999999996</v>
      </c>
    </row>
    <row r="431" spans="1:13" ht="15" thickBot="1" x14ac:dyDescent="0.35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</row>
    <row r="432" spans="1:13" ht="15" thickTop="1" x14ac:dyDescent="0.3"/>
  </sheetData>
  <mergeCells count="24">
    <mergeCell ref="M312:M313"/>
    <mergeCell ref="J312:J313"/>
    <mergeCell ref="N312:N313"/>
    <mergeCell ref="O312:O313"/>
    <mergeCell ref="I343:I344"/>
    <mergeCell ref="J343:J344"/>
    <mergeCell ref="K343:K344"/>
    <mergeCell ref="M343:M344"/>
    <mergeCell ref="N343:N344"/>
    <mergeCell ref="O343:O344"/>
    <mergeCell ref="I312:I313"/>
    <mergeCell ref="K312:K313"/>
    <mergeCell ref="L50:L51"/>
    <mergeCell ref="M50:M51"/>
    <mergeCell ref="G50:G51"/>
    <mergeCell ref="H50:H51"/>
    <mergeCell ref="I50:I51"/>
    <mergeCell ref="K50:K51"/>
    <mergeCell ref="M19:M20"/>
    <mergeCell ref="G19:G20"/>
    <mergeCell ref="H19:H20"/>
    <mergeCell ref="I19:I20"/>
    <mergeCell ref="K19:K20"/>
    <mergeCell ref="L19:L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ews-labadm</cp:lastModifiedBy>
  <dcterms:created xsi:type="dcterms:W3CDTF">2012-10-21T02:36:55Z</dcterms:created>
  <dcterms:modified xsi:type="dcterms:W3CDTF">2012-10-25T17:54:25Z</dcterms:modified>
</cp:coreProperties>
</file>