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9155" windowHeight="11760" tabRatio="743" activeTab="7"/>
  </bookViews>
  <sheets>
    <sheet name="Sheet1" sheetId="1" r:id="rId1"/>
    <sheet name="Sheet2" sheetId="2" r:id="rId2"/>
    <sheet name="Sheet3" sheetId="3" r:id="rId3"/>
    <sheet name="Sheet7" sheetId="7" r:id="rId4"/>
    <sheet name="Sheet1 (2)" sheetId="8" r:id="rId5"/>
    <sheet name="Semester 1 - txt" sheetId="9" r:id="rId6"/>
    <sheet name="Semester 1 - txt (2)" sheetId="10" r:id="rId7"/>
    <sheet name="AMPL output1" sheetId="11" r:id="rId8"/>
    <sheet name="Mathematica" sheetId="13" r:id="rId9"/>
  </sheets>
  <definedNames>
    <definedName name="x" localSheetId="7">'AMPL output1'!$A$2:$F$19</definedName>
  </definedNames>
  <calcPr calcId="145621"/>
</workbook>
</file>

<file path=xl/calcChain.xml><?xml version="1.0" encoding="utf-8"?>
<calcChain xmlns="http://schemas.openxmlformats.org/spreadsheetml/2006/main">
  <c r="C21" i="11" l="1"/>
  <c r="D21" i="11"/>
  <c r="E21" i="11"/>
  <c r="F21" i="11"/>
  <c r="B21" i="11"/>
  <c r="C43" i="11"/>
  <c r="F43" i="11"/>
  <c r="P4" i="11"/>
  <c r="J22" i="11" l="1"/>
  <c r="M22" i="11"/>
  <c r="J21" i="11"/>
  <c r="M21" i="11"/>
  <c r="E41" i="11" l="1"/>
  <c r="E40" i="11"/>
  <c r="E37" i="11"/>
  <c r="E36" i="11"/>
  <c r="D36" i="11"/>
  <c r="D43" i="11" s="1"/>
  <c r="E35" i="11"/>
  <c r="E34" i="11"/>
  <c r="E32" i="11"/>
  <c r="E31" i="11"/>
  <c r="E30" i="11"/>
  <c r="E28" i="11"/>
  <c r="B27" i="11"/>
  <c r="B43" i="11" s="1"/>
  <c r="E25" i="11"/>
  <c r="R4" i="1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T4" i="1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P5" i="11"/>
  <c r="L19" i="11"/>
  <c r="L18" i="11"/>
  <c r="L15" i="11"/>
  <c r="L14" i="11"/>
  <c r="K14" i="11"/>
  <c r="L13" i="11"/>
  <c r="L12" i="11"/>
  <c r="L10" i="11"/>
  <c r="L9" i="11"/>
  <c r="L8" i="11"/>
  <c r="L6" i="11"/>
  <c r="I5" i="11"/>
  <c r="L3" i="11"/>
  <c r="Q4" i="11"/>
  <c r="Q5" i="11" s="1"/>
  <c r="S4" i="11" l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L22" i="11"/>
  <c r="L21" i="11"/>
  <c r="K21" i="11"/>
  <c r="K22" i="11"/>
  <c r="E43" i="11"/>
  <c r="I22" i="11"/>
  <c r="I21" i="11"/>
  <c r="P6" i="1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R15" i="11"/>
  <c r="R16" i="11" s="1"/>
  <c r="R17" i="11" s="1"/>
  <c r="R18" i="11" s="1"/>
  <c r="R19" i="11" s="1"/>
  <c r="R20" i="11" s="1"/>
  <c r="Q6" i="1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C83" i="8"/>
  <c r="D83" i="8"/>
  <c r="E83" i="8"/>
  <c r="F83" i="8"/>
  <c r="G83" i="8"/>
  <c r="N12" i="8"/>
  <c r="O12" i="8"/>
  <c r="P12" i="8"/>
  <c r="Q12" i="8"/>
  <c r="M12" i="8"/>
  <c r="L3" i="10" l="1"/>
  <c r="E20" i="10"/>
  <c r="E19" i="10"/>
  <c r="C19" i="10"/>
  <c r="C18" i="10"/>
  <c r="E16" i="10"/>
  <c r="E15" i="10"/>
  <c r="D15" i="10"/>
  <c r="J3" i="10" s="1"/>
  <c r="C15" i="10"/>
  <c r="E14" i="10"/>
  <c r="E13" i="10"/>
  <c r="C13" i="10"/>
  <c r="C12" i="10"/>
  <c r="E11" i="10"/>
  <c r="C11" i="10"/>
  <c r="E10" i="10"/>
  <c r="C10" i="10"/>
  <c r="E9" i="10"/>
  <c r="C9" i="10"/>
  <c r="E7" i="10"/>
  <c r="C7" i="10"/>
  <c r="C6" i="10"/>
  <c r="B6" i="10"/>
  <c r="H3" i="10" s="1"/>
  <c r="E4" i="10"/>
  <c r="K3" i="10" s="1"/>
  <c r="C4" i="10"/>
  <c r="G77" i="8"/>
  <c r="M79" i="8" s="1"/>
  <c r="C82" i="8"/>
  <c r="C84" i="8"/>
  <c r="I3" i="10" l="1"/>
  <c r="T3" i="10" s="1"/>
  <c r="T4" i="10" s="1"/>
  <c r="H25" i="10"/>
  <c r="L4" i="10"/>
  <c r="J4" i="10"/>
  <c r="H24" i="10"/>
  <c r="H4" i="10"/>
  <c r="M4" i="10" s="1"/>
  <c r="K4" i="10"/>
  <c r="I4" i="10"/>
  <c r="E18" i="9"/>
  <c r="E17" i="9"/>
  <c r="C17" i="9"/>
  <c r="C16" i="9"/>
  <c r="E14" i="9"/>
  <c r="E13" i="9"/>
  <c r="D13" i="9"/>
  <c r="C13" i="9"/>
  <c r="E12" i="9"/>
  <c r="E11" i="9"/>
  <c r="C11" i="9"/>
  <c r="C10" i="9"/>
  <c r="E9" i="9"/>
  <c r="C9" i="9"/>
  <c r="E8" i="9"/>
  <c r="C8" i="9"/>
  <c r="E7" i="9"/>
  <c r="C7" i="9"/>
  <c r="E5" i="9"/>
  <c r="C5" i="9"/>
  <c r="C4" i="9"/>
  <c r="B4" i="9"/>
  <c r="E2" i="9"/>
  <c r="C2" i="9"/>
  <c r="K5" i="10" l="1"/>
  <c r="J5" i="10"/>
  <c r="I5" i="10"/>
  <c r="H5" i="10"/>
  <c r="L5" i="10"/>
  <c r="N3" i="10"/>
  <c r="O3" i="10"/>
  <c r="P3" i="10"/>
  <c r="Q3" i="10"/>
  <c r="M3" i="10"/>
  <c r="L6" i="10" l="1"/>
  <c r="Q5" i="10"/>
  <c r="H6" i="10"/>
  <c r="M5" i="10"/>
  <c r="N4" i="10"/>
  <c r="O5" i="10"/>
  <c r="J6" i="10"/>
  <c r="K6" i="10"/>
  <c r="P5" i="10"/>
  <c r="Q4" i="10"/>
  <c r="N5" i="10"/>
  <c r="I6" i="10"/>
  <c r="O4" i="10"/>
  <c r="P4" i="10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F67" i="8"/>
  <c r="F66" i="8"/>
  <c r="F65" i="8"/>
  <c r="F63" i="8"/>
  <c r="F62" i="8"/>
  <c r="F57" i="8"/>
  <c r="F56" i="8"/>
  <c r="F53" i="8"/>
  <c r="F52" i="8"/>
  <c r="F51" i="8"/>
  <c r="F50" i="8"/>
  <c r="F48" i="8"/>
  <c r="D74" i="8"/>
  <c r="D72" i="8"/>
  <c r="D69" i="8"/>
  <c r="D67" i="8"/>
  <c r="D65" i="8"/>
  <c r="D64" i="8"/>
  <c r="D63" i="8"/>
  <c r="C70" i="8"/>
  <c r="D56" i="8"/>
  <c r="D55" i="8"/>
  <c r="D52" i="8"/>
  <c r="D50" i="8"/>
  <c r="D49" i="8"/>
  <c r="D48" i="8"/>
  <c r="D47" i="8"/>
  <c r="D46" i="8"/>
  <c r="E73" i="8"/>
  <c r="E72" i="8"/>
  <c r="E70" i="8"/>
  <c r="E69" i="8"/>
  <c r="E52" i="8"/>
  <c r="E77" i="8" s="1"/>
  <c r="K79" i="8" s="1"/>
  <c r="F47" i="8"/>
  <c r="F46" i="8"/>
  <c r="F44" i="8"/>
  <c r="D44" i="8"/>
  <c r="C43" i="8"/>
  <c r="C77" i="8" s="1"/>
  <c r="D43" i="8"/>
  <c r="J81" i="8"/>
  <c r="D41" i="8"/>
  <c r="F41" i="8"/>
  <c r="G82" i="8"/>
  <c r="F82" i="8"/>
  <c r="E82" i="8"/>
  <c r="D82" i="8"/>
  <c r="N3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D77" i="8" l="1"/>
  <c r="J79" i="8" s="1"/>
  <c r="S42" i="8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I79" i="8"/>
  <c r="E84" i="8"/>
  <c r="J24" i="10" s="1"/>
  <c r="J25" i="10"/>
  <c r="G84" i="8"/>
  <c r="L24" i="10" s="1"/>
  <c r="L25" i="10"/>
  <c r="D84" i="8"/>
  <c r="I25" i="10"/>
  <c r="F84" i="8"/>
  <c r="K24" i="10" s="1"/>
  <c r="K25" i="10"/>
  <c r="F77" i="8"/>
  <c r="L79" i="8" s="1"/>
  <c r="R43" i="8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U41" i="8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N6" i="10"/>
  <c r="I7" i="10"/>
  <c r="J7" i="10"/>
  <c r="O6" i="10"/>
  <c r="H7" i="10"/>
  <c r="M6" i="10"/>
  <c r="L7" i="10"/>
  <c r="Q6" i="10"/>
  <c r="T52" i="8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K7" i="10"/>
  <c r="P6" i="10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W41" i="1"/>
  <c r="Y41" i="1"/>
  <c r="U42" i="1"/>
  <c r="W42" i="1"/>
  <c r="X42" i="1"/>
  <c r="Y42" i="1"/>
  <c r="W43" i="1"/>
  <c r="X43" i="1"/>
  <c r="Y43" i="1"/>
  <c r="U44" i="1"/>
  <c r="W44" i="1"/>
  <c r="Y44" i="1"/>
  <c r="V45" i="1"/>
  <c r="W45" i="1"/>
  <c r="Y45" i="1"/>
  <c r="W46" i="1"/>
  <c r="Y46" i="1"/>
  <c r="U47" i="1"/>
  <c r="W47" i="1"/>
  <c r="Y47" i="1"/>
  <c r="U48" i="1"/>
  <c r="W48" i="1"/>
  <c r="X48" i="1"/>
  <c r="Y48" i="1"/>
  <c r="U49" i="1"/>
  <c r="W49" i="1"/>
  <c r="X49" i="1"/>
  <c r="Y49" i="1"/>
  <c r="U50" i="1"/>
  <c r="W50" i="1"/>
  <c r="X50" i="1"/>
  <c r="Y50" i="1"/>
  <c r="U51" i="1"/>
  <c r="V51" i="1"/>
  <c r="W51" i="1"/>
  <c r="X51" i="1"/>
  <c r="Y51" i="1"/>
  <c r="U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W55" i="1"/>
  <c r="X55" i="1"/>
  <c r="Y55" i="1"/>
  <c r="U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X69" i="1"/>
  <c r="Y69" i="1"/>
  <c r="U70" i="1"/>
  <c r="V70" i="1"/>
  <c r="X70" i="1"/>
  <c r="Y70" i="1"/>
  <c r="U71" i="1"/>
  <c r="V71" i="1"/>
  <c r="W71" i="1"/>
  <c r="X71" i="1"/>
  <c r="Y71" i="1"/>
  <c r="U72" i="1"/>
  <c r="V72" i="1"/>
  <c r="X72" i="1"/>
  <c r="Y72" i="1"/>
  <c r="U73" i="1"/>
  <c r="V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W3" i="1"/>
  <c r="X3" i="1"/>
  <c r="Y3" i="1"/>
  <c r="U3" i="1"/>
  <c r="F47" i="1"/>
  <c r="X47" i="1" s="1"/>
  <c r="E73" i="1"/>
  <c r="W73" i="1" s="1"/>
  <c r="E72" i="1"/>
  <c r="W72" i="1" s="1"/>
  <c r="E70" i="1"/>
  <c r="W70" i="1" s="1"/>
  <c r="E69" i="1"/>
  <c r="W69" i="1" s="1"/>
  <c r="E52" i="1"/>
  <c r="W52" i="1" s="1"/>
  <c r="F46" i="1"/>
  <c r="X46" i="1" s="1"/>
  <c r="F45" i="1"/>
  <c r="X45" i="1" s="1"/>
  <c r="F44" i="1"/>
  <c r="X44" i="1" s="1"/>
  <c r="F41" i="1"/>
  <c r="X41" i="1" s="1"/>
  <c r="D56" i="1"/>
  <c r="V56" i="1" s="1"/>
  <c r="D55" i="1"/>
  <c r="V55" i="1" s="1"/>
  <c r="D52" i="1"/>
  <c r="V52" i="1" s="1"/>
  <c r="D50" i="1"/>
  <c r="V50" i="1" s="1"/>
  <c r="D49" i="1"/>
  <c r="V49" i="1" s="1"/>
  <c r="D48" i="1"/>
  <c r="V48" i="1" s="1"/>
  <c r="D47" i="1"/>
  <c r="V47" i="1" s="1"/>
  <c r="D46" i="1"/>
  <c r="V46" i="1" s="1"/>
  <c r="C46" i="1"/>
  <c r="U46" i="1" s="1"/>
  <c r="C45" i="1"/>
  <c r="U45" i="1" s="1"/>
  <c r="D44" i="1"/>
  <c r="V44" i="1" s="1"/>
  <c r="D43" i="1"/>
  <c r="V43" i="1" s="1"/>
  <c r="C43" i="1"/>
  <c r="U43" i="1" s="1"/>
  <c r="D42" i="1"/>
  <c r="V42" i="1" s="1"/>
  <c r="D41" i="1"/>
  <c r="V41" i="1" s="1"/>
  <c r="D23" i="1"/>
  <c r="V23" i="1" s="1"/>
  <c r="P3" i="1"/>
  <c r="V3" i="1" s="1"/>
  <c r="D82" i="1"/>
  <c r="E82" i="1"/>
  <c r="F82" i="1"/>
  <c r="G82" i="1"/>
  <c r="H82" i="1"/>
  <c r="C82" i="1"/>
  <c r="I77" i="8" l="1"/>
  <c r="I78" i="8" s="1"/>
  <c r="N79" i="8"/>
  <c r="K8" i="10"/>
  <c r="P7" i="10"/>
  <c r="I8" i="10"/>
  <c r="N7" i="10"/>
  <c r="I24" i="10"/>
  <c r="O24" i="10" s="1"/>
  <c r="I31" i="10" s="1"/>
  <c r="F32" i="10" s="1"/>
  <c r="H84" i="8"/>
  <c r="L8" i="10"/>
  <c r="Q7" i="10"/>
  <c r="H8" i="10"/>
  <c r="M7" i="10"/>
  <c r="J8" i="10"/>
  <c r="O7" i="10"/>
  <c r="O25" i="10"/>
  <c r="K31" i="10" s="1"/>
  <c r="J80" i="8" l="1"/>
  <c r="J82" i="8" s="1"/>
  <c r="O79" i="8"/>
  <c r="K80" i="8"/>
  <c r="K82" i="8" s="1"/>
  <c r="M80" i="8"/>
  <c r="M82" i="8" s="1"/>
  <c r="L80" i="8"/>
  <c r="L82" i="8" s="1"/>
  <c r="I80" i="8"/>
  <c r="J9" i="10"/>
  <c r="O8" i="10"/>
  <c r="H9" i="10"/>
  <c r="M8" i="10"/>
  <c r="L9" i="10"/>
  <c r="Q8" i="10"/>
  <c r="I9" i="10"/>
  <c r="N8" i="10"/>
  <c r="K9" i="10"/>
  <c r="P8" i="10"/>
  <c r="I82" i="8" l="1"/>
  <c r="O80" i="8"/>
  <c r="K10" i="10"/>
  <c r="P9" i="10"/>
  <c r="I10" i="10"/>
  <c r="N9" i="10"/>
  <c r="L10" i="10"/>
  <c r="Q9" i="10"/>
  <c r="H10" i="10"/>
  <c r="M9" i="10"/>
  <c r="J10" i="10"/>
  <c r="O9" i="10"/>
  <c r="J11" i="10" l="1"/>
  <c r="O10" i="10"/>
  <c r="H11" i="10"/>
  <c r="M10" i="10"/>
  <c r="L11" i="10"/>
  <c r="Q10" i="10"/>
  <c r="I11" i="10"/>
  <c r="N10" i="10"/>
  <c r="K11" i="10"/>
  <c r="P10" i="10"/>
  <c r="I12" i="10" l="1"/>
  <c r="N11" i="10"/>
  <c r="K12" i="10"/>
  <c r="P11" i="10"/>
  <c r="L12" i="10"/>
  <c r="Q11" i="10"/>
  <c r="H12" i="10"/>
  <c r="M11" i="10"/>
  <c r="J12" i="10"/>
  <c r="O11" i="10"/>
  <c r="J13" i="10" l="1"/>
  <c r="O12" i="10"/>
  <c r="K13" i="10"/>
  <c r="P12" i="10"/>
  <c r="H13" i="10"/>
  <c r="M12" i="10"/>
  <c r="L13" i="10"/>
  <c r="Q12" i="10"/>
  <c r="I13" i="10"/>
  <c r="N12" i="10"/>
  <c r="L14" i="10" l="1"/>
  <c r="Q13" i="10"/>
  <c r="I14" i="10"/>
  <c r="N13" i="10"/>
  <c r="H14" i="10"/>
  <c r="M13" i="10"/>
  <c r="K14" i="10"/>
  <c r="P13" i="10"/>
  <c r="J14" i="10"/>
  <c r="O13" i="10"/>
  <c r="J15" i="10" l="1"/>
  <c r="O14" i="10"/>
  <c r="K15" i="10"/>
  <c r="P14" i="10"/>
  <c r="H15" i="10"/>
  <c r="M14" i="10"/>
  <c r="I15" i="10"/>
  <c r="N14" i="10"/>
  <c r="L15" i="10"/>
  <c r="Q14" i="10"/>
  <c r="L16" i="10" l="1"/>
  <c r="Q15" i="10"/>
  <c r="I16" i="10"/>
  <c r="N15" i="10"/>
  <c r="H16" i="10"/>
  <c r="M15" i="10"/>
  <c r="K16" i="10"/>
  <c r="P15" i="10"/>
  <c r="J16" i="10"/>
  <c r="O15" i="10"/>
  <c r="J17" i="10" l="1"/>
  <c r="O16" i="10"/>
  <c r="K17" i="10"/>
  <c r="P16" i="10"/>
  <c r="H17" i="10"/>
  <c r="M16" i="10"/>
  <c r="I17" i="10"/>
  <c r="N16" i="10"/>
  <c r="L17" i="10"/>
  <c r="Q16" i="10"/>
  <c r="L18" i="10" l="1"/>
  <c r="Q17" i="10"/>
  <c r="I18" i="10"/>
  <c r="N17" i="10"/>
  <c r="H18" i="10"/>
  <c r="M17" i="10"/>
  <c r="K18" i="10"/>
  <c r="P17" i="10"/>
  <c r="J18" i="10"/>
  <c r="O17" i="10"/>
  <c r="J19" i="10" l="1"/>
  <c r="O18" i="10"/>
  <c r="K19" i="10"/>
  <c r="P18" i="10"/>
  <c r="H19" i="10"/>
  <c r="M18" i="10"/>
  <c r="I19" i="10"/>
  <c r="N18" i="10"/>
  <c r="L19" i="10"/>
  <c r="Q18" i="10"/>
  <c r="L20" i="10" l="1"/>
  <c r="Q20" i="10" s="1"/>
  <c r="Q19" i="10"/>
  <c r="I20" i="10"/>
  <c r="N20" i="10" s="1"/>
  <c r="N19" i="10"/>
  <c r="M19" i="10"/>
  <c r="H20" i="10"/>
  <c r="M20" i="10" s="1"/>
  <c r="K20" i="10"/>
  <c r="P20" i="10" s="1"/>
  <c r="P19" i="10"/>
  <c r="J20" i="10"/>
  <c r="O20" i="10" s="1"/>
  <c r="O19" i="10"/>
  <c r="O22" i="10" l="1"/>
  <c r="P22" i="10"/>
  <c r="N22" i="10"/>
  <c r="Q22" i="10"/>
  <c r="M22" i="10"/>
  <c r="K30" i="10" l="1"/>
  <c r="K33" i="10" s="1"/>
  <c r="I30" i="10"/>
  <c r="I33" i="10" s="1"/>
  <c r="I36" i="10" l="1"/>
  <c r="I37" i="10"/>
  <c r="K36" i="10"/>
  <c r="K37" i="10"/>
</calcChain>
</file>

<file path=xl/connections.xml><?xml version="1.0" encoding="utf-8"?>
<connections xmlns="http://schemas.openxmlformats.org/spreadsheetml/2006/main">
  <connection id="1" name="x" type="6" refreshedVersion="4" background="1" saveData="1">
    <textPr codePage="437" sourceFile="F:\2011-2012 ~ UIUC\SPRING 2012\CEE 512 - Logistics Systems Analysis\Project\x.txt" delimited="0">
      <textFields count="6">
        <textField/>
        <textField position="2"/>
        <textField position="7"/>
        <textField position="12"/>
        <textField position="17"/>
        <textField position="22"/>
      </textFields>
    </textPr>
  </connection>
</connections>
</file>

<file path=xl/sharedStrings.xml><?xml version="1.0" encoding="utf-8"?>
<sst xmlns="http://schemas.openxmlformats.org/spreadsheetml/2006/main" count="120" uniqueCount="52">
  <si>
    <t>Week</t>
  </si>
  <si>
    <t>Holding Cost (units = )</t>
  </si>
  <si>
    <r>
      <t xml:space="preserve">Inventory on hand at </t>
    </r>
    <r>
      <rPr>
        <b/>
        <sz val="11"/>
        <color theme="1"/>
        <rFont val="Calibri"/>
        <family val="2"/>
        <scheme val="minor"/>
      </rPr>
      <t xml:space="preserve">end </t>
    </r>
    <r>
      <rPr>
        <sz val="11"/>
        <color theme="1"/>
        <rFont val="Calibri"/>
        <family val="2"/>
        <scheme val="minor"/>
      </rPr>
      <t>of period (units = )</t>
    </r>
  </si>
  <si>
    <t>Demand at beginning of period (units = )</t>
  </si>
  <si>
    <t>S ($/order)</t>
  </si>
  <si>
    <t>unit cost ($/case)</t>
  </si>
  <si>
    <t>s ( )</t>
  </si>
  <si>
    <t>holding cost ( )</t>
  </si>
  <si>
    <t>VCC</t>
  </si>
  <si>
    <t>VFF</t>
  </si>
  <si>
    <t>VCT</t>
  </si>
  <si>
    <t>VBT</t>
  </si>
  <si>
    <t>VSBH</t>
  </si>
  <si>
    <t>Date</t>
  </si>
  <si>
    <t>Order from supplier(units = 6.62 lb/pack)</t>
  </si>
  <si>
    <t>Bin</t>
  </si>
  <si>
    <t>More</t>
  </si>
  <si>
    <t>Frequency</t>
  </si>
  <si>
    <t>Demand at beginning of period (units = bag or pack)</t>
  </si>
  <si>
    <t>unit cost ($/pack</t>
  </si>
  <si>
    <t>4.7% c</t>
  </si>
  <si>
    <t>holding cost ( ) = 0.2*c</t>
  </si>
  <si>
    <t>s = 4.7% c * 4 packs/case * 10 cases/order</t>
  </si>
  <si>
    <t>&lt; 500</t>
  </si>
  <si>
    <t>sum sem 1</t>
  </si>
  <si>
    <t>Demand</t>
  </si>
  <si>
    <t>Inventory at end of period</t>
  </si>
  <si>
    <t>Holding cost</t>
  </si>
  <si>
    <t>Total holding</t>
  </si>
  <si>
    <t>Sum</t>
  </si>
  <si>
    <t>Total S</t>
  </si>
  <si>
    <t>Total order1</t>
  </si>
  <si>
    <t>Total order2</t>
  </si>
  <si>
    <t>cases</t>
  </si>
  <si>
    <t>packs</t>
  </si>
  <si>
    <t>ordering1</t>
  </si>
  <si>
    <t>Total</t>
  </si>
  <si>
    <t>ordering2</t>
  </si>
  <si>
    <t>sum</t>
  </si>
  <si>
    <t>cplex</t>
  </si>
  <si>
    <t>Order</t>
  </si>
  <si>
    <t>Inventory</t>
  </si>
  <si>
    <t>p</t>
  </si>
  <si>
    <t>Objective</t>
  </si>
  <si>
    <t># orders</t>
  </si>
  <si>
    <t>Sum D</t>
  </si>
  <si>
    <t>Sum O</t>
  </si>
  <si>
    <t>Item Name</t>
  </si>
  <si>
    <t>Item Number</t>
  </si>
  <si>
    <t>c ($/pack)</t>
  </si>
  <si>
    <t>p (%)</t>
  </si>
  <si>
    <t>h ($/pack)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</si>
</sst>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m/dd/yy;@"/>
    <numFmt numFmtId="165" formatCode="0.000_);[Red]\(0.000\)"/>
    <numFmt numFmtId="166" formatCode="0_);[Red]\(0\)"/>
    <numFmt numFmtId="167" formatCode="0.00_);[Red]\(0.00\)"/>
    <numFmt numFmtId="168" formatCode="0.000"/>
    <numFmt numFmtId="169" formatCode="&quot;$&quot;#,##0"/>
    <numFmt numFmtId="170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/>
    <xf numFmtId="164" fontId="0" fillId="0" borderId="22" xfId="0" applyNumberFormat="1" applyBorder="1"/>
    <xf numFmtId="164" fontId="0" fillId="0" borderId="0" xfId="0" applyNumberFormat="1" applyBorder="1"/>
    <xf numFmtId="164" fontId="0" fillId="0" borderId="27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22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165" fontId="0" fillId="0" borderId="29" xfId="0" applyNumberFormat="1" applyBorder="1"/>
    <xf numFmtId="165" fontId="0" fillId="0" borderId="28" xfId="0" applyNumberFormat="1" applyBorder="1"/>
    <xf numFmtId="165" fontId="0" fillId="0" borderId="30" xfId="0" applyNumberFormat="1" applyBorder="1"/>
    <xf numFmtId="0" fontId="2" fillId="0" borderId="8" xfId="0" applyFont="1" applyBorder="1"/>
    <xf numFmtId="0" fontId="0" fillId="0" borderId="0" xfId="0" applyFill="1" applyBorder="1" applyAlignment="1"/>
    <xf numFmtId="0" fontId="0" fillId="0" borderId="31" xfId="0" applyFill="1" applyBorder="1" applyAlignment="1"/>
    <xf numFmtId="0" fontId="3" fillId="0" borderId="3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66" fontId="0" fillId="0" borderId="18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4" xfId="0" applyNumberFormat="1" applyBorder="1"/>
    <xf numFmtId="166" fontId="0" fillId="0" borderId="6" xfId="0" applyNumberFormat="1" applyBorder="1"/>
    <xf numFmtId="166" fontId="0" fillId="0" borderId="9" xfId="0" applyNumberFormat="1" applyBorder="1"/>
    <xf numFmtId="0" fontId="0" fillId="2" borderId="25" xfId="0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6" fontId="0" fillId="2" borderId="5" xfId="0" applyNumberFormat="1" applyFill="1" applyBorder="1"/>
    <xf numFmtId="166" fontId="0" fillId="2" borderId="1" xfId="0" applyNumberFormat="1" applyFill="1" applyBorder="1"/>
    <xf numFmtId="0" fontId="0" fillId="2" borderId="5" xfId="0" applyFill="1" applyBorder="1"/>
    <xf numFmtId="0" fontId="0" fillId="2" borderId="1" xfId="0" applyFill="1" applyBorder="1"/>
    <xf numFmtId="0" fontId="2" fillId="2" borderId="1" xfId="0" applyFont="1" applyFill="1" applyBorder="1"/>
    <xf numFmtId="165" fontId="0" fillId="2" borderId="5" xfId="0" applyNumberFormat="1" applyFill="1" applyBorder="1"/>
    <xf numFmtId="165" fontId="0" fillId="2" borderId="1" xfId="0" applyNumberFormat="1" applyFill="1" applyBorder="1"/>
    <xf numFmtId="166" fontId="0" fillId="2" borderId="6" xfId="0" applyNumberFormat="1" applyFill="1" applyBorder="1"/>
    <xf numFmtId="0" fontId="0" fillId="2" borderId="0" xfId="0" applyFill="1"/>
    <xf numFmtId="0" fontId="2" fillId="2" borderId="5" xfId="0" applyFont="1" applyFill="1" applyBorder="1"/>
    <xf numFmtId="0" fontId="4" fillId="0" borderId="5" xfId="0" applyFont="1" applyBorder="1"/>
    <xf numFmtId="0" fontId="4" fillId="0" borderId="1" xfId="0" applyFont="1" applyBorder="1"/>
    <xf numFmtId="166" fontId="0" fillId="0" borderId="1" xfId="0" applyNumberFormat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Fill="1" applyBorder="1"/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0" fillId="3" borderId="25" xfId="0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6" fontId="0" fillId="3" borderId="5" xfId="0" applyNumberFormat="1" applyFill="1" applyBorder="1"/>
    <xf numFmtId="166" fontId="0" fillId="3" borderId="1" xfId="0" applyNumberFormat="1" applyFill="1" applyBorder="1"/>
    <xf numFmtId="166" fontId="0" fillId="3" borderId="0" xfId="0" applyNumberFormat="1" applyFill="1"/>
    <xf numFmtId="40" fontId="0" fillId="0" borderId="5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40" fontId="0" fillId="0" borderId="6" xfId="0" applyNumberFormat="1" applyBorder="1" applyAlignment="1">
      <alignment horizontal="center"/>
    </xf>
    <xf numFmtId="40" fontId="0" fillId="0" borderId="7" xfId="0" applyNumberFormat="1" applyBorder="1" applyAlignment="1">
      <alignment horizontal="center"/>
    </xf>
    <xf numFmtId="40" fontId="0" fillId="0" borderId="2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0" fillId="0" borderId="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Fill="1" applyBorder="1"/>
    <xf numFmtId="0" fontId="0" fillId="0" borderId="3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NumberFormat="1"/>
    <xf numFmtId="170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5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33385473280488"/>
          <c:y val="0.30051706036745407"/>
          <c:w val="0.75045715245190314"/>
          <c:h val="0.4515385826771653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'Sheet1 (2)'!$C$86:$C$100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More</c:v>
                </c:pt>
              </c:strCache>
            </c:strRef>
          </c:cat>
          <c:val>
            <c:numRef>
              <c:f>'Sheet1 (2)'!$D$86:$D$100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32608"/>
        <c:axId val="76500992"/>
      </c:barChart>
      <c:catAx>
        <c:axId val="733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500992"/>
        <c:crosses val="autoZero"/>
        <c:auto val="1"/>
        <c:lblAlgn val="ctr"/>
        <c:lblOffset val="100"/>
        <c:noMultiLvlLbl val="0"/>
      </c:catAx>
      <c:valAx>
        <c:axId val="7650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3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3930446194226"/>
          <c:y val="0.16297375328083993"/>
          <c:w val="0.30767327608973688"/>
          <c:h val="0.12055275590551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90241869372627"/>
          <c:y val="0.28051706036745405"/>
          <c:w val="0.78773169101893759"/>
          <c:h val="0.4372377952755904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'Sheet1 (2)'!$H$86:$H$100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More</c:v>
                </c:pt>
              </c:strCache>
            </c:strRef>
          </c:cat>
          <c:val>
            <c:numRef>
              <c:f>'Sheet1 (2)'!$I$86:$I$100</c:f>
              <c:numCache>
                <c:formatCode>General</c:formatCode>
                <c:ptCount val="15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30048"/>
        <c:axId val="76531968"/>
      </c:barChart>
      <c:catAx>
        <c:axId val="765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531968"/>
        <c:crosses val="autoZero"/>
        <c:auto val="1"/>
        <c:lblAlgn val="ctr"/>
        <c:lblOffset val="100"/>
        <c:noMultiLvlLbl val="0"/>
      </c:catAx>
      <c:valAx>
        <c:axId val="7653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0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923078512823695"/>
          <c:y val="0.17630708661417327"/>
          <c:w val="0.2929141606376694"/>
          <c:h val="0.12055275590551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8051706036745405"/>
          <c:w val="0.76665354330708657"/>
          <c:h val="0.4498839895013122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'Sheet1 (2)'!$M$86:$M$100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More</c:v>
                </c:pt>
              </c:strCache>
            </c:strRef>
          </c:cat>
          <c:val>
            <c:numRef>
              <c:f>'Sheet1 (2)'!$N$86:$N$100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0640"/>
        <c:axId val="76642560"/>
      </c:barChart>
      <c:catAx>
        <c:axId val="766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642560"/>
        <c:crosses val="autoZero"/>
        <c:auto val="1"/>
        <c:lblAlgn val="ctr"/>
        <c:lblOffset val="100"/>
        <c:noMultiLvlLbl val="0"/>
      </c:catAx>
      <c:valAx>
        <c:axId val="7664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4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786526684164481"/>
          <c:y val="0.16297375328083993"/>
          <c:w val="0.29619305049555372"/>
          <c:h val="0.12055275590551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427128608923885"/>
          <c:y val="0.28051706036745405"/>
          <c:w val="0.71420976377952761"/>
          <c:h val="0.4982052493438320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'Sheet1 (2)'!$R$86:$R$100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More</c:v>
                </c:pt>
              </c:strCache>
            </c:strRef>
          </c:cat>
          <c:val>
            <c:numRef>
              <c:f>'Sheet1 (2)'!$S$86:$S$100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5232"/>
        <c:axId val="76669696"/>
      </c:barChart>
      <c:catAx>
        <c:axId val="766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669696"/>
        <c:crosses val="autoZero"/>
        <c:auto val="1"/>
        <c:lblAlgn val="ctr"/>
        <c:lblOffset val="100"/>
        <c:noMultiLvlLbl val="0"/>
      </c:catAx>
      <c:valAx>
        <c:axId val="766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5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581438320209972"/>
          <c:y val="0.18297375328083992"/>
          <c:w val="0.29619305049555372"/>
          <c:h val="0.12055275590551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00995188101487"/>
          <c:y val="0.28051706036745405"/>
          <c:w val="0.79467437664041995"/>
          <c:h val="0.4365506561679789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'Sheet1 (2)'!$W$86:$W$100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More</c:v>
                </c:pt>
              </c:strCache>
            </c:strRef>
          </c:cat>
          <c:val>
            <c:numRef>
              <c:f>'Sheet1 (2)'!$X$86:$X$100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26080"/>
        <c:axId val="79728000"/>
      </c:barChart>
      <c:catAx>
        <c:axId val="797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728000"/>
        <c:crosses val="autoZero"/>
        <c:auto val="1"/>
        <c:lblAlgn val="ctr"/>
        <c:lblOffset val="100"/>
        <c:noMultiLvlLbl val="0"/>
      </c:catAx>
      <c:valAx>
        <c:axId val="7972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2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0971128608926"/>
          <c:y val="0.2096404199475066"/>
          <c:w val="0.2876077446840884"/>
          <c:h val="0.12055275590551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cat>
            <c:numRef>
              <c:f>'AMPL output1'!$O$3:$O$20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'AMPL output1'!$P$3:$P$20</c:f>
              <c:numCache>
                <c:formatCode>0_);[Red]\(0\)</c:formatCode>
                <c:ptCount val="18"/>
                <c:pt idx="0" formatCode="General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16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20</c:v>
                </c:pt>
                <c:pt idx="14">
                  <c:v>20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marker>
            <c:symbol val="none"/>
          </c:marker>
          <c:val>
            <c:numRef>
              <c:f>'AMPL output1'!$Q$3:$Q$20</c:f>
              <c:numCache>
                <c:formatCode>0_);[Red]\(0\)</c:formatCode>
                <c:ptCount val="18"/>
                <c:pt idx="0" formatCode="General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marker>
            <c:symbol val="none"/>
          </c:marker>
          <c:val>
            <c:numRef>
              <c:f>'AMPL output1'!$R$3:$R$20</c:f>
              <c:numCache>
                <c:formatCode>0_);[Red]\(0\)</c:formatCode>
                <c:ptCount val="18"/>
                <c:pt idx="0" formatCode="General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marker>
            <c:symbol val="none"/>
          </c:marker>
          <c:val>
            <c:numRef>
              <c:f>'AMPL output1'!$S$3:$S$20</c:f>
              <c:numCache>
                <c:formatCode>0_);[Red]\(0\)</c:formatCode>
                <c:ptCount val="18"/>
                <c:pt idx="0" formatCode="General">
                  <c:v>0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12</c:v>
                </c:pt>
                <c:pt idx="5">
                  <c:v>0</c:v>
                </c:pt>
                <c:pt idx="6">
                  <c:v>60</c:v>
                </c:pt>
                <c:pt idx="7">
                  <c:v>48</c:v>
                </c:pt>
                <c:pt idx="8">
                  <c:v>32</c:v>
                </c:pt>
                <c:pt idx="9">
                  <c:v>28</c:v>
                </c:pt>
                <c:pt idx="10">
                  <c:v>16</c:v>
                </c:pt>
                <c:pt idx="11">
                  <c:v>0</c:v>
                </c:pt>
                <c:pt idx="12">
                  <c:v>36</c:v>
                </c:pt>
                <c:pt idx="13">
                  <c:v>24</c:v>
                </c:pt>
                <c:pt idx="14">
                  <c:v>24</c:v>
                </c:pt>
                <c:pt idx="15">
                  <c:v>20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5</c:v>
          </c:tx>
          <c:marker>
            <c:symbol val="none"/>
          </c:marker>
          <c:val>
            <c:numRef>
              <c:f>'AMPL output1'!$T$3:$T$20</c:f>
              <c:numCache>
                <c:formatCode>0_);[Red]\(0\)</c:formatCode>
                <c:ptCount val="18"/>
                <c:pt idx="0" formatCode="General">
                  <c:v>0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9152"/>
        <c:axId val="76851072"/>
      </c:lineChart>
      <c:catAx>
        <c:axId val="768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r>
                  <a:rPr lang="en-US" baseline="0"/>
                  <a:t> (week)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851072"/>
        <c:crosses val="autoZero"/>
        <c:auto val="1"/>
        <c:lblAlgn val="ctr"/>
        <c:lblOffset val="100"/>
        <c:noMultiLvlLbl val="0"/>
      </c:catAx>
      <c:valAx>
        <c:axId val="76851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Inventory on hand at end of period (items)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8491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2035532994923874"/>
          <c:y val="2.9622125471987958E-2"/>
          <c:w val="5.9340101522842637E-2"/>
          <c:h val="0.2189877282653823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</c:v>
          </c:tx>
          <c:invertIfNegative val="0"/>
          <c:cat>
            <c:numRef>
              <c:f>'AMPL output1'!$A$25:$A$41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'AMPL output1'!$B$25:$B$41</c:f>
              <c:numCache>
                <c:formatCode>0_);[Red]\(0\)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16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12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numRef>
              <c:f>'AMPL output1'!$A$25:$A$41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'AMPL output1'!$C$25:$C$41</c:f>
              <c:numCache>
                <c:formatCode>General</c:formatCode>
                <c:ptCount val="17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 formatCode="0_);[Red]\(0\)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numRef>
              <c:f>'AMPL output1'!$A$25:$A$41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'AMPL output1'!$D$25:$D$41</c:f>
              <c:numCache>
                <c:formatCode>0_);[Red]\(0\)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numRef>
              <c:f>'AMPL output1'!$A$25:$A$41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'AMPL output1'!$E$25:$E$41</c:f>
              <c:numCache>
                <c:formatCode>0_);[Red]\(0\)</c:formatCode>
                <c:ptCount val="17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4</c:v>
                </c:pt>
                <c:pt idx="9">
                  <c:v>12</c:v>
                </c:pt>
                <c:pt idx="10">
                  <c:v>16</c:v>
                </c:pt>
                <c:pt idx="11">
                  <c:v>24</c:v>
                </c:pt>
                <c:pt idx="12">
                  <c:v>12</c:v>
                </c:pt>
                <c:pt idx="13">
                  <c:v>0</c:v>
                </c:pt>
                <c:pt idx="14">
                  <c:v>4</c:v>
                </c:pt>
                <c:pt idx="15">
                  <c:v>12</c:v>
                </c:pt>
                <c:pt idx="16">
                  <c:v>8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cat>
            <c:numRef>
              <c:f>'AMPL output1'!$A$25:$A$41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'AMPL output1'!$F$25:$F$41</c:f>
              <c:numCache>
                <c:formatCode>0_);[Red]\(0\)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70304"/>
        <c:axId val="76772480"/>
      </c:barChart>
      <c:catAx>
        <c:axId val="767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r>
                  <a:rPr lang="en-US" baseline="0"/>
                  <a:t> (week)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772480"/>
        <c:crosses val="autoZero"/>
        <c:auto val="1"/>
        <c:lblAlgn val="ctr"/>
        <c:lblOffset val="100"/>
        <c:noMultiLvlLbl val="0"/>
      </c:catAx>
      <c:valAx>
        <c:axId val="76772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 at beginning of period (items)</a:t>
                </a:r>
              </a:p>
            </c:rich>
          </c:tx>
          <c:layout/>
          <c:overlay val="0"/>
        </c:title>
        <c:numFmt formatCode="0_);[Red]\(0\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67703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8482233502538055"/>
          <c:y val="2.9622125471987958E-2"/>
          <c:w val="3.7317238898437188E-2"/>
          <c:h val="0.2189877282653823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'AMPL output1'!$I$2:$M$2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'AMPL output1'!$I$21:$M$21</c:f>
              <c:numCache>
                <c:formatCode>0_);[Red]\(0\)</c:formatCode>
                <c:ptCount val="5"/>
                <c:pt idx="0">
                  <c:v>101</c:v>
                </c:pt>
                <c:pt idx="1">
                  <c:v>40</c:v>
                </c:pt>
                <c:pt idx="2">
                  <c:v>44</c:v>
                </c:pt>
                <c:pt idx="3">
                  <c:v>204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253412211404472"/>
          <c:y val="0.39062821951533355"/>
          <c:w val="5.1555137687072178E-2"/>
          <c:h val="0.321903174920446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4951881014872"/>
          <c:y val="7.407407407407407E-2"/>
          <c:w val="0.7780115923009624"/>
          <c:h val="0.6664275298920968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'AMPL output1'!$I$22:$M$22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14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63872"/>
        <c:axId val="79665792"/>
      </c:barChart>
      <c:catAx>
        <c:axId val="79663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Item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9665792"/>
        <c:crosses val="autoZero"/>
        <c:auto val="1"/>
        <c:lblAlgn val="ctr"/>
        <c:lblOffset val="100"/>
        <c:noMultiLvlLbl val="0"/>
      </c:catAx>
      <c:valAx>
        <c:axId val="79665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weeks with demand</a:t>
                </a:r>
              </a:p>
            </c:rich>
          </c:tx>
          <c:layout>
            <c:manualLayout>
              <c:xMode val="edge"/>
              <c:yMode val="edge"/>
              <c:x val="0.34771135683448445"/>
              <c:y val="0.869240278960727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96638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100</xdr:row>
      <xdr:rowOff>142875</xdr:rowOff>
    </xdr:from>
    <xdr:to>
      <xdr:col>4</xdr:col>
      <xdr:colOff>600075</xdr:colOff>
      <xdr:row>110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100</xdr:row>
      <xdr:rowOff>133350</xdr:rowOff>
    </xdr:from>
    <xdr:to>
      <xdr:col>9</xdr:col>
      <xdr:colOff>609599</xdr:colOff>
      <xdr:row>110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100</xdr:row>
      <xdr:rowOff>133350</xdr:rowOff>
    </xdr:from>
    <xdr:to>
      <xdr:col>15</xdr:col>
      <xdr:colOff>19050</xdr:colOff>
      <xdr:row>110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514350</xdr:colOff>
      <xdr:row>100</xdr:row>
      <xdr:rowOff>142875</xdr:rowOff>
    </xdr:from>
    <xdr:to>
      <xdr:col>20</xdr:col>
      <xdr:colOff>19050</xdr:colOff>
      <xdr:row>110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100</xdr:row>
      <xdr:rowOff>123825</xdr:rowOff>
    </xdr:from>
    <xdr:to>
      <xdr:col>25</xdr:col>
      <xdr:colOff>19050</xdr:colOff>
      <xdr:row>110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26</xdr:row>
      <xdr:rowOff>119061</xdr:rowOff>
    </xdr:from>
    <xdr:to>
      <xdr:col>23</xdr:col>
      <xdr:colOff>447675</xdr:colOff>
      <xdr:row>54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51</xdr:row>
      <xdr:rowOff>57150</xdr:rowOff>
    </xdr:from>
    <xdr:to>
      <xdr:col>11</xdr:col>
      <xdr:colOff>381000</xdr:colOff>
      <xdr:row>52</xdr:row>
      <xdr:rowOff>114300</xdr:rowOff>
    </xdr:to>
    <xdr:sp macro="" textlink="">
      <xdr:nvSpPr>
        <xdr:cNvPr id="13" name="Oval 12"/>
        <xdr:cNvSpPr/>
      </xdr:nvSpPr>
      <xdr:spPr>
        <a:xfrm>
          <a:off x="4572000" y="9791700"/>
          <a:ext cx="247650" cy="247650"/>
        </a:xfrm>
        <a:prstGeom prst="ellipse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571500</xdr:colOff>
      <xdr:row>51</xdr:row>
      <xdr:rowOff>38100</xdr:rowOff>
    </xdr:from>
    <xdr:to>
      <xdr:col>15</xdr:col>
      <xdr:colOff>209550</xdr:colOff>
      <xdr:row>52</xdr:row>
      <xdr:rowOff>95250</xdr:rowOff>
    </xdr:to>
    <xdr:sp macro="" textlink="">
      <xdr:nvSpPr>
        <xdr:cNvPr id="14" name="Oval 13"/>
        <xdr:cNvSpPr/>
      </xdr:nvSpPr>
      <xdr:spPr>
        <a:xfrm>
          <a:off x="6457950" y="9772650"/>
          <a:ext cx="247650" cy="247650"/>
        </a:xfrm>
        <a:prstGeom prst="ellipse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400050</xdr:colOff>
      <xdr:row>51</xdr:row>
      <xdr:rowOff>57150</xdr:rowOff>
    </xdr:from>
    <xdr:to>
      <xdr:col>20</xdr:col>
      <xdr:colOff>209550</xdr:colOff>
      <xdr:row>52</xdr:row>
      <xdr:rowOff>114300</xdr:rowOff>
    </xdr:to>
    <xdr:sp macro="" textlink="">
      <xdr:nvSpPr>
        <xdr:cNvPr id="15" name="Oval 14"/>
        <xdr:cNvSpPr/>
      </xdr:nvSpPr>
      <xdr:spPr>
        <a:xfrm>
          <a:off x="8724900" y="9791700"/>
          <a:ext cx="247650" cy="247650"/>
        </a:xfrm>
        <a:prstGeom prst="ellipse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58</xdr:row>
      <xdr:rowOff>123825</xdr:rowOff>
    </xdr:from>
    <xdr:to>
      <xdr:col>23</xdr:col>
      <xdr:colOff>152400</xdr:colOff>
      <xdr:row>86</xdr:row>
      <xdr:rowOff>33338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128095</xdr:colOff>
      <xdr:row>88</xdr:row>
      <xdr:rowOff>9688</xdr:rowOff>
    </xdr:from>
    <xdr:to>
      <xdr:col>19</xdr:col>
      <xdr:colOff>404320</xdr:colOff>
      <xdr:row>106</xdr:row>
      <xdr:rowOff>147801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348987</xdr:colOff>
      <xdr:row>111</xdr:row>
      <xdr:rowOff>187692</xdr:rowOff>
    </xdr:from>
    <xdr:to>
      <xdr:col>20</xdr:col>
      <xdr:colOff>438150</xdr:colOff>
      <xdr:row>127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A13" workbookViewId="0">
      <selection activeCell="C1" sqref="A1:H76"/>
    </sheetView>
  </sheetViews>
  <sheetFormatPr defaultRowHeight="15" x14ac:dyDescent="0.25"/>
  <cols>
    <col min="1" max="1" width="16.5703125" customWidth="1"/>
    <col min="2" max="2" width="16.5703125" style="27" customWidth="1"/>
    <col min="15" max="15" width="8.7109375" customWidth="1"/>
  </cols>
  <sheetData>
    <row r="1" spans="1:26" ht="15.75" thickBot="1" x14ac:dyDescent="0.3">
      <c r="A1" s="7"/>
      <c r="B1" s="25"/>
      <c r="C1" s="174" t="s">
        <v>3</v>
      </c>
      <c r="D1" s="175"/>
      <c r="E1" s="175"/>
      <c r="F1" s="175"/>
      <c r="G1" s="175"/>
      <c r="H1" s="176"/>
      <c r="I1" s="174" t="s">
        <v>1</v>
      </c>
      <c r="J1" s="175"/>
      <c r="K1" s="175"/>
      <c r="L1" s="175"/>
      <c r="M1" s="175"/>
      <c r="N1" s="176"/>
      <c r="O1" s="174" t="s">
        <v>14</v>
      </c>
      <c r="P1" s="175"/>
      <c r="Q1" s="175"/>
      <c r="R1" s="175"/>
      <c r="S1" s="175"/>
      <c r="T1" s="176"/>
      <c r="U1" s="174" t="s">
        <v>2</v>
      </c>
      <c r="V1" s="175"/>
      <c r="W1" s="175"/>
      <c r="X1" s="175"/>
      <c r="Y1" s="175"/>
      <c r="Z1" s="176"/>
    </row>
    <row r="2" spans="1:26" ht="15.75" thickBot="1" x14ac:dyDescent="0.3">
      <c r="A2" s="33" t="s">
        <v>0</v>
      </c>
      <c r="B2" s="26" t="s">
        <v>13</v>
      </c>
      <c r="C2" s="12" t="s">
        <v>8</v>
      </c>
      <c r="D2" s="13" t="s">
        <v>9</v>
      </c>
      <c r="E2" s="13" t="s">
        <v>10</v>
      </c>
      <c r="F2" s="13" t="s">
        <v>11</v>
      </c>
      <c r="G2" s="13" t="s">
        <v>12</v>
      </c>
      <c r="H2" s="22">
        <v>6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5">
        <v>6</v>
      </c>
      <c r="O2" s="12" t="s">
        <v>8</v>
      </c>
      <c r="P2" s="13" t="s">
        <v>9</v>
      </c>
      <c r="Q2" s="13" t="s">
        <v>10</v>
      </c>
      <c r="R2" s="13" t="s">
        <v>11</v>
      </c>
      <c r="S2" s="13" t="s">
        <v>12</v>
      </c>
      <c r="T2" s="15">
        <v>6</v>
      </c>
      <c r="U2" s="14">
        <v>1</v>
      </c>
      <c r="V2" s="13">
        <v>2</v>
      </c>
      <c r="W2" s="13">
        <v>3</v>
      </c>
      <c r="X2" s="13">
        <v>4</v>
      </c>
      <c r="Y2" s="13">
        <v>5</v>
      </c>
      <c r="Z2" s="15">
        <v>6</v>
      </c>
    </row>
    <row r="3" spans="1:26" x14ac:dyDescent="0.25">
      <c r="A3" s="23">
        <v>1</v>
      </c>
      <c r="B3" s="34">
        <v>40516</v>
      </c>
      <c r="C3" s="37"/>
      <c r="D3" s="38"/>
      <c r="E3" s="38"/>
      <c r="F3" s="38"/>
      <c r="G3" s="38"/>
      <c r="H3" s="39"/>
      <c r="I3" s="48">
        <v>26.4</v>
      </c>
      <c r="J3" s="49">
        <v>14.1</v>
      </c>
      <c r="K3" s="49">
        <v>27.78</v>
      </c>
      <c r="L3" s="49">
        <v>27.78</v>
      </c>
      <c r="M3" s="49">
        <v>26.4</v>
      </c>
      <c r="N3" s="11"/>
      <c r="O3" s="37">
        <v>10</v>
      </c>
      <c r="P3" s="38">
        <f>60*12.42/6.62</f>
        <v>112.56797583081571</v>
      </c>
      <c r="Q3" s="38">
        <v>10</v>
      </c>
      <c r="R3" s="38">
        <v>5</v>
      </c>
      <c r="S3" s="38">
        <v>10</v>
      </c>
      <c r="T3" s="39"/>
      <c r="U3" s="37">
        <f>0+C3+O3</f>
        <v>10</v>
      </c>
      <c r="V3" s="38">
        <f t="shared" ref="V3:Y3" si="0">0+D3+P3</f>
        <v>112.56797583081571</v>
      </c>
      <c r="W3" s="38">
        <f t="shared" si="0"/>
        <v>10</v>
      </c>
      <c r="X3" s="38">
        <f t="shared" si="0"/>
        <v>5</v>
      </c>
      <c r="Y3" s="39">
        <f t="shared" si="0"/>
        <v>10</v>
      </c>
      <c r="Z3" s="51"/>
    </row>
    <row r="4" spans="1:26" x14ac:dyDescent="0.25">
      <c r="A4" s="24">
        <v>2</v>
      </c>
      <c r="B4" s="35">
        <v>40523</v>
      </c>
      <c r="C4" s="40"/>
      <c r="D4" s="41"/>
      <c r="E4" s="41"/>
      <c r="F4" s="41"/>
      <c r="G4" s="41"/>
      <c r="H4" s="42"/>
      <c r="I4" s="46">
        <v>26.4</v>
      </c>
      <c r="J4" s="50">
        <v>14.1</v>
      </c>
      <c r="K4" s="50">
        <v>27.78</v>
      </c>
      <c r="L4" s="50">
        <v>27.78</v>
      </c>
      <c r="M4" s="50">
        <v>26.4</v>
      </c>
      <c r="N4" s="3"/>
      <c r="O4" s="40">
        <v>0</v>
      </c>
      <c r="P4" s="41"/>
      <c r="Q4" s="41"/>
      <c r="R4" s="41"/>
      <c r="S4" s="41"/>
      <c r="T4" s="42"/>
      <c r="U4" s="40">
        <f t="shared" ref="U4:U67" si="1">0+C4+O4</f>
        <v>0</v>
      </c>
      <c r="V4" s="41">
        <f t="shared" ref="V4:V67" si="2">0+D4+P4</f>
        <v>0</v>
      </c>
      <c r="W4" s="41">
        <f t="shared" ref="W4:W67" si="3">0+E4+Q4</f>
        <v>0</v>
      </c>
      <c r="X4" s="41">
        <f t="shared" ref="X4:X67" si="4">0+F4+R4</f>
        <v>0</v>
      </c>
      <c r="Y4" s="42">
        <f t="shared" ref="Y4:Y67" si="5">0+G4+S4</f>
        <v>0</v>
      </c>
      <c r="Z4" s="52"/>
    </row>
    <row r="5" spans="1:26" x14ac:dyDescent="0.25">
      <c r="A5" s="24">
        <v>3</v>
      </c>
      <c r="B5" s="35">
        <v>40530</v>
      </c>
      <c r="C5" s="40"/>
      <c r="D5" s="41"/>
      <c r="E5" s="41"/>
      <c r="F5" s="41"/>
      <c r="G5" s="41"/>
      <c r="H5" s="42"/>
      <c r="I5" s="46">
        <v>26.4</v>
      </c>
      <c r="J5" s="50">
        <v>14.1</v>
      </c>
      <c r="K5" s="50">
        <v>27.78</v>
      </c>
      <c r="L5" s="50">
        <v>27.78</v>
      </c>
      <c r="M5" s="50">
        <v>26.4</v>
      </c>
      <c r="N5" s="3"/>
      <c r="O5" s="40"/>
      <c r="P5" s="41"/>
      <c r="Q5" s="41"/>
      <c r="R5" s="41"/>
      <c r="S5" s="41"/>
      <c r="T5" s="42"/>
      <c r="U5" s="40">
        <f t="shared" si="1"/>
        <v>0</v>
      </c>
      <c r="V5" s="41">
        <f t="shared" si="2"/>
        <v>0</v>
      </c>
      <c r="W5" s="41">
        <f t="shared" si="3"/>
        <v>0</v>
      </c>
      <c r="X5" s="41">
        <f t="shared" si="4"/>
        <v>0</v>
      </c>
      <c r="Y5" s="42">
        <f t="shared" si="5"/>
        <v>0</v>
      </c>
      <c r="Z5" s="52"/>
    </row>
    <row r="6" spans="1:26" x14ac:dyDescent="0.25">
      <c r="A6" s="24">
        <v>4</v>
      </c>
      <c r="B6" s="35">
        <v>40537</v>
      </c>
      <c r="C6" s="40"/>
      <c r="D6" s="41"/>
      <c r="E6" s="41"/>
      <c r="F6" s="41"/>
      <c r="G6" s="41"/>
      <c r="H6" s="42"/>
      <c r="I6" s="46">
        <v>26.4</v>
      </c>
      <c r="J6" s="50">
        <v>14.1</v>
      </c>
      <c r="K6" s="50">
        <v>27.78</v>
      </c>
      <c r="L6" s="50">
        <v>27.78</v>
      </c>
      <c r="M6" s="50">
        <v>26.4</v>
      </c>
      <c r="N6" s="3"/>
      <c r="O6" s="40"/>
      <c r="P6" s="41"/>
      <c r="Q6" s="41"/>
      <c r="R6" s="41"/>
      <c r="S6" s="41"/>
      <c r="T6" s="42"/>
      <c r="U6" s="40">
        <f t="shared" si="1"/>
        <v>0</v>
      </c>
      <c r="V6" s="41">
        <f t="shared" si="2"/>
        <v>0</v>
      </c>
      <c r="W6" s="41">
        <f t="shared" si="3"/>
        <v>0</v>
      </c>
      <c r="X6" s="41">
        <f t="shared" si="4"/>
        <v>0</v>
      </c>
      <c r="Y6" s="42">
        <f t="shared" si="5"/>
        <v>0</v>
      </c>
      <c r="Z6" s="52"/>
    </row>
    <row r="7" spans="1:26" x14ac:dyDescent="0.25">
      <c r="A7" s="24">
        <v>5</v>
      </c>
      <c r="B7" s="35">
        <v>40544</v>
      </c>
      <c r="C7" s="40"/>
      <c r="D7" s="41"/>
      <c r="E7" s="41"/>
      <c r="F7" s="41"/>
      <c r="G7" s="41"/>
      <c r="H7" s="42"/>
      <c r="I7" s="46">
        <v>26.4</v>
      </c>
      <c r="J7" s="50">
        <v>14.1</v>
      </c>
      <c r="K7" s="50">
        <v>27.78</v>
      </c>
      <c r="L7" s="50">
        <v>27.78</v>
      </c>
      <c r="M7" s="50">
        <v>26.4</v>
      </c>
      <c r="N7" s="3"/>
      <c r="O7" s="40"/>
      <c r="P7" s="41"/>
      <c r="Q7" s="41"/>
      <c r="R7" s="41"/>
      <c r="S7" s="41"/>
      <c r="T7" s="42"/>
      <c r="U7" s="40">
        <f t="shared" si="1"/>
        <v>0</v>
      </c>
      <c r="V7" s="41">
        <f t="shared" si="2"/>
        <v>0</v>
      </c>
      <c r="W7" s="41">
        <f t="shared" si="3"/>
        <v>0</v>
      </c>
      <c r="X7" s="41">
        <f t="shared" si="4"/>
        <v>0</v>
      </c>
      <c r="Y7" s="42">
        <f t="shared" si="5"/>
        <v>0</v>
      </c>
      <c r="Z7" s="52"/>
    </row>
    <row r="8" spans="1:26" x14ac:dyDescent="0.25">
      <c r="A8" s="24">
        <v>6</v>
      </c>
      <c r="B8" s="35">
        <v>40551</v>
      </c>
      <c r="C8" s="40"/>
      <c r="D8" s="41"/>
      <c r="E8" s="41"/>
      <c r="F8" s="41"/>
      <c r="G8" s="41"/>
      <c r="H8" s="42"/>
      <c r="I8" s="46">
        <v>26.4</v>
      </c>
      <c r="J8" s="50">
        <v>14.1</v>
      </c>
      <c r="K8" s="50">
        <v>27.78</v>
      </c>
      <c r="L8" s="50">
        <v>27.78</v>
      </c>
      <c r="M8" s="50">
        <v>26.4</v>
      </c>
      <c r="N8" s="3"/>
      <c r="O8" s="40"/>
      <c r="P8" s="41"/>
      <c r="Q8" s="41"/>
      <c r="R8" s="41"/>
      <c r="S8" s="41"/>
      <c r="T8" s="42"/>
      <c r="U8" s="40">
        <f t="shared" si="1"/>
        <v>0</v>
      </c>
      <c r="V8" s="41">
        <f t="shared" si="2"/>
        <v>0</v>
      </c>
      <c r="W8" s="41">
        <f t="shared" si="3"/>
        <v>0</v>
      </c>
      <c r="X8" s="41">
        <f t="shared" si="4"/>
        <v>0</v>
      </c>
      <c r="Y8" s="42">
        <f t="shared" si="5"/>
        <v>0</v>
      </c>
      <c r="Z8" s="52"/>
    </row>
    <row r="9" spans="1:26" x14ac:dyDescent="0.25">
      <c r="A9" s="24">
        <v>7</v>
      </c>
      <c r="B9" s="35">
        <v>40558</v>
      </c>
      <c r="C9" s="40"/>
      <c r="D9" s="41"/>
      <c r="E9" s="41"/>
      <c r="F9" s="41"/>
      <c r="G9" s="41"/>
      <c r="H9" s="42"/>
      <c r="I9" s="46">
        <v>26.4</v>
      </c>
      <c r="J9" s="50">
        <v>14.1</v>
      </c>
      <c r="K9" s="50">
        <v>27.78</v>
      </c>
      <c r="L9" s="50">
        <v>27.78</v>
      </c>
      <c r="M9" s="50">
        <v>26.4</v>
      </c>
      <c r="N9" s="3"/>
      <c r="O9" s="40"/>
      <c r="P9" s="41"/>
      <c r="Q9" s="41"/>
      <c r="R9" s="41"/>
      <c r="S9" s="41"/>
      <c r="T9" s="42"/>
      <c r="U9" s="40">
        <f t="shared" si="1"/>
        <v>0</v>
      </c>
      <c r="V9" s="41">
        <f t="shared" si="2"/>
        <v>0</v>
      </c>
      <c r="W9" s="41">
        <f t="shared" si="3"/>
        <v>0</v>
      </c>
      <c r="X9" s="41">
        <f t="shared" si="4"/>
        <v>0</v>
      </c>
      <c r="Y9" s="42">
        <f t="shared" si="5"/>
        <v>0</v>
      </c>
      <c r="Z9" s="52"/>
    </row>
    <row r="10" spans="1:26" x14ac:dyDescent="0.25">
      <c r="A10" s="24">
        <v>8</v>
      </c>
      <c r="B10" s="35">
        <v>40565</v>
      </c>
      <c r="C10" s="40"/>
      <c r="D10" s="41"/>
      <c r="E10" s="41"/>
      <c r="F10" s="41"/>
      <c r="G10" s="41"/>
      <c r="H10" s="42"/>
      <c r="I10" s="2">
        <v>34.590000000000003</v>
      </c>
      <c r="J10" s="1">
        <v>37.97</v>
      </c>
      <c r="K10" s="1">
        <v>34.9</v>
      </c>
      <c r="L10" s="1">
        <v>34.9</v>
      </c>
      <c r="M10" s="1">
        <v>37.97</v>
      </c>
      <c r="N10" s="3"/>
      <c r="O10" s="40">
        <v>40</v>
      </c>
      <c r="P10" s="41">
        <v>240</v>
      </c>
      <c r="Q10" s="41">
        <v>40</v>
      </c>
      <c r="R10" s="41">
        <v>20</v>
      </c>
      <c r="S10" s="41">
        <v>40</v>
      </c>
      <c r="T10" s="42"/>
      <c r="U10" s="40">
        <f t="shared" si="1"/>
        <v>40</v>
      </c>
      <c r="V10" s="41">
        <f t="shared" si="2"/>
        <v>240</v>
      </c>
      <c r="W10" s="41">
        <f t="shared" si="3"/>
        <v>40</v>
      </c>
      <c r="X10" s="41">
        <f t="shared" si="4"/>
        <v>20</v>
      </c>
      <c r="Y10" s="42">
        <f t="shared" si="5"/>
        <v>40</v>
      </c>
      <c r="Z10" s="52"/>
    </row>
    <row r="11" spans="1:26" x14ac:dyDescent="0.25">
      <c r="A11" s="24">
        <v>9</v>
      </c>
      <c r="B11" s="35">
        <v>40572</v>
      </c>
      <c r="C11" s="40"/>
      <c r="D11" s="41"/>
      <c r="E11" s="41"/>
      <c r="F11" s="41"/>
      <c r="G11" s="41"/>
      <c r="H11" s="42"/>
      <c r="I11" s="2">
        <v>34.590000000000003</v>
      </c>
      <c r="J11" s="1">
        <v>37.97</v>
      </c>
      <c r="K11" s="1">
        <v>34.9</v>
      </c>
      <c r="L11" s="1">
        <v>34.9</v>
      </c>
      <c r="M11" s="1">
        <v>37.97</v>
      </c>
      <c r="N11" s="3"/>
      <c r="O11" s="40"/>
      <c r="P11" s="41"/>
      <c r="Q11" s="41"/>
      <c r="R11" s="41"/>
      <c r="S11" s="41"/>
      <c r="T11" s="42"/>
      <c r="U11" s="40">
        <f t="shared" si="1"/>
        <v>0</v>
      </c>
      <c r="V11" s="41">
        <f t="shared" si="2"/>
        <v>0</v>
      </c>
      <c r="W11" s="41">
        <f t="shared" si="3"/>
        <v>0</v>
      </c>
      <c r="X11" s="41">
        <f t="shared" si="4"/>
        <v>0</v>
      </c>
      <c r="Y11" s="42">
        <f t="shared" si="5"/>
        <v>0</v>
      </c>
      <c r="Z11" s="52"/>
    </row>
    <row r="12" spans="1:26" x14ac:dyDescent="0.25">
      <c r="A12" s="24">
        <v>10</v>
      </c>
      <c r="B12" s="35">
        <v>40579</v>
      </c>
      <c r="C12" s="40"/>
      <c r="D12" s="41"/>
      <c r="E12" s="41"/>
      <c r="F12" s="41"/>
      <c r="G12" s="41"/>
      <c r="H12" s="42"/>
      <c r="I12" s="2">
        <v>34.590000000000003</v>
      </c>
      <c r="J12" s="1">
        <v>37.97</v>
      </c>
      <c r="K12" s="1">
        <v>34.9</v>
      </c>
      <c r="L12" s="1">
        <v>34.9</v>
      </c>
      <c r="M12" s="1">
        <v>37.97</v>
      </c>
      <c r="N12" s="3"/>
      <c r="O12" s="40"/>
      <c r="P12" s="41"/>
      <c r="Q12" s="41"/>
      <c r="R12" s="41"/>
      <c r="S12" s="41"/>
      <c r="T12" s="42"/>
      <c r="U12" s="40">
        <f t="shared" si="1"/>
        <v>0</v>
      </c>
      <c r="V12" s="41">
        <f t="shared" si="2"/>
        <v>0</v>
      </c>
      <c r="W12" s="41">
        <f t="shared" si="3"/>
        <v>0</v>
      </c>
      <c r="X12" s="41">
        <f t="shared" si="4"/>
        <v>0</v>
      </c>
      <c r="Y12" s="42">
        <f t="shared" si="5"/>
        <v>0</v>
      </c>
      <c r="Z12" s="52"/>
    </row>
    <row r="13" spans="1:26" x14ac:dyDescent="0.25">
      <c r="A13" s="24">
        <v>11</v>
      </c>
      <c r="B13" s="35">
        <v>40586</v>
      </c>
      <c r="C13" s="40"/>
      <c r="D13" s="41"/>
      <c r="E13" s="41"/>
      <c r="F13" s="41"/>
      <c r="G13" s="41"/>
      <c r="H13" s="42"/>
      <c r="I13" s="2">
        <v>34.590000000000003</v>
      </c>
      <c r="J13" s="1">
        <v>37.97</v>
      </c>
      <c r="K13" s="1">
        <v>34.9</v>
      </c>
      <c r="L13" s="1">
        <v>34.9</v>
      </c>
      <c r="M13" s="1">
        <v>37.97</v>
      </c>
      <c r="N13" s="3"/>
      <c r="O13" s="40"/>
      <c r="P13" s="41"/>
      <c r="Q13" s="41"/>
      <c r="R13" s="41"/>
      <c r="S13" s="41"/>
      <c r="T13" s="42"/>
      <c r="U13" s="40">
        <f t="shared" si="1"/>
        <v>0</v>
      </c>
      <c r="V13" s="41">
        <f t="shared" si="2"/>
        <v>0</v>
      </c>
      <c r="W13" s="41">
        <f t="shared" si="3"/>
        <v>0</v>
      </c>
      <c r="X13" s="41">
        <f t="shared" si="4"/>
        <v>0</v>
      </c>
      <c r="Y13" s="42">
        <f t="shared" si="5"/>
        <v>0</v>
      </c>
      <c r="Z13" s="52"/>
    </row>
    <row r="14" spans="1:26" x14ac:dyDescent="0.25">
      <c r="A14" s="24">
        <v>12</v>
      </c>
      <c r="B14" s="35">
        <v>40593</v>
      </c>
      <c r="C14" s="40"/>
      <c r="D14" s="41"/>
      <c r="E14" s="41"/>
      <c r="F14" s="41"/>
      <c r="G14" s="41"/>
      <c r="H14" s="42"/>
      <c r="I14" s="2">
        <v>34.590000000000003</v>
      </c>
      <c r="J14" s="1">
        <v>37.97</v>
      </c>
      <c r="K14" s="1">
        <v>34.9</v>
      </c>
      <c r="L14" s="1">
        <v>34.9</v>
      </c>
      <c r="M14" s="1">
        <v>37.97</v>
      </c>
      <c r="N14" s="3"/>
      <c r="O14" s="40"/>
      <c r="P14" s="41"/>
      <c r="Q14" s="41"/>
      <c r="R14" s="41"/>
      <c r="S14" s="41"/>
      <c r="T14" s="42"/>
      <c r="U14" s="40">
        <f t="shared" si="1"/>
        <v>0</v>
      </c>
      <c r="V14" s="41">
        <f t="shared" si="2"/>
        <v>0</v>
      </c>
      <c r="W14" s="41">
        <f t="shared" si="3"/>
        <v>0</v>
      </c>
      <c r="X14" s="41">
        <f t="shared" si="4"/>
        <v>0</v>
      </c>
      <c r="Y14" s="42">
        <f t="shared" si="5"/>
        <v>0</v>
      </c>
      <c r="Z14" s="52"/>
    </row>
    <row r="15" spans="1:26" x14ac:dyDescent="0.25">
      <c r="A15" s="24">
        <v>13</v>
      </c>
      <c r="B15" s="35">
        <v>40600</v>
      </c>
      <c r="C15" s="40"/>
      <c r="D15" s="41"/>
      <c r="E15" s="41"/>
      <c r="F15" s="41"/>
      <c r="G15" s="41"/>
      <c r="H15" s="42"/>
      <c r="I15" s="2">
        <v>34.590000000000003</v>
      </c>
      <c r="J15" s="1">
        <v>37.97</v>
      </c>
      <c r="K15" s="1">
        <v>34.9</v>
      </c>
      <c r="L15" s="1">
        <v>34.9</v>
      </c>
      <c r="M15" s="1">
        <v>37.97</v>
      </c>
      <c r="N15" s="3"/>
      <c r="O15" s="40"/>
      <c r="P15" s="41"/>
      <c r="Q15" s="41"/>
      <c r="R15" s="41"/>
      <c r="S15" s="41"/>
      <c r="T15" s="42"/>
      <c r="U15" s="40">
        <f t="shared" si="1"/>
        <v>0</v>
      </c>
      <c r="V15" s="41">
        <f t="shared" si="2"/>
        <v>0</v>
      </c>
      <c r="W15" s="41">
        <f t="shared" si="3"/>
        <v>0</v>
      </c>
      <c r="X15" s="41">
        <f t="shared" si="4"/>
        <v>0</v>
      </c>
      <c r="Y15" s="42">
        <f t="shared" si="5"/>
        <v>0</v>
      </c>
      <c r="Z15" s="52"/>
    </row>
    <row r="16" spans="1:26" x14ac:dyDescent="0.25">
      <c r="A16" s="24">
        <v>14</v>
      </c>
      <c r="B16" s="35">
        <v>40607</v>
      </c>
      <c r="C16" s="40"/>
      <c r="D16" s="41"/>
      <c r="E16" s="41"/>
      <c r="F16" s="41"/>
      <c r="G16" s="41">
        <v>-8</v>
      </c>
      <c r="H16" s="42"/>
      <c r="I16" s="2">
        <v>34.590000000000003</v>
      </c>
      <c r="J16" s="1">
        <v>37.97</v>
      </c>
      <c r="K16" s="1">
        <v>34.9</v>
      </c>
      <c r="L16" s="1">
        <v>34.9</v>
      </c>
      <c r="M16" s="1">
        <v>37.97</v>
      </c>
      <c r="N16" s="3"/>
      <c r="O16" s="40"/>
      <c r="P16" s="41"/>
      <c r="Q16" s="41"/>
      <c r="R16" s="41"/>
      <c r="S16" s="41"/>
      <c r="T16" s="42"/>
      <c r="U16" s="40">
        <f t="shared" si="1"/>
        <v>0</v>
      </c>
      <c r="V16" s="41">
        <f t="shared" si="2"/>
        <v>0</v>
      </c>
      <c r="W16" s="41">
        <f t="shared" si="3"/>
        <v>0</v>
      </c>
      <c r="X16" s="41">
        <f t="shared" si="4"/>
        <v>0</v>
      </c>
      <c r="Y16" s="42">
        <f t="shared" si="5"/>
        <v>-8</v>
      </c>
      <c r="Z16" s="52"/>
    </row>
    <row r="17" spans="1:26" x14ac:dyDescent="0.25">
      <c r="A17" s="24">
        <v>15</v>
      </c>
      <c r="B17" s="35">
        <v>40614</v>
      </c>
      <c r="C17" s="40"/>
      <c r="D17" s="41"/>
      <c r="E17" s="41"/>
      <c r="F17" s="41"/>
      <c r="G17" s="41">
        <v>-2</v>
      </c>
      <c r="H17" s="42"/>
      <c r="I17" s="2">
        <v>34.590000000000003</v>
      </c>
      <c r="J17" s="1">
        <v>37.97</v>
      </c>
      <c r="K17" s="1">
        <v>34.9</v>
      </c>
      <c r="L17" s="1">
        <v>34.9</v>
      </c>
      <c r="M17" s="1">
        <v>37.97</v>
      </c>
      <c r="N17" s="3"/>
      <c r="O17" s="40"/>
      <c r="P17" s="41"/>
      <c r="Q17" s="41"/>
      <c r="R17" s="41"/>
      <c r="S17" s="41"/>
      <c r="T17" s="42"/>
      <c r="U17" s="40">
        <f t="shared" si="1"/>
        <v>0</v>
      </c>
      <c r="V17" s="41">
        <f t="shared" si="2"/>
        <v>0</v>
      </c>
      <c r="W17" s="41">
        <f t="shared" si="3"/>
        <v>0</v>
      </c>
      <c r="X17" s="41">
        <f t="shared" si="4"/>
        <v>0</v>
      </c>
      <c r="Y17" s="42">
        <f t="shared" si="5"/>
        <v>-2</v>
      </c>
      <c r="Z17" s="52"/>
    </row>
    <row r="18" spans="1:26" x14ac:dyDescent="0.25">
      <c r="A18" s="24">
        <v>16</v>
      </c>
      <c r="B18" s="35">
        <v>40621</v>
      </c>
      <c r="C18" s="40"/>
      <c r="D18" s="41"/>
      <c r="E18" s="41"/>
      <c r="F18" s="41"/>
      <c r="G18" s="41"/>
      <c r="H18" s="42"/>
      <c r="I18" s="2">
        <v>34.590000000000003</v>
      </c>
      <c r="J18" s="1">
        <v>37.97</v>
      </c>
      <c r="K18" s="1">
        <v>34.9</v>
      </c>
      <c r="L18" s="1">
        <v>34.9</v>
      </c>
      <c r="M18" s="1">
        <v>37.97</v>
      </c>
      <c r="N18" s="3"/>
      <c r="O18" s="40"/>
      <c r="P18" s="41"/>
      <c r="Q18" s="41"/>
      <c r="R18" s="41"/>
      <c r="S18" s="41"/>
      <c r="T18" s="42"/>
      <c r="U18" s="40">
        <f t="shared" si="1"/>
        <v>0</v>
      </c>
      <c r="V18" s="41">
        <f t="shared" si="2"/>
        <v>0</v>
      </c>
      <c r="W18" s="41">
        <f t="shared" si="3"/>
        <v>0</v>
      </c>
      <c r="X18" s="41">
        <f t="shared" si="4"/>
        <v>0</v>
      </c>
      <c r="Y18" s="42">
        <f t="shared" si="5"/>
        <v>0</v>
      </c>
      <c r="Z18" s="52"/>
    </row>
    <row r="19" spans="1:26" x14ac:dyDescent="0.25">
      <c r="A19" s="24">
        <v>17</v>
      </c>
      <c r="B19" s="35">
        <v>40628</v>
      </c>
      <c r="C19" s="40"/>
      <c r="D19" s="41"/>
      <c r="E19" s="41"/>
      <c r="F19" s="41"/>
      <c r="G19" s="41"/>
      <c r="H19" s="42"/>
      <c r="I19" s="2">
        <v>34.590000000000003</v>
      </c>
      <c r="J19" s="1">
        <v>37.97</v>
      </c>
      <c r="K19" s="1">
        <v>34.9</v>
      </c>
      <c r="L19" s="1">
        <v>34.9</v>
      </c>
      <c r="M19" s="1">
        <v>37.97</v>
      </c>
      <c r="N19" s="3"/>
      <c r="O19" s="40"/>
      <c r="P19" s="41"/>
      <c r="Q19" s="41"/>
      <c r="R19" s="41"/>
      <c r="S19" s="41"/>
      <c r="T19" s="42"/>
      <c r="U19" s="40">
        <f t="shared" si="1"/>
        <v>0</v>
      </c>
      <c r="V19" s="41">
        <f t="shared" si="2"/>
        <v>0</v>
      </c>
      <c r="W19" s="41">
        <f t="shared" si="3"/>
        <v>0</v>
      </c>
      <c r="X19" s="41">
        <f t="shared" si="4"/>
        <v>0</v>
      </c>
      <c r="Y19" s="42">
        <f t="shared" si="5"/>
        <v>0</v>
      </c>
      <c r="Z19" s="52"/>
    </row>
    <row r="20" spans="1:26" x14ac:dyDescent="0.25">
      <c r="A20" s="24">
        <v>18</v>
      </c>
      <c r="B20" s="35">
        <v>40635</v>
      </c>
      <c r="C20" s="40"/>
      <c r="D20" s="41"/>
      <c r="E20" s="41"/>
      <c r="F20" s="41"/>
      <c r="G20" s="41"/>
      <c r="H20" s="42"/>
      <c r="I20" s="2">
        <v>34.590000000000003</v>
      </c>
      <c r="J20" s="1">
        <v>37.97</v>
      </c>
      <c r="K20" s="1">
        <v>34.9</v>
      </c>
      <c r="L20" s="1">
        <v>34.9</v>
      </c>
      <c r="M20" s="1">
        <v>37.97</v>
      </c>
      <c r="N20" s="3"/>
      <c r="O20" s="40"/>
      <c r="P20" s="41"/>
      <c r="Q20" s="41"/>
      <c r="R20" s="41"/>
      <c r="S20" s="41"/>
      <c r="T20" s="42"/>
      <c r="U20" s="40">
        <f t="shared" si="1"/>
        <v>0</v>
      </c>
      <c r="V20" s="41">
        <f t="shared" si="2"/>
        <v>0</v>
      </c>
      <c r="W20" s="41">
        <f t="shared" si="3"/>
        <v>0</v>
      </c>
      <c r="X20" s="41">
        <f t="shared" si="4"/>
        <v>0</v>
      </c>
      <c r="Y20" s="42">
        <f t="shared" si="5"/>
        <v>0</v>
      </c>
      <c r="Z20" s="52"/>
    </row>
    <row r="21" spans="1:26" x14ac:dyDescent="0.25">
      <c r="A21" s="24">
        <v>19</v>
      </c>
      <c r="B21" s="35">
        <v>40642</v>
      </c>
      <c r="C21" s="40"/>
      <c r="D21" s="41"/>
      <c r="E21" s="41">
        <v>-1</v>
      </c>
      <c r="F21" s="41"/>
      <c r="G21" s="41"/>
      <c r="H21" s="42"/>
      <c r="I21" s="2">
        <v>34.590000000000003</v>
      </c>
      <c r="J21" s="1">
        <v>37.97</v>
      </c>
      <c r="K21" s="1">
        <v>34.9</v>
      </c>
      <c r="L21" s="1">
        <v>34.9</v>
      </c>
      <c r="M21" s="1">
        <v>37.97</v>
      </c>
      <c r="N21" s="3"/>
      <c r="O21" s="40"/>
      <c r="P21" s="41"/>
      <c r="Q21" s="41"/>
      <c r="R21" s="41"/>
      <c r="S21" s="41"/>
      <c r="T21" s="42"/>
      <c r="U21" s="40">
        <f t="shared" si="1"/>
        <v>0</v>
      </c>
      <c r="V21" s="41">
        <f t="shared" si="2"/>
        <v>0</v>
      </c>
      <c r="W21" s="41">
        <f t="shared" si="3"/>
        <v>-1</v>
      </c>
      <c r="X21" s="41">
        <f t="shared" si="4"/>
        <v>0</v>
      </c>
      <c r="Y21" s="42">
        <f t="shared" si="5"/>
        <v>0</v>
      </c>
      <c r="Z21" s="52"/>
    </row>
    <row r="22" spans="1:26" x14ac:dyDescent="0.25">
      <c r="A22" s="24">
        <v>20</v>
      </c>
      <c r="B22" s="35">
        <v>40649</v>
      </c>
      <c r="C22" s="40"/>
      <c r="D22" s="41"/>
      <c r="E22" s="41"/>
      <c r="F22" s="41"/>
      <c r="G22" s="41"/>
      <c r="H22" s="42"/>
      <c r="I22" s="2">
        <v>34.590000000000003</v>
      </c>
      <c r="J22" s="1">
        <v>37.97</v>
      </c>
      <c r="K22" s="1">
        <v>34.9</v>
      </c>
      <c r="L22" s="1">
        <v>34.9</v>
      </c>
      <c r="M22" s="1">
        <v>37.97</v>
      </c>
      <c r="N22" s="3"/>
      <c r="O22" s="40"/>
      <c r="P22" s="41"/>
      <c r="Q22" s="41"/>
      <c r="R22" s="41"/>
      <c r="S22" s="41"/>
      <c r="T22" s="42"/>
      <c r="U22" s="40">
        <f t="shared" si="1"/>
        <v>0</v>
      </c>
      <c r="V22" s="41">
        <f t="shared" si="2"/>
        <v>0</v>
      </c>
      <c r="W22" s="41">
        <f t="shared" si="3"/>
        <v>0</v>
      </c>
      <c r="X22" s="41">
        <f t="shared" si="4"/>
        <v>0</v>
      </c>
      <c r="Y22" s="42">
        <f t="shared" si="5"/>
        <v>0</v>
      </c>
      <c r="Z22" s="52"/>
    </row>
    <row r="23" spans="1:26" x14ac:dyDescent="0.25">
      <c r="A23" s="24">
        <v>21</v>
      </c>
      <c r="B23" s="35">
        <v>40656</v>
      </c>
      <c r="C23" s="40"/>
      <c r="D23" s="41">
        <f>-2*12.42/6.62</f>
        <v>-3.7522658610271904</v>
      </c>
      <c r="E23" s="41"/>
      <c r="F23" s="41"/>
      <c r="G23" s="41"/>
      <c r="H23" s="42"/>
      <c r="I23" s="2">
        <v>34.590000000000003</v>
      </c>
      <c r="J23" s="1">
        <v>37.97</v>
      </c>
      <c r="K23" s="1">
        <v>34.9</v>
      </c>
      <c r="L23" s="1">
        <v>34.9</v>
      </c>
      <c r="M23" s="1">
        <v>37.97</v>
      </c>
      <c r="N23" s="3"/>
      <c r="O23" s="40"/>
      <c r="P23" s="41"/>
      <c r="Q23" s="41"/>
      <c r="R23" s="41"/>
      <c r="S23" s="41"/>
      <c r="T23" s="42"/>
      <c r="U23" s="40">
        <f t="shared" si="1"/>
        <v>0</v>
      </c>
      <c r="V23" s="41">
        <f t="shared" si="2"/>
        <v>-3.7522658610271904</v>
      </c>
      <c r="W23" s="41">
        <f t="shared" si="3"/>
        <v>0</v>
      </c>
      <c r="X23" s="41">
        <f t="shared" si="4"/>
        <v>0</v>
      </c>
      <c r="Y23" s="42">
        <f t="shared" si="5"/>
        <v>0</v>
      </c>
      <c r="Z23" s="52"/>
    </row>
    <row r="24" spans="1:26" x14ac:dyDescent="0.25">
      <c r="A24" s="24">
        <v>22</v>
      </c>
      <c r="B24" s="35">
        <v>40663</v>
      </c>
      <c r="C24" s="40"/>
      <c r="D24" s="41"/>
      <c r="E24" s="41"/>
      <c r="F24" s="41"/>
      <c r="G24" s="41"/>
      <c r="H24" s="42"/>
      <c r="I24" s="2">
        <v>34.590000000000003</v>
      </c>
      <c r="J24" s="1">
        <v>37.97</v>
      </c>
      <c r="K24" s="1">
        <v>34.9</v>
      </c>
      <c r="L24" s="1">
        <v>34.9</v>
      </c>
      <c r="M24" s="1">
        <v>37.97</v>
      </c>
      <c r="N24" s="3"/>
      <c r="O24" s="40"/>
      <c r="P24" s="41"/>
      <c r="Q24" s="41"/>
      <c r="R24" s="41"/>
      <c r="S24" s="41"/>
      <c r="T24" s="42"/>
      <c r="U24" s="40">
        <f t="shared" si="1"/>
        <v>0</v>
      </c>
      <c r="V24" s="41">
        <f t="shared" si="2"/>
        <v>0</v>
      </c>
      <c r="W24" s="41">
        <f t="shared" si="3"/>
        <v>0</v>
      </c>
      <c r="X24" s="41">
        <f t="shared" si="4"/>
        <v>0</v>
      </c>
      <c r="Y24" s="42">
        <f t="shared" si="5"/>
        <v>0</v>
      </c>
      <c r="Z24" s="52"/>
    </row>
    <row r="25" spans="1:26" x14ac:dyDescent="0.25">
      <c r="A25" s="24">
        <v>23</v>
      </c>
      <c r="B25" s="35">
        <v>40670</v>
      </c>
      <c r="C25" s="40"/>
      <c r="D25" s="41"/>
      <c r="E25" s="41"/>
      <c r="F25" s="41"/>
      <c r="G25" s="41"/>
      <c r="H25" s="42"/>
      <c r="I25" s="2">
        <v>34.590000000000003</v>
      </c>
      <c r="J25" s="1">
        <v>37.97</v>
      </c>
      <c r="K25" s="1">
        <v>34.9</v>
      </c>
      <c r="L25" s="1">
        <v>34.9</v>
      </c>
      <c r="M25" s="1">
        <v>37.97</v>
      </c>
      <c r="N25" s="3"/>
      <c r="O25" s="40"/>
      <c r="P25" s="41"/>
      <c r="Q25" s="41"/>
      <c r="R25" s="41"/>
      <c r="S25" s="41"/>
      <c r="T25" s="42"/>
      <c r="U25" s="40">
        <f t="shared" si="1"/>
        <v>0</v>
      </c>
      <c r="V25" s="41">
        <f t="shared" si="2"/>
        <v>0</v>
      </c>
      <c r="W25" s="41">
        <f t="shared" si="3"/>
        <v>0</v>
      </c>
      <c r="X25" s="41">
        <f t="shared" si="4"/>
        <v>0</v>
      </c>
      <c r="Y25" s="42">
        <f t="shared" si="5"/>
        <v>0</v>
      </c>
      <c r="Z25" s="52"/>
    </row>
    <row r="26" spans="1:26" x14ac:dyDescent="0.25">
      <c r="A26" s="24">
        <v>24</v>
      </c>
      <c r="B26" s="35">
        <v>40677</v>
      </c>
      <c r="C26" s="40"/>
      <c r="D26" s="41"/>
      <c r="E26" s="41"/>
      <c r="F26" s="41"/>
      <c r="G26" s="41"/>
      <c r="H26" s="42"/>
      <c r="I26" s="2">
        <v>34.590000000000003</v>
      </c>
      <c r="J26" s="1">
        <v>37.97</v>
      </c>
      <c r="K26" s="1">
        <v>34.9</v>
      </c>
      <c r="L26" s="1">
        <v>34.9</v>
      </c>
      <c r="M26" s="1">
        <v>37.97</v>
      </c>
      <c r="N26" s="3"/>
      <c r="O26" s="40"/>
      <c r="P26" s="41"/>
      <c r="Q26" s="41"/>
      <c r="R26" s="41"/>
      <c r="S26" s="41"/>
      <c r="T26" s="42"/>
      <c r="U26" s="40">
        <f t="shared" si="1"/>
        <v>0</v>
      </c>
      <c r="V26" s="41">
        <f t="shared" si="2"/>
        <v>0</v>
      </c>
      <c r="W26" s="41">
        <f t="shared" si="3"/>
        <v>0</v>
      </c>
      <c r="X26" s="41">
        <f t="shared" si="4"/>
        <v>0</v>
      </c>
      <c r="Y26" s="42">
        <f t="shared" si="5"/>
        <v>0</v>
      </c>
      <c r="Z26" s="52"/>
    </row>
    <row r="27" spans="1:26" x14ac:dyDescent="0.25">
      <c r="A27" s="24">
        <v>25</v>
      </c>
      <c r="B27" s="35">
        <v>40684</v>
      </c>
      <c r="C27" s="40"/>
      <c r="D27" s="41"/>
      <c r="E27" s="41"/>
      <c r="F27" s="41"/>
      <c r="G27" s="41"/>
      <c r="H27" s="42"/>
      <c r="I27" s="2">
        <v>34.590000000000003</v>
      </c>
      <c r="J27" s="1">
        <v>37.97</v>
      </c>
      <c r="K27" s="1">
        <v>34.9</v>
      </c>
      <c r="L27" s="1">
        <v>34.9</v>
      </c>
      <c r="M27" s="1">
        <v>37.97</v>
      </c>
      <c r="N27" s="3"/>
      <c r="O27" s="40"/>
      <c r="P27" s="41"/>
      <c r="Q27" s="41"/>
      <c r="R27" s="41"/>
      <c r="S27" s="41"/>
      <c r="T27" s="42"/>
      <c r="U27" s="40">
        <f t="shared" si="1"/>
        <v>0</v>
      </c>
      <c r="V27" s="41">
        <f t="shared" si="2"/>
        <v>0</v>
      </c>
      <c r="W27" s="41">
        <f t="shared" si="3"/>
        <v>0</v>
      </c>
      <c r="X27" s="41">
        <f t="shared" si="4"/>
        <v>0</v>
      </c>
      <c r="Y27" s="42">
        <f t="shared" si="5"/>
        <v>0</v>
      </c>
      <c r="Z27" s="52"/>
    </row>
    <row r="28" spans="1:26" x14ac:dyDescent="0.25">
      <c r="A28" s="24">
        <v>26</v>
      </c>
      <c r="B28" s="35">
        <v>40691</v>
      </c>
      <c r="C28" s="40"/>
      <c r="D28" s="41"/>
      <c r="E28" s="41"/>
      <c r="F28" s="41"/>
      <c r="G28" s="41"/>
      <c r="H28" s="42"/>
      <c r="I28" s="2">
        <v>34.590000000000003</v>
      </c>
      <c r="J28" s="1">
        <v>37.97</v>
      </c>
      <c r="K28" s="1">
        <v>34.9</v>
      </c>
      <c r="L28" s="1">
        <v>34.9</v>
      </c>
      <c r="M28" s="1">
        <v>37.97</v>
      </c>
      <c r="N28" s="3"/>
      <c r="O28" s="40"/>
      <c r="P28" s="41"/>
      <c r="Q28" s="41"/>
      <c r="R28" s="41"/>
      <c r="S28" s="41"/>
      <c r="T28" s="42"/>
      <c r="U28" s="40">
        <f t="shared" si="1"/>
        <v>0</v>
      </c>
      <c r="V28" s="41">
        <f t="shared" si="2"/>
        <v>0</v>
      </c>
      <c r="W28" s="41">
        <f t="shared" si="3"/>
        <v>0</v>
      </c>
      <c r="X28" s="41">
        <f t="shared" si="4"/>
        <v>0</v>
      </c>
      <c r="Y28" s="42">
        <f t="shared" si="5"/>
        <v>0</v>
      </c>
      <c r="Z28" s="52"/>
    </row>
    <row r="29" spans="1:26" x14ac:dyDescent="0.25">
      <c r="A29" s="24">
        <v>27</v>
      </c>
      <c r="B29" s="35">
        <v>40698</v>
      </c>
      <c r="C29" s="40"/>
      <c r="D29" s="41"/>
      <c r="E29" s="41"/>
      <c r="F29" s="41"/>
      <c r="G29" s="41"/>
      <c r="H29" s="42"/>
      <c r="I29" s="2">
        <v>34.590000000000003</v>
      </c>
      <c r="J29" s="1">
        <v>37.97</v>
      </c>
      <c r="K29" s="1">
        <v>34.9</v>
      </c>
      <c r="L29" s="1">
        <v>34.9</v>
      </c>
      <c r="M29" s="1">
        <v>37.97</v>
      </c>
      <c r="N29" s="3"/>
      <c r="O29" s="40"/>
      <c r="P29" s="41"/>
      <c r="Q29" s="41"/>
      <c r="R29" s="41"/>
      <c r="S29" s="41"/>
      <c r="T29" s="42"/>
      <c r="U29" s="40">
        <f t="shared" si="1"/>
        <v>0</v>
      </c>
      <c r="V29" s="41">
        <f t="shared" si="2"/>
        <v>0</v>
      </c>
      <c r="W29" s="41">
        <f t="shared" si="3"/>
        <v>0</v>
      </c>
      <c r="X29" s="41">
        <f t="shared" si="4"/>
        <v>0</v>
      </c>
      <c r="Y29" s="42">
        <f t="shared" si="5"/>
        <v>0</v>
      </c>
      <c r="Z29" s="52"/>
    </row>
    <row r="30" spans="1:26" x14ac:dyDescent="0.25">
      <c r="A30" s="24">
        <v>28</v>
      </c>
      <c r="B30" s="35">
        <v>40705</v>
      </c>
      <c r="C30" s="40"/>
      <c r="D30" s="41"/>
      <c r="E30" s="41"/>
      <c r="F30" s="41"/>
      <c r="G30" s="41"/>
      <c r="H30" s="42"/>
      <c r="I30" s="2">
        <v>34.590000000000003</v>
      </c>
      <c r="J30" s="1">
        <v>37.97</v>
      </c>
      <c r="K30" s="1">
        <v>34.9</v>
      </c>
      <c r="L30" s="1">
        <v>34.9</v>
      </c>
      <c r="M30" s="1">
        <v>37.97</v>
      </c>
      <c r="N30" s="3"/>
      <c r="O30" s="40"/>
      <c r="P30" s="41"/>
      <c r="Q30" s="41"/>
      <c r="R30" s="41"/>
      <c r="S30" s="41"/>
      <c r="T30" s="42"/>
      <c r="U30" s="40">
        <f t="shared" si="1"/>
        <v>0</v>
      </c>
      <c r="V30" s="41">
        <f t="shared" si="2"/>
        <v>0</v>
      </c>
      <c r="W30" s="41">
        <f t="shared" si="3"/>
        <v>0</v>
      </c>
      <c r="X30" s="41">
        <f t="shared" si="4"/>
        <v>0</v>
      </c>
      <c r="Y30" s="42">
        <f t="shared" si="5"/>
        <v>0</v>
      </c>
      <c r="Z30" s="52"/>
    </row>
    <row r="31" spans="1:26" x14ac:dyDescent="0.25">
      <c r="A31" s="24">
        <v>29</v>
      </c>
      <c r="B31" s="35">
        <v>40712</v>
      </c>
      <c r="C31" s="40"/>
      <c r="D31" s="41"/>
      <c r="E31" s="41"/>
      <c r="F31" s="41"/>
      <c r="G31" s="41"/>
      <c r="H31" s="42"/>
      <c r="I31" s="2">
        <v>34.590000000000003</v>
      </c>
      <c r="J31" s="1">
        <v>37.97</v>
      </c>
      <c r="K31" s="1">
        <v>34.9</v>
      </c>
      <c r="L31" s="1">
        <v>34.9</v>
      </c>
      <c r="M31" s="1">
        <v>37.97</v>
      </c>
      <c r="N31" s="3"/>
      <c r="O31" s="40"/>
      <c r="P31" s="41"/>
      <c r="Q31" s="41"/>
      <c r="R31" s="41"/>
      <c r="S31" s="41"/>
      <c r="T31" s="42"/>
      <c r="U31" s="40">
        <f t="shared" si="1"/>
        <v>0</v>
      </c>
      <c r="V31" s="41">
        <f t="shared" si="2"/>
        <v>0</v>
      </c>
      <c r="W31" s="41">
        <f t="shared" si="3"/>
        <v>0</v>
      </c>
      <c r="X31" s="41">
        <f t="shared" si="4"/>
        <v>0</v>
      </c>
      <c r="Y31" s="42">
        <f t="shared" si="5"/>
        <v>0</v>
      </c>
      <c r="Z31" s="52"/>
    </row>
    <row r="32" spans="1:26" x14ac:dyDescent="0.25">
      <c r="A32" s="24">
        <v>30</v>
      </c>
      <c r="B32" s="35">
        <v>40719</v>
      </c>
      <c r="C32" s="40"/>
      <c r="D32" s="41"/>
      <c r="E32" s="41"/>
      <c r="F32" s="41"/>
      <c r="G32" s="41"/>
      <c r="H32" s="42"/>
      <c r="I32" s="2">
        <v>34.590000000000003</v>
      </c>
      <c r="J32" s="1">
        <v>37.97</v>
      </c>
      <c r="K32" s="1">
        <v>34.9</v>
      </c>
      <c r="L32" s="1">
        <v>34.9</v>
      </c>
      <c r="M32" s="1">
        <v>37.97</v>
      </c>
      <c r="N32" s="3"/>
      <c r="O32" s="40"/>
      <c r="P32" s="41"/>
      <c r="Q32" s="41"/>
      <c r="R32" s="41"/>
      <c r="S32" s="41"/>
      <c r="T32" s="42"/>
      <c r="U32" s="40">
        <f t="shared" si="1"/>
        <v>0</v>
      </c>
      <c r="V32" s="41">
        <f t="shared" si="2"/>
        <v>0</v>
      </c>
      <c r="W32" s="41">
        <f t="shared" si="3"/>
        <v>0</v>
      </c>
      <c r="X32" s="41">
        <f t="shared" si="4"/>
        <v>0</v>
      </c>
      <c r="Y32" s="42">
        <f t="shared" si="5"/>
        <v>0</v>
      </c>
      <c r="Z32" s="52"/>
    </row>
    <row r="33" spans="1:26" x14ac:dyDescent="0.25">
      <c r="A33" s="24">
        <v>31</v>
      </c>
      <c r="B33" s="35">
        <v>40726</v>
      </c>
      <c r="C33" s="40"/>
      <c r="D33" s="41"/>
      <c r="E33" s="41"/>
      <c r="F33" s="41"/>
      <c r="G33" s="41"/>
      <c r="H33" s="42"/>
      <c r="I33" s="2">
        <v>34.590000000000003</v>
      </c>
      <c r="J33" s="1">
        <v>37.97</v>
      </c>
      <c r="K33" s="1">
        <v>34.9</v>
      </c>
      <c r="L33" s="1">
        <v>34.9</v>
      </c>
      <c r="M33" s="1">
        <v>37.97</v>
      </c>
      <c r="N33" s="3"/>
      <c r="O33" s="40"/>
      <c r="P33" s="41"/>
      <c r="Q33" s="41"/>
      <c r="R33" s="41"/>
      <c r="S33" s="41"/>
      <c r="T33" s="42"/>
      <c r="U33" s="40">
        <f t="shared" si="1"/>
        <v>0</v>
      </c>
      <c r="V33" s="41">
        <f t="shared" si="2"/>
        <v>0</v>
      </c>
      <c r="W33" s="41">
        <f t="shared" si="3"/>
        <v>0</v>
      </c>
      <c r="X33" s="41">
        <f t="shared" si="4"/>
        <v>0</v>
      </c>
      <c r="Y33" s="42">
        <f t="shared" si="5"/>
        <v>0</v>
      </c>
      <c r="Z33" s="52"/>
    </row>
    <row r="34" spans="1:26" x14ac:dyDescent="0.25">
      <c r="A34" s="24">
        <v>32</v>
      </c>
      <c r="B34" s="35">
        <v>40733</v>
      </c>
      <c r="C34" s="40"/>
      <c r="D34" s="41"/>
      <c r="E34" s="41"/>
      <c r="F34" s="41"/>
      <c r="G34" s="41"/>
      <c r="H34" s="42"/>
      <c r="I34" s="2">
        <v>34.590000000000003</v>
      </c>
      <c r="J34" s="1">
        <v>37.97</v>
      </c>
      <c r="K34" s="1">
        <v>34.9</v>
      </c>
      <c r="L34" s="1">
        <v>34.9</v>
      </c>
      <c r="M34" s="1">
        <v>37.97</v>
      </c>
      <c r="N34" s="3"/>
      <c r="O34" s="40"/>
      <c r="P34" s="41"/>
      <c r="Q34" s="41"/>
      <c r="R34" s="41"/>
      <c r="S34" s="41"/>
      <c r="T34" s="42"/>
      <c r="U34" s="40">
        <f t="shared" si="1"/>
        <v>0</v>
      </c>
      <c r="V34" s="41">
        <f t="shared" si="2"/>
        <v>0</v>
      </c>
      <c r="W34" s="41">
        <f t="shared" si="3"/>
        <v>0</v>
      </c>
      <c r="X34" s="41">
        <f t="shared" si="4"/>
        <v>0</v>
      </c>
      <c r="Y34" s="42">
        <f t="shared" si="5"/>
        <v>0</v>
      </c>
      <c r="Z34" s="52"/>
    </row>
    <row r="35" spans="1:26" x14ac:dyDescent="0.25">
      <c r="A35" s="24">
        <v>33</v>
      </c>
      <c r="B35" s="35">
        <v>40740</v>
      </c>
      <c r="C35" s="40"/>
      <c r="D35" s="41"/>
      <c r="E35" s="41"/>
      <c r="F35" s="41"/>
      <c r="G35" s="41"/>
      <c r="H35" s="42"/>
      <c r="I35" s="2">
        <v>34.590000000000003</v>
      </c>
      <c r="J35" s="1">
        <v>37.97</v>
      </c>
      <c r="K35" s="1">
        <v>34.9</v>
      </c>
      <c r="L35" s="1">
        <v>34.9</v>
      </c>
      <c r="M35" s="1">
        <v>37.97</v>
      </c>
      <c r="N35" s="3"/>
      <c r="O35" s="40"/>
      <c r="P35" s="41"/>
      <c r="Q35" s="41"/>
      <c r="R35" s="41"/>
      <c r="S35" s="41"/>
      <c r="T35" s="42"/>
      <c r="U35" s="40">
        <f t="shared" si="1"/>
        <v>0</v>
      </c>
      <c r="V35" s="41">
        <f t="shared" si="2"/>
        <v>0</v>
      </c>
      <c r="W35" s="41">
        <f t="shared" si="3"/>
        <v>0</v>
      </c>
      <c r="X35" s="41">
        <f t="shared" si="4"/>
        <v>0</v>
      </c>
      <c r="Y35" s="42">
        <f t="shared" si="5"/>
        <v>0</v>
      </c>
      <c r="Z35" s="52"/>
    </row>
    <row r="36" spans="1:26" x14ac:dyDescent="0.25">
      <c r="A36" s="24">
        <v>34</v>
      </c>
      <c r="B36" s="35">
        <v>40747</v>
      </c>
      <c r="C36" s="40"/>
      <c r="D36" s="41"/>
      <c r="E36" s="41"/>
      <c r="F36" s="41"/>
      <c r="G36" s="41"/>
      <c r="H36" s="42"/>
      <c r="I36" s="2">
        <v>34.590000000000003</v>
      </c>
      <c r="J36" s="1">
        <v>37.97</v>
      </c>
      <c r="K36" s="1">
        <v>34.9</v>
      </c>
      <c r="L36" s="1">
        <v>34.9</v>
      </c>
      <c r="M36" s="1">
        <v>37.97</v>
      </c>
      <c r="N36" s="3"/>
      <c r="O36" s="40"/>
      <c r="P36" s="41"/>
      <c r="Q36" s="41"/>
      <c r="R36" s="41"/>
      <c r="S36" s="41"/>
      <c r="T36" s="42"/>
      <c r="U36" s="40">
        <f t="shared" si="1"/>
        <v>0</v>
      </c>
      <c r="V36" s="41">
        <f t="shared" si="2"/>
        <v>0</v>
      </c>
      <c r="W36" s="41">
        <f t="shared" si="3"/>
        <v>0</v>
      </c>
      <c r="X36" s="41">
        <f t="shared" si="4"/>
        <v>0</v>
      </c>
      <c r="Y36" s="42">
        <f t="shared" si="5"/>
        <v>0</v>
      </c>
      <c r="Z36" s="52"/>
    </row>
    <row r="37" spans="1:26" x14ac:dyDescent="0.25">
      <c r="A37" s="24">
        <v>35</v>
      </c>
      <c r="B37" s="35">
        <v>40754</v>
      </c>
      <c r="C37" s="40"/>
      <c r="D37" s="41"/>
      <c r="E37" s="41"/>
      <c r="F37" s="41"/>
      <c r="G37" s="41"/>
      <c r="H37" s="42"/>
      <c r="I37" s="2">
        <v>34.590000000000003</v>
      </c>
      <c r="J37" s="1">
        <v>37.97</v>
      </c>
      <c r="K37" s="1">
        <v>34.9</v>
      </c>
      <c r="L37" s="1">
        <v>34.9</v>
      </c>
      <c r="M37" s="1">
        <v>37.97</v>
      </c>
      <c r="N37" s="3"/>
      <c r="O37" s="40"/>
      <c r="P37" s="41"/>
      <c r="Q37" s="41"/>
      <c r="R37" s="41"/>
      <c r="S37" s="41"/>
      <c r="T37" s="42"/>
      <c r="U37" s="40">
        <f t="shared" si="1"/>
        <v>0</v>
      </c>
      <c r="V37" s="41">
        <f t="shared" si="2"/>
        <v>0</v>
      </c>
      <c r="W37" s="41">
        <f t="shared" si="3"/>
        <v>0</v>
      </c>
      <c r="X37" s="41">
        <f t="shared" si="4"/>
        <v>0</v>
      </c>
      <c r="Y37" s="42">
        <f t="shared" si="5"/>
        <v>0</v>
      </c>
      <c r="Z37" s="52"/>
    </row>
    <row r="38" spans="1:26" x14ac:dyDescent="0.25">
      <c r="A38" s="24">
        <v>36</v>
      </c>
      <c r="B38" s="35">
        <v>40761</v>
      </c>
      <c r="C38" s="40"/>
      <c r="D38" s="41"/>
      <c r="E38" s="41"/>
      <c r="F38" s="41"/>
      <c r="G38" s="41"/>
      <c r="H38" s="42"/>
      <c r="I38" s="2">
        <v>34.590000000000003</v>
      </c>
      <c r="J38" s="1">
        <v>37.97</v>
      </c>
      <c r="K38" s="1">
        <v>34.9</v>
      </c>
      <c r="L38" s="1">
        <v>34.9</v>
      </c>
      <c r="M38" s="1">
        <v>37.97</v>
      </c>
      <c r="N38" s="3"/>
      <c r="O38" s="40"/>
      <c r="P38" s="41"/>
      <c r="Q38" s="41"/>
      <c r="R38" s="41"/>
      <c r="S38" s="41"/>
      <c r="T38" s="42"/>
      <c r="U38" s="40">
        <f t="shared" si="1"/>
        <v>0</v>
      </c>
      <c r="V38" s="41">
        <f t="shared" si="2"/>
        <v>0</v>
      </c>
      <c r="W38" s="41">
        <f t="shared" si="3"/>
        <v>0</v>
      </c>
      <c r="X38" s="41">
        <f t="shared" si="4"/>
        <v>0</v>
      </c>
      <c r="Y38" s="42">
        <f t="shared" si="5"/>
        <v>0</v>
      </c>
      <c r="Z38" s="52"/>
    </row>
    <row r="39" spans="1:26" x14ac:dyDescent="0.25">
      <c r="A39" s="24">
        <v>37</v>
      </c>
      <c r="B39" s="35">
        <v>40768</v>
      </c>
      <c r="C39" s="40"/>
      <c r="D39" s="41"/>
      <c r="E39" s="41"/>
      <c r="F39" s="41"/>
      <c r="G39" s="41"/>
      <c r="H39" s="42"/>
      <c r="I39" s="2">
        <v>34.590000000000003</v>
      </c>
      <c r="J39" s="1">
        <v>37.97</v>
      </c>
      <c r="K39" s="1">
        <v>34.9</v>
      </c>
      <c r="L39" s="1">
        <v>34.9</v>
      </c>
      <c r="M39" s="1">
        <v>37.97</v>
      </c>
      <c r="N39" s="3"/>
      <c r="O39" s="40"/>
      <c r="P39" s="41"/>
      <c r="Q39" s="41"/>
      <c r="R39" s="41"/>
      <c r="S39" s="41"/>
      <c r="T39" s="42"/>
      <c r="U39" s="40">
        <f t="shared" si="1"/>
        <v>0</v>
      </c>
      <c r="V39" s="41">
        <f t="shared" si="2"/>
        <v>0</v>
      </c>
      <c r="W39" s="41">
        <f t="shared" si="3"/>
        <v>0</v>
      </c>
      <c r="X39" s="41">
        <f t="shared" si="4"/>
        <v>0</v>
      </c>
      <c r="Y39" s="42">
        <f t="shared" si="5"/>
        <v>0</v>
      </c>
      <c r="Z39" s="52"/>
    </row>
    <row r="40" spans="1:26" x14ac:dyDescent="0.25">
      <c r="A40" s="24">
        <v>38</v>
      </c>
      <c r="B40" s="35">
        <v>40775</v>
      </c>
      <c r="C40" s="40"/>
      <c r="D40" s="41"/>
      <c r="E40" s="41"/>
      <c r="F40" s="41"/>
      <c r="G40" s="41">
        <v>-4</v>
      </c>
      <c r="H40" s="42"/>
      <c r="I40" s="2">
        <v>34.590000000000003</v>
      </c>
      <c r="J40" s="1">
        <v>37.97</v>
      </c>
      <c r="K40" s="1">
        <v>39.24</v>
      </c>
      <c r="L40" s="1">
        <v>34.9</v>
      </c>
      <c r="M40" s="50">
        <v>41.07</v>
      </c>
      <c r="N40" s="3"/>
      <c r="O40" s="40"/>
      <c r="P40" s="41"/>
      <c r="Q40" s="41">
        <v>80</v>
      </c>
      <c r="R40" s="41"/>
      <c r="S40" s="41">
        <v>80</v>
      </c>
      <c r="T40" s="42"/>
      <c r="U40" s="40">
        <f t="shared" si="1"/>
        <v>0</v>
      </c>
      <c r="V40" s="41">
        <f t="shared" si="2"/>
        <v>0</v>
      </c>
      <c r="W40" s="41">
        <f t="shared" si="3"/>
        <v>80</v>
      </c>
      <c r="X40" s="41">
        <f t="shared" si="4"/>
        <v>0</v>
      </c>
      <c r="Y40" s="42">
        <f t="shared" si="5"/>
        <v>76</v>
      </c>
      <c r="Z40" s="52"/>
    </row>
    <row r="41" spans="1:26" x14ac:dyDescent="0.25">
      <c r="A41" s="24">
        <v>39</v>
      </c>
      <c r="B41" s="35">
        <v>40782</v>
      </c>
      <c r="C41" s="40"/>
      <c r="D41" s="41">
        <f>-3*12.42/6.62</f>
        <v>-5.6283987915407847</v>
      </c>
      <c r="E41" s="41"/>
      <c r="F41" s="41">
        <f>-12-7-1</f>
        <v>-20</v>
      </c>
      <c r="G41" s="41"/>
      <c r="H41" s="42"/>
      <c r="I41" s="2">
        <v>34.590000000000003</v>
      </c>
      <c r="J41" s="1">
        <v>37.97</v>
      </c>
      <c r="K41" s="1">
        <v>39.24</v>
      </c>
      <c r="L41" s="1">
        <v>34.9</v>
      </c>
      <c r="M41" s="50">
        <v>41.07</v>
      </c>
      <c r="N41" s="3"/>
      <c r="O41" s="40"/>
      <c r="P41" s="41"/>
      <c r="Q41" s="41"/>
      <c r="R41" s="41"/>
      <c r="S41" s="41"/>
      <c r="T41" s="42"/>
      <c r="U41" s="40">
        <f t="shared" si="1"/>
        <v>0</v>
      </c>
      <c r="V41" s="41">
        <f t="shared" si="2"/>
        <v>-5.6283987915407847</v>
      </c>
      <c r="W41" s="41">
        <f t="shared" si="3"/>
        <v>0</v>
      </c>
      <c r="X41" s="41">
        <f t="shared" si="4"/>
        <v>-20</v>
      </c>
      <c r="Y41" s="42">
        <f t="shared" si="5"/>
        <v>0</v>
      </c>
      <c r="Z41" s="52"/>
    </row>
    <row r="42" spans="1:26" x14ac:dyDescent="0.25">
      <c r="A42" s="24">
        <v>40</v>
      </c>
      <c r="B42" s="35">
        <v>40789</v>
      </c>
      <c r="C42" s="40"/>
      <c r="D42" s="41">
        <f>-335.34/6.62-27/6.62-2*12.42/6.62</f>
        <v>-58.486404833836858</v>
      </c>
      <c r="E42" s="41">
        <v>-4</v>
      </c>
      <c r="F42" s="41"/>
      <c r="G42" s="41">
        <v>-8</v>
      </c>
      <c r="H42" s="42"/>
      <c r="I42" s="2">
        <v>34.590000000000003</v>
      </c>
      <c r="J42" s="1">
        <v>37.97</v>
      </c>
      <c r="K42" s="1">
        <v>39.24</v>
      </c>
      <c r="L42" s="1">
        <v>34.9</v>
      </c>
      <c r="M42" s="50">
        <v>41.07</v>
      </c>
      <c r="N42" s="3"/>
      <c r="O42" s="40"/>
      <c r="P42" s="41"/>
      <c r="Q42" s="41"/>
      <c r="R42" s="41"/>
      <c r="S42" s="41"/>
      <c r="T42" s="42"/>
      <c r="U42" s="40">
        <f t="shared" si="1"/>
        <v>0</v>
      </c>
      <c r="V42" s="41">
        <f t="shared" si="2"/>
        <v>-58.486404833836858</v>
      </c>
      <c r="W42" s="41">
        <f t="shared" si="3"/>
        <v>-4</v>
      </c>
      <c r="X42" s="41">
        <f t="shared" si="4"/>
        <v>0</v>
      </c>
      <c r="Y42" s="42">
        <f t="shared" si="5"/>
        <v>-8</v>
      </c>
      <c r="Z42" s="52"/>
    </row>
    <row r="43" spans="1:26" x14ac:dyDescent="0.25">
      <c r="A43" s="24">
        <v>41</v>
      </c>
      <c r="B43" s="35">
        <v>40796</v>
      </c>
      <c r="C43" s="40">
        <f>-5-12</f>
        <v>-17</v>
      </c>
      <c r="D43" s="41">
        <f>-1*12.42/6.62-27/6.62</f>
        <v>-5.954682779456193</v>
      </c>
      <c r="E43" s="41"/>
      <c r="F43" s="41"/>
      <c r="G43" s="41">
        <v>-4</v>
      </c>
      <c r="H43" s="42"/>
      <c r="I43" s="2">
        <v>34.590000000000003</v>
      </c>
      <c r="J43" s="1">
        <v>37.97</v>
      </c>
      <c r="K43" s="1">
        <v>39.24</v>
      </c>
      <c r="L43" s="1">
        <v>34.9</v>
      </c>
      <c r="M43" s="50">
        <v>41.07</v>
      </c>
      <c r="N43" s="3"/>
      <c r="O43" s="40"/>
      <c r="P43" s="41"/>
      <c r="Q43" s="41"/>
      <c r="R43" s="41"/>
      <c r="S43" s="41"/>
      <c r="T43" s="42"/>
      <c r="U43" s="40">
        <f t="shared" si="1"/>
        <v>-17</v>
      </c>
      <c r="V43" s="41">
        <f t="shared" si="2"/>
        <v>-5.954682779456193</v>
      </c>
      <c r="W43" s="41">
        <f t="shared" si="3"/>
        <v>0</v>
      </c>
      <c r="X43" s="41">
        <f t="shared" si="4"/>
        <v>0</v>
      </c>
      <c r="Y43" s="42">
        <f t="shared" si="5"/>
        <v>-4</v>
      </c>
      <c r="Z43" s="52"/>
    </row>
    <row r="44" spans="1:26" x14ac:dyDescent="0.25">
      <c r="A44" s="24">
        <v>42</v>
      </c>
      <c r="B44" s="35">
        <v>40803</v>
      </c>
      <c r="C44" s="40"/>
      <c r="D44" s="41">
        <f>-2*12.42/6.62</f>
        <v>-3.7522658610271904</v>
      </c>
      <c r="E44" s="41"/>
      <c r="F44" s="41">
        <f>-4-28-8</f>
        <v>-40</v>
      </c>
      <c r="G44" s="41">
        <v>-8</v>
      </c>
      <c r="H44" s="42"/>
      <c r="I44" s="2">
        <v>34.590000000000003</v>
      </c>
      <c r="J44" s="1">
        <v>37.97</v>
      </c>
      <c r="K44" s="1">
        <v>39.24</v>
      </c>
      <c r="L44" s="1">
        <v>34.9</v>
      </c>
      <c r="M44" s="50">
        <v>41.07</v>
      </c>
      <c r="N44" s="3"/>
      <c r="O44" s="40"/>
      <c r="P44" s="41"/>
      <c r="Q44" s="41"/>
      <c r="R44" s="41"/>
      <c r="S44" s="41"/>
      <c r="T44" s="42"/>
      <c r="U44" s="40">
        <f t="shared" si="1"/>
        <v>0</v>
      </c>
      <c r="V44" s="41">
        <f t="shared" si="2"/>
        <v>-3.7522658610271904</v>
      </c>
      <c r="W44" s="41">
        <f t="shared" si="3"/>
        <v>0</v>
      </c>
      <c r="X44" s="41">
        <f t="shared" si="4"/>
        <v>-40</v>
      </c>
      <c r="Y44" s="42">
        <f t="shared" si="5"/>
        <v>-8</v>
      </c>
      <c r="Z44" s="52"/>
    </row>
    <row r="45" spans="1:26" x14ac:dyDescent="0.25">
      <c r="A45" s="24">
        <v>43</v>
      </c>
      <c r="B45" s="35">
        <v>40810</v>
      </c>
      <c r="C45" s="40">
        <f>-16</f>
        <v>-16</v>
      </c>
      <c r="D45" s="41"/>
      <c r="E45" s="41"/>
      <c r="F45" s="41">
        <f>-12</f>
        <v>-12</v>
      </c>
      <c r="G45" s="41"/>
      <c r="H45" s="42"/>
      <c r="I45" s="2">
        <v>34.590000000000003</v>
      </c>
      <c r="J45" s="1">
        <v>37.97</v>
      </c>
      <c r="K45" s="1">
        <v>39.24</v>
      </c>
      <c r="L45" s="1">
        <v>34.9</v>
      </c>
      <c r="M45" s="50">
        <v>41.07</v>
      </c>
      <c r="N45" s="3"/>
      <c r="O45" s="40"/>
      <c r="P45" s="41"/>
      <c r="Q45" s="41"/>
      <c r="R45" s="41"/>
      <c r="S45" s="41"/>
      <c r="T45" s="42"/>
      <c r="U45" s="40">
        <f t="shared" si="1"/>
        <v>-16</v>
      </c>
      <c r="V45" s="41">
        <f t="shared" si="2"/>
        <v>0</v>
      </c>
      <c r="W45" s="41">
        <f t="shared" si="3"/>
        <v>0</v>
      </c>
      <c r="X45" s="41">
        <f t="shared" si="4"/>
        <v>-12</v>
      </c>
      <c r="Y45" s="42">
        <f t="shared" si="5"/>
        <v>0</v>
      </c>
      <c r="Z45" s="52"/>
    </row>
    <row r="46" spans="1:26" x14ac:dyDescent="0.25">
      <c r="A46" s="24">
        <v>44</v>
      </c>
      <c r="B46" s="35">
        <v>40817</v>
      </c>
      <c r="C46" s="40">
        <f>-12</f>
        <v>-12</v>
      </c>
      <c r="D46" s="41">
        <f>-27/6.62</f>
        <v>-4.0785498489425978</v>
      </c>
      <c r="E46" s="41">
        <v>-4</v>
      </c>
      <c r="F46" s="41">
        <f>-8-4</f>
        <v>-12</v>
      </c>
      <c r="G46" s="41"/>
      <c r="H46" s="42"/>
      <c r="I46" s="2">
        <v>34.590000000000003</v>
      </c>
      <c r="J46" s="1">
        <v>37.97</v>
      </c>
      <c r="K46" s="1">
        <v>39.24</v>
      </c>
      <c r="L46" s="1">
        <v>34.9</v>
      </c>
      <c r="M46" s="50">
        <v>41.07</v>
      </c>
      <c r="N46" s="3"/>
      <c r="O46" s="40"/>
      <c r="P46" s="41"/>
      <c r="Q46" s="41"/>
      <c r="R46" s="41"/>
      <c r="S46" s="41"/>
      <c r="T46" s="42"/>
      <c r="U46" s="40">
        <f t="shared" si="1"/>
        <v>-12</v>
      </c>
      <c r="V46" s="41">
        <f t="shared" si="2"/>
        <v>-4.0785498489425978</v>
      </c>
      <c r="W46" s="41">
        <f t="shared" si="3"/>
        <v>-4</v>
      </c>
      <c r="X46" s="41">
        <f t="shared" si="4"/>
        <v>-12</v>
      </c>
      <c r="Y46" s="42">
        <f t="shared" si="5"/>
        <v>0</v>
      </c>
      <c r="Z46" s="52"/>
    </row>
    <row r="47" spans="1:26" x14ac:dyDescent="0.25">
      <c r="A47" s="24">
        <v>45</v>
      </c>
      <c r="B47" s="35">
        <v>40824</v>
      </c>
      <c r="C47" s="40"/>
      <c r="D47" s="41">
        <f>-1*12.42/6.62</f>
        <v>-1.8761329305135952</v>
      </c>
      <c r="E47" s="41">
        <v>-8</v>
      </c>
      <c r="F47" s="41">
        <f>-4-8</f>
        <v>-12</v>
      </c>
      <c r="G47" s="41"/>
      <c r="H47" s="42"/>
      <c r="I47" s="2">
        <v>34.590000000000003</v>
      </c>
      <c r="J47" s="1">
        <v>37.97</v>
      </c>
      <c r="K47" s="1">
        <v>39.24</v>
      </c>
      <c r="L47" s="50">
        <v>38.299999999999997</v>
      </c>
      <c r="M47" s="50">
        <v>41.07</v>
      </c>
      <c r="N47" s="3"/>
      <c r="O47" s="40"/>
      <c r="P47" s="41"/>
      <c r="Q47" s="41"/>
      <c r="R47" s="41">
        <v>204</v>
      </c>
      <c r="S47" s="41"/>
      <c r="T47" s="42"/>
      <c r="U47" s="40">
        <f t="shared" si="1"/>
        <v>0</v>
      </c>
      <c r="V47" s="41">
        <f t="shared" si="2"/>
        <v>-1.8761329305135952</v>
      </c>
      <c r="W47" s="41">
        <f t="shared" si="3"/>
        <v>-8</v>
      </c>
      <c r="X47" s="41">
        <f t="shared" si="4"/>
        <v>192</v>
      </c>
      <c r="Y47" s="42">
        <f t="shared" si="5"/>
        <v>0</v>
      </c>
      <c r="Z47" s="52"/>
    </row>
    <row r="48" spans="1:26" x14ac:dyDescent="0.25">
      <c r="A48" s="24">
        <v>46</v>
      </c>
      <c r="B48" s="35">
        <v>40831</v>
      </c>
      <c r="C48" s="40">
        <v>-12</v>
      </c>
      <c r="D48" s="41">
        <f>-1*12.42/6.62</f>
        <v>-1.8761329305135952</v>
      </c>
      <c r="E48" s="41">
        <v>-4</v>
      </c>
      <c r="F48" s="41"/>
      <c r="G48" s="41"/>
      <c r="H48" s="42"/>
      <c r="I48" s="2">
        <v>34.590000000000003</v>
      </c>
      <c r="J48" s="1">
        <v>37.97</v>
      </c>
      <c r="K48" s="1">
        <v>39.24</v>
      </c>
      <c r="L48" s="50">
        <v>38.299999999999997</v>
      </c>
      <c r="M48" s="50">
        <v>41.07</v>
      </c>
      <c r="N48" s="3"/>
      <c r="O48" s="40"/>
      <c r="P48" s="41"/>
      <c r="Q48" s="41"/>
      <c r="R48" s="41"/>
      <c r="S48" s="41"/>
      <c r="T48" s="42"/>
      <c r="U48" s="40">
        <f t="shared" si="1"/>
        <v>-12</v>
      </c>
      <c r="V48" s="41">
        <f t="shared" si="2"/>
        <v>-1.8761329305135952</v>
      </c>
      <c r="W48" s="41">
        <f t="shared" si="3"/>
        <v>-4</v>
      </c>
      <c r="X48" s="41">
        <f t="shared" si="4"/>
        <v>0</v>
      </c>
      <c r="Y48" s="42">
        <f t="shared" si="5"/>
        <v>0</v>
      </c>
      <c r="Z48" s="52"/>
    </row>
    <row r="49" spans="1:26" x14ac:dyDescent="0.25">
      <c r="A49" s="24">
        <v>47</v>
      </c>
      <c r="B49" s="35">
        <v>40838</v>
      </c>
      <c r="C49" s="40">
        <v>-12</v>
      </c>
      <c r="D49" s="41">
        <f>-3*12.42/6.62</f>
        <v>-5.6283987915407847</v>
      </c>
      <c r="E49" s="41"/>
      <c r="F49" s="41"/>
      <c r="G49" s="41"/>
      <c r="H49" s="42"/>
      <c r="I49" s="2">
        <v>34.590000000000003</v>
      </c>
      <c r="J49" s="1">
        <v>37.97</v>
      </c>
      <c r="K49" s="1">
        <v>39.24</v>
      </c>
      <c r="L49" s="50">
        <v>38.299999999999997</v>
      </c>
      <c r="M49" s="50">
        <v>41.07</v>
      </c>
      <c r="N49" s="3"/>
      <c r="O49" s="40"/>
      <c r="P49" s="41"/>
      <c r="Q49" s="41"/>
      <c r="R49" s="41"/>
      <c r="S49" s="41"/>
      <c r="T49" s="42"/>
      <c r="U49" s="40">
        <f t="shared" si="1"/>
        <v>-12</v>
      </c>
      <c r="V49" s="41">
        <f t="shared" si="2"/>
        <v>-5.6283987915407847</v>
      </c>
      <c r="W49" s="41">
        <f t="shared" si="3"/>
        <v>0</v>
      </c>
      <c r="X49" s="41">
        <f t="shared" si="4"/>
        <v>0</v>
      </c>
      <c r="Y49" s="42">
        <f t="shared" si="5"/>
        <v>0</v>
      </c>
      <c r="Z49" s="52"/>
    </row>
    <row r="50" spans="1:26" x14ac:dyDescent="0.25">
      <c r="A50" s="24">
        <v>48</v>
      </c>
      <c r="B50" s="35">
        <v>40845</v>
      </c>
      <c r="C50" s="40"/>
      <c r="D50" s="41">
        <f>-2*12.42/6.62</f>
        <v>-3.7522658610271904</v>
      </c>
      <c r="E50" s="41"/>
      <c r="F50" s="41"/>
      <c r="G50" s="41"/>
      <c r="H50" s="42"/>
      <c r="I50" s="2">
        <v>34.590000000000003</v>
      </c>
      <c r="J50" s="1">
        <v>37.97</v>
      </c>
      <c r="K50" s="1">
        <v>39.24</v>
      </c>
      <c r="L50" s="50">
        <v>38.299999999999997</v>
      </c>
      <c r="M50" s="50">
        <v>41.07</v>
      </c>
      <c r="N50" s="3"/>
      <c r="O50" s="40"/>
      <c r="P50" s="41"/>
      <c r="Q50" s="41"/>
      <c r="R50" s="41"/>
      <c r="S50" s="41"/>
      <c r="T50" s="42"/>
      <c r="U50" s="40">
        <f t="shared" si="1"/>
        <v>0</v>
      </c>
      <c r="V50" s="41">
        <f t="shared" si="2"/>
        <v>-3.7522658610271904</v>
      </c>
      <c r="W50" s="41">
        <f t="shared" si="3"/>
        <v>0</v>
      </c>
      <c r="X50" s="41">
        <f t="shared" si="4"/>
        <v>0</v>
      </c>
      <c r="Y50" s="42">
        <f t="shared" si="5"/>
        <v>0</v>
      </c>
      <c r="Z50" s="52"/>
    </row>
    <row r="51" spans="1:26" x14ac:dyDescent="0.25">
      <c r="A51" s="24">
        <v>49</v>
      </c>
      <c r="B51" s="35">
        <v>40852</v>
      </c>
      <c r="C51" s="40"/>
      <c r="D51" s="41"/>
      <c r="E51" s="41"/>
      <c r="F51" s="41"/>
      <c r="G51" s="41"/>
      <c r="H51" s="42"/>
      <c r="I51" s="2">
        <v>34.590000000000003</v>
      </c>
      <c r="J51" s="1">
        <v>37.97</v>
      </c>
      <c r="K51" s="1">
        <v>39.24</v>
      </c>
      <c r="L51" s="50">
        <v>38.299999999999997</v>
      </c>
      <c r="M51" s="50">
        <v>41.07</v>
      </c>
      <c r="N51" s="3"/>
      <c r="O51" s="40"/>
      <c r="P51" s="41"/>
      <c r="Q51" s="41"/>
      <c r="R51" s="41"/>
      <c r="S51" s="41"/>
      <c r="T51" s="42"/>
      <c r="U51" s="40">
        <f t="shared" si="1"/>
        <v>0</v>
      </c>
      <c r="V51" s="41">
        <f t="shared" si="2"/>
        <v>0</v>
      </c>
      <c r="W51" s="41">
        <f t="shared" si="3"/>
        <v>0</v>
      </c>
      <c r="X51" s="41">
        <f t="shared" si="4"/>
        <v>0</v>
      </c>
      <c r="Y51" s="42">
        <f t="shared" si="5"/>
        <v>0</v>
      </c>
      <c r="Z51" s="52"/>
    </row>
    <row r="52" spans="1:26" x14ac:dyDescent="0.25">
      <c r="A52" s="24">
        <v>50</v>
      </c>
      <c r="B52" s="35">
        <v>40859</v>
      </c>
      <c r="C52" s="40"/>
      <c r="D52" s="41">
        <f>-1*12.42/6.62</f>
        <v>-1.8761329305135952</v>
      </c>
      <c r="E52" s="41">
        <f>-4-12</f>
        <v>-16</v>
      </c>
      <c r="F52" s="41"/>
      <c r="G52" s="41"/>
      <c r="H52" s="42"/>
      <c r="I52" s="2">
        <v>34.590000000000003</v>
      </c>
      <c r="J52" s="1">
        <v>37.97</v>
      </c>
      <c r="K52" s="1">
        <v>39.24</v>
      </c>
      <c r="L52" s="50">
        <v>38.299999999999997</v>
      </c>
      <c r="M52" s="50">
        <v>41.07</v>
      </c>
      <c r="N52" s="3"/>
      <c r="O52" s="40"/>
      <c r="P52" s="41"/>
      <c r="Q52" s="41"/>
      <c r="R52" s="41"/>
      <c r="S52" s="41"/>
      <c r="T52" s="42"/>
      <c r="U52" s="40">
        <f t="shared" si="1"/>
        <v>0</v>
      </c>
      <c r="V52" s="41">
        <f t="shared" si="2"/>
        <v>-1.8761329305135952</v>
      </c>
      <c r="W52" s="41">
        <f t="shared" si="3"/>
        <v>-16</v>
      </c>
      <c r="X52" s="41">
        <f t="shared" si="4"/>
        <v>0</v>
      </c>
      <c r="Y52" s="42">
        <f t="shared" si="5"/>
        <v>0</v>
      </c>
      <c r="Z52" s="52"/>
    </row>
    <row r="53" spans="1:26" x14ac:dyDescent="0.25">
      <c r="A53" s="24">
        <v>51</v>
      </c>
      <c r="B53" s="35">
        <v>40866</v>
      </c>
      <c r="C53" s="40">
        <v>-12</v>
      </c>
      <c r="D53" s="41"/>
      <c r="E53" s="41"/>
      <c r="F53" s="41"/>
      <c r="G53" s="41"/>
      <c r="H53" s="42"/>
      <c r="I53" s="2">
        <v>34.590000000000003</v>
      </c>
      <c r="J53" s="1">
        <v>37.97</v>
      </c>
      <c r="K53" s="1">
        <v>39.24</v>
      </c>
      <c r="L53" s="50">
        <v>38.299999999999997</v>
      </c>
      <c r="M53" s="50">
        <v>41.07</v>
      </c>
      <c r="N53" s="3"/>
      <c r="O53" s="40"/>
      <c r="P53" s="41"/>
      <c r="Q53" s="41"/>
      <c r="R53" s="41"/>
      <c r="S53" s="41"/>
      <c r="T53" s="42"/>
      <c r="U53" s="40">
        <f t="shared" si="1"/>
        <v>-12</v>
      </c>
      <c r="V53" s="41">
        <f t="shared" si="2"/>
        <v>0</v>
      </c>
      <c r="W53" s="41">
        <f t="shared" si="3"/>
        <v>0</v>
      </c>
      <c r="X53" s="41">
        <f t="shared" si="4"/>
        <v>0</v>
      </c>
      <c r="Y53" s="42">
        <f t="shared" si="5"/>
        <v>0</v>
      </c>
      <c r="Z53" s="52"/>
    </row>
    <row r="54" spans="1:26" x14ac:dyDescent="0.25">
      <c r="A54" s="24">
        <v>52</v>
      </c>
      <c r="B54" s="35">
        <v>40873</v>
      </c>
      <c r="C54" s="40"/>
      <c r="D54" s="41"/>
      <c r="E54" s="41"/>
      <c r="F54" s="41"/>
      <c r="G54" s="41"/>
      <c r="H54" s="42"/>
      <c r="I54" s="2">
        <v>34.590000000000003</v>
      </c>
      <c r="J54" s="1">
        <v>37.97</v>
      </c>
      <c r="K54" s="1">
        <v>39.24</v>
      </c>
      <c r="L54" s="50">
        <v>38.299999999999997</v>
      </c>
      <c r="M54" s="50">
        <v>41.07</v>
      </c>
      <c r="N54" s="3"/>
      <c r="O54" s="40"/>
      <c r="P54" s="41"/>
      <c r="Q54" s="41"/>
      <c r="R54" s="41"/>
      <c r="S54" s="41"/>
      <c r="T54" s="42"/>
      <c r="U54" s="40">
        <f t="shared" si="1"/>
        <v>0</v>
      </c>
      <c r="V54" s="41">
        <f t="shared" si="2"/>
        <v>0</v>
      </c>
      <c r="W54" s="41">
        <f t="shared" si="3"/>
        <v>0</v>
      </c>
      <c r="X54" s="41">
        <f t="shared" si="4"/>
        <v>0</v>
      </c>
      <c r="Y54" s="42">
        <f t="shared" si="5"/>
        <v>0</v>
      </c>
      <c r="Z54" s="52"/>
    </row>
    <row r="55" spans="1:26" x14ac:dyDescent="0.25">
      <c r="A55" s="24">
        <v>53</v>
      </c>
      <c r="B55" s="35">
        <v>40880</v>
      </c>
      <c r="C55" s="40">
        <v>-12</v>
      </c>
      <c r="D55" s="41">
        <f>-1*12.42/6.62</f>
        <v>-1.8761329305135952</v>
      </c>
      <c r="E55" s="41"/>
      <c r="F55" s="41"/>
      <c r="G55" s="41"/>
      <c r="H55" s="42"/>
      <c r="I55" s="2">
        <v>34.590000000000003</v>
      </c>
      <c r="J55" s="1">
        <v>37.97</v>
      </c>
      <c r="K55" s="1">
        <v>39.24</v>
      </c>
      <c r="L55" s="50">
        <v>38.299999999999997</v>
      </c>
      <c r="M55" s="50">
        <v>41.07</v>
      </c>
      <c r="N55" s="3"/>
      <c r="O55" s="40"/>
      <c r="P55" s="41"/>
      <c r="Q55" s="41"/>
      <c r="R55" s="41"/>
      <c r="S55" s="41"/>
      <c r="T55" s="42"/>
      <c r="U55" s="40">
        <f t="shared" si="1"/>
        <v>-12</v>
      </c>
      <c r="V55" s="41">
        <f t="shared" si="2"/>
        <v>-1.8761329305135952</v>
      </c>
      <c r="W55" s="41">
        <f t="shared" si="3"/>
        <v>0</v>
      </c>
      <c r="X55" s="41">
        <f t="shared" si="4"/>
        <v>0</v>
      </c>
      <c r="Y55" s="42">
        <f t="shared" si="5"/>
        <v>0</v>
      </c>
      <c r="Z55" s="52"/>
    </row>
    <row r="56" spans="1:26" x14ac:dyDescent="0.25">
      <c r="A56" s="24">
        <v>54</v>
      </c>
      <c r="B56" s="35">
        <v>40887</v>
      </c>
      <c r="C56" s="40">
        <v>-8</v>
      </c>
      <c r="D56" s="41">
        <f>-1*12.42/6.62</f>
        <v>-1.8761329305135952</v>
      </c>
      <c r="E56" s="41">
        <v>-4</v>
      </c>
      <c r="F56" s="41"/>
      <c r="G56" s="41"/>
      <c r="H56" s="42"/>
      <c r="I56" s="2">
        <v>34.590000000000003</v>
      </c>
      <c r="J56" s="1">
        <v>37.97</v>
      </c>
      <c r="K56" s="1">
        <v>39.24</v>
      </c>
      <c r="L56" s="50">
        <v>38.299999999999997</v>
      </c>
      <c r="M56" s="50">
        <v>41.07</v>
      </c>
      <c r="N56" s="3"/>
      <c r="O56" s="40"/>
      <c r="P56" s="41"/>
      <c r="Q56" s="41"/>
      <c r="R56" s="41"/>
      <c r="S56" s="41"/>
      <c r="T56" s="42"/>
      <c r="U56" s="40">
        <f t="shared" si="1"/>
        <v>-8</v>
      </c>
      <c r="V56" s="41">
        <f t="shared" si="2"/>
        <v>-1.8761329305135952</v>
      </c>
      <c r="W56" s="41">
        <f t="shared" si="3"/>
        <v>-4</v>
      </c>
      <c r="X56" s="41">
        <f t="shared" si="4"/>
        <v>0</v>
      </c>
      <c r="Y56" s="42">
        <f t="shared" si="5"/>
        <v>0</v>
      </c>
      <c r="Z56" s="52"/>
    </row>
    <row r="57" spans="1:26" x14ac:dyDescent="0.25">
      <c r="A57" s="24">
        <v>55</v>
      </c>
      <c r="B57" s="35">
        <v>40894</v>
      </c>
      <c r="C57" s="40"/>
      <c r="D57" s="41"/>
      <c r="E57" s="41">
        <v>-4</v>
      </c>
      <c r="F57" s="41"/>
      <c r="G57" s="41"/>
      <c r="H57" s="42"/>
      <c r="I57" s="2">
        <v>34.590000000000003</v>
      </c>
      <c r="J57" s="1">
        <v>37.97</v>
      </c>
      <c r="K57" s="1">
        <v>39.24</v>
      </c>
      <c r="L57" s="50">
        <v>38.299999999999997</v>
      </c>
      <c r="M57" s="50">
        <v>41.07</v>
      </c>
      <c r="N57" s="3"/>
      <c r="O57" s="40"/>
      <c r="P57" s="41"/>
      <c r="Q57" s="41"/>
      <c r="R57" s="41"/>
      <c r="S57" s="41"/>
      <c r="T57" s="42"/>
      <c r="U57" s="40">
        <f t="shared" si="1"/>
        <v>0</v>
      </c>
      <c r="V57" s="41">
        <f t="shared" si="2"/>
        <v>0</v>
      </c>
      <c r="W57" s="41">
        <f t="shared" si="3"/>
        <v>-4</v>
      </c>
      <c r="X57" s="41">
        <f t="shared" si="4"/>
        <v>0</v>
      </c>
      <c r="Y57" s="42">
        <f t="shared" si="5"/>
        <v>0</v>
      </c>
      <c r="Z57" s="52"/>
    </row>
    <row r="58" spans="1:26" x14ac:dyDescent="0.25">
      <c r="A58" s="24">
        <v>56</v>
      </c>
      <c r="B58" s="35">
        <v>40901</v>
      </c>
      <c r="C58" s="40"/>
      <c r="D58" s="41"/>
      <c r="E58" s="41"/>
      <c r="F58" s="41"/>
      <c r="G58" s="41"/>
      <c r="H58" s="42"/>
      <c r="I58" s="2">
        <v>34.590000000000003</v>
      </c>
      <c r="J58" s="1">
        <v>37.97</v>
      </c>
      <c r="K58" s="1">
        <v>39.24</v>
      </c>
      <c r="L58" s="50">
        <v>38.299999999999997</v>
      </c>
      <c r="M58" s="50">
        <v>41.07</v>
      </c>
      <c r="N58" s="3"/>
      <c r="O58" s="40"/>
      <c r="P58" s="41"/>
      <c r="Q58" s="41"/>
      <c r="R58" s="41"/>
      <c r="S58" s="41"/>
      <c r="T58" s="42"/>
      <c r="U58" s="40">
        <f t="shared" si="1"/>
        <v>0</v>
      </c>
      <c r="V58" s="41">
        <f t="shared" si="2"/>
        <v>0</v>
      </c>
      <c r="W58" s="41">
        <f t="shared" si="3"/>
        <v>0</v>
      </c>
      <c r="X58" s="41">
        <f t="shared" si="4"/>
        <v>0</v>
      </c>
      <c r="Y58" s="42">
        <f t="shared" si="5"/>
        <v>0</v>
      </c>
      <c r="Z58" s="52"/>
    </row>
    <row r="59" spans="1:26" x14ac:dyDescent="0.25">
      <c r="A59" s="24">
        <v>57</v>
      </c>
      <c r="B59" s="35">
        <v>40908</v>
      </c>
      <c r="C59" s="40"/>
      <c r="D59" s="41"/>
      <c r="E59" s="41"/>
      <c r="F59" s="41"/>
      <c r="G59" s="41"/>
      <c r="H59" s="42"/>
      <c r="I59" s="46">
        <v>37.86</v>
      </c>
      <c r="J59" s="1">
        <v>37.97</v>
      </c>
      <c r="K59" s="50">
        <v>38.159999999999997</v>
      </c>
      <c r="L59" s="50">
        <v>38.299999999999997</v>
      </c>
      <c r="M59" s="1">
        <v>40.049999999999997</v>
      </c>
      <c r="N59" s="3"/>
      <c r="O59" s="40">
        <v>112</v>
      </c>
      <c r="P59" s="41"/>
      <c r="Q59" s="41">
        <v>80</v>
      </c>
      <c r="R59" s="41"/>
      <c r="S59" s="41">
        <v>20</v>
      </c>
      <c r="T59" s="42"/>
      <c r="U59" s="40">
        <f t="shared" si="1"/>
        <v>112</v>
      </c>
      <c r="V59" s="41">
        <f t="shared" si="2"/>
        <v>0</v>
      </c>
      <c r="W59" s="41">
        <f t="shared" si="3"/>
        <v>80</v>
      </c>
      <c r="X59" s="41">
        <f t="shared" si="4"/>
        <v>0</v>
      </c>
      <c r="Y59" s="42">
        <f t="shared" si="5"/>
        <v>20</v>
      </c>
      <c r="Z59" s="52"/>
    </row>
    <row r="60" spans="1:26" x14ac:dyDescent="0.25">
      <c r="A60" s="24">
        <v>58</v>
      </c>
      <c r="B60" s="35">
        <v>40915</v>
      </c>
      <c r="C60" s="40"/>
      <c r="D60" s="41"/>
      <c r="E60" s="41"/>
      <c r="F60" s="41"/>
      <c r="G60" s="41"/>
      <c r="H60" s="42"/>
      <c r="I60" s="46">
        <v>37.86</v>
      </c>
      <c r="J60" s="1">
        <v>37.97</v>
      </c>
      <c r="K60" s="50">
        <v>38.159999999999997</v>
      </c>
      <c r="L60" s="50">
        <v>38.299999999999997</v>
      </c>
      <c r="M60" s="1">
        <v>40.049999999999997</v>
      </c>
      <c r="N60" s="3"/>
      <c r="O60" s="40"/>
      <c r="P60" s="41"/>
      <c r="Q60" s="41"/>
      <c r="R60" s="41"/>
      <c r="S60" s="41"/>
      <c r="T60" s="42"/>
      <c r="U60" s="40">
        <f t="shared" si="1"/>
        <v>0</v>
      </c>
      <c r="V60" s="41">
        <f t="shared" si="2"/>
        <v>0</v>
      </c>
      <c r="W60" s="41">
        <f t="shared" si="3"/>
        <v>0</v>
      </c>
      <c r="X60" s="41">
        <f t="shared" si="4"/>
        <v>0</v>
      </c>
      <c r="Y60" s="42">
        <f t="shared" si="5"/>
        <v>0</v>
      </c>
      <c r="Z60" s="52"/>
    </row>
    <row r="61" spans="1:26" x14ac:dyDescent="0.25">
      <c r="A61" s="24">
        <v>59</v>
      </c>
      <c r="B61" s="35">
        <v>40922</v>
      </c>
      <c r="C61" s="40"/>
      <c r="D61" s="41"/>
      <c r="E61" s="41"/>
      <c r="F61" s="41"/>
      <c r="G61" s="41"/>
      <c r="H61" s="42"/>
      <c r="I61" s="46">
        <v>37.86</v>
      </c>
      <c r="J61" s="1">
        <v>37.97</v>
      </c>
      <c r="K61" s="50">
        <v>38.159999999999997</v>
      </c>
      <c r="L61" s="50">
        <v>38.299999999999997</v>
      </c>
      <c r="M61" s="1">
        <v>40.049999999999997</v>
      </c>
      <c r="N61" s="3"/>
      <c r="O61" s="40"/>
      <c r="P61" s="41"/>
      <c r="Q61" s="41"/>
      <c r="R61" s="41"/>
      <c r="S61" s="41"/>
      <c r="T61" s="42"/>
      <c r="U61" s="40">
        <f t="shared" si="1"/>
        <v>0</v>
      </c>
      <c r="V61" s="41">
        <f t="shared" si="2"/>
        <v>0</v>
      </c>
      <c r="W61" s="41">
        <f t="shared" si="3"/>
        <v>0</v>
      </c>
      <c r="X61" s="41">
        <f t="shared" si="4"/>
        <v>0</v>
      </c>
      <c r="Y61" s="42">
        <f t="shared" si="5"/>
        <v>0</v>
      </c>
      <c r="Z61" s="52"/>
    </row>
    <row r="62" spans="1:26" x14ac:dyDescent="0.25">
      <c r="A62" s="24">
        <v>60</v>
      </c>
      <c r="B62" s="35">
        <v>40929</v>
      </c>
      <c r="C62" s="40"/>
      <c r="D62" s="41"/>
      <c r="E62" s="41"/>
      <c r="F62" s="41"/>
      <c r="G62" s="41"/>
      <c r="H62" s="42"/>
      <c r="I62" s="46">
        <v>37.86</v>
      </c>
      <c r="J62" s="1">
        <v>37.97</v>
      </c>
      <c r="K62" s="50">
        <v>38.159999999999997</v>
      </c>
      <c r="L62" s="50">
        <v>38.299999999999997</v>
      </c>
      <c r="M62" s="1">
        <v>40.049999999999997</v>
      </c>
      <c r="N62" s="3"/>
      <c r="O62" s="40"/>
      <c r="P62" s="41"/>
      <c r="Q62" s="41"/>
      <c r="R62" s="41"/>
      <c r="S62" s="41"/>
      <c r="T62" s="42"/>
      <c r="U62" s="40">
        <f t="shared" si="1"/>
        <v>0</v>
      </c>
      <c r="V62" s="41">
        <f t="shared" si="2"/>
        <v>0</v>
      </c>
      <c r="W62" s="41">
        <f t="shared" si="3"/>
        <v>0</v>
      </c>
      <c r="X62" s="41">
        <f t="shared" si="4"/>
        <v>0</v>
      </c>
      <c r="Y62" s="42">
        <f t="shared" si="5"/>
        <v>0</v>
      </c>
      <c r="Z62" s="52"/>
    </row>
    <row r="63" spans="1:26" x14ac:dyDescent="0.25">
      <c r="A63" s="24">
        <v>61</v>
      </c>
      <c r="B63" s="35">
        <v>40936</v>
      </c>
      <c r="C63" s="40"/>
      <c r="D63" s="41"/>
      <c r="E63" s="41">
        <v>-4</v>
      </c>
      <c r="F63" s="41"/>
      <c r="G63" s="41"/>
      <c r="H63" s="42"/>
      <c r="I63" s="46">
        <v>37.86</v>
      </c>
      <c r="J63" s="1">
        <v>37.97</v>
      </c>
      <c r="K63" s="50">
        <v>38.159999999999997</v>
      </c>
      <c r="L63" s="50">
        <v>38.299999999999997</v>
      </c>
      <c r="M63" s="1">
        <v>40.049999999999997</v>
      </c>
      <c r="N63" s="3"/>
      <c r="O63" s="40"/>
      <c r="P63" s="41"/>
      <c r="Q63" s="41"/>
      <c r="R63" s="41"/>
      <c r="S63" s="41"/>
      <c r="T63" s="42"/>
      <c r="U63" s="40">
        <f t="shared" si="1"/>
        <v>0</v>
      </c>
      <c r="V63" s="41">
        <f t="shared" si="2"/>
        <v>0</v>
      </c>
      <c r="W63" s="41">
        <f t="shared" si="3"/>
        <v>-4</v>
      </c>
      <c r="X63" s="41">
        <f t="shared" si="4"/>
        <v>0</v>
      </c>
      <c r="Y63" s="42">
        <f t="shared" si="5"/>
        <v>0</v>
      </c>
      <c r="Z63" s="52"/>
    </row>
    <row r="64" spans="1:26" x14ac:dyDescent="0.25">
      <c r="A64" s="24">
        <v>62</v>
      </c>
      <c r="B64" s="35">
        <v>40943</v>
      </c>
      <c r="C64" s="40"/>
      <c r="D64" s="41"/>
      <c r="E64" s="41">
        <v>-4</v>
      </c>
      <c r="F64" s="41"/>
      <c r="G64" s="41">
        <v>-4</v>
      </c>
      <c r="H64" s="42"/>
      <c r="I64" s="46">
        <v>37.86</v>
      </c>
      <c r="J64" s="1">
        <v>37.97</v>
      </c>
      <c r="K64" s="50">
        <v>38.159999999999997</v>
      </c>
      <c r="L64" s="50">
        <v>38.299999999999997</v>
      </c>
      <c r="M64" s="1">
        <v>40.049999999999997</v>
      </c>
      <c r="N64" s="3"/>
      <c r="O64" s="40"/>
      <c r="P64" s="41"/>
      <c r="Q64" s="41"/>
      <c r="R64" s="41"/>
      <c r="S64" s="41"/>
      <c r="T64" s="42"/>
      <c r="U64" s="40">
        <f t="shared" si="1"/>
        <v>0</v>
      </c>
      <c r="V64" s="41">
        <f t="shared" si="2"/>
        <v>0</v>
      </c>
      <c r="W64" s="41">
        <f t="shared" si="3"/>
        <v>-4</v>
      </c>
      <c r="X64" s="41">
        <f t="shared" si="4"/>
        <v>0</v>
      </c>
      <c r="Y64" s="42">
        <f t="shared" si="5"/>
        <v>-4</v>
      </c>
      <c r="Z64" s="52"/>
    </row>
    <row r="65" spans="1:26" x14ac:dyDescent="0.25">
      <c r="A65" s="24">
        <v>63</v>
      </c>
      <c r="B65" s="35">
        <v>40950</v>
      </c>
      <c r="C65" s="40"/>
      <c r="D65" s="41"/>
      <c r="E65" s="41"/>
      <c r="F65" s="41"/>
      <c r="G65" s="41"/>
      <c r="H65" s="42"/>
      <c r="I65" s="46">
        <v>37.86</v>
      </c>
      <c r="J65" s="1">
        <v>37.97</v>
      </c>
      <c r="K65" s="50">
        <v>38.159999999999997</v>
      </c>
      <c r="L65" s="50">
        <v>38.299999999999997</v>
      </c>
      <c r="M65" s="1">
        <v>40.049999999999997</v>
      </c>
      <c r="N65" s="3"/>
      <c r="O65" s="40"/>
      <c r="P65" s="41"/>
      <c r="Q65" s="41"/>
      <c r="R65" s="41"/>
      <c r="S65" s="41"/>
      <c r="T65" s="42"/>
      <c r="U65" s="40">
        <f t="shared" si="1"/>
        <v>0</v>
      </c>
      <c r="V65" s="41">
        <f t="shared" si="2"/>
        <v>0</v>
      </c>
      <c r="W65" s="41">
        <f t="shared" si="3"/>
        <v>0</v>
      </c>
      <c r="X65" s="41">
        <f t="shared" si="4"/>
        <v>0</v>
      </c>
      <c r="Y65" s="42">
        <f t="shared" si="5"/>
        <v>0</v>
      </c>
      <c r="Z65" s="52"/>
    </row>
    <row r="66" spans="1:26" x14ac:dyDescent="0.25">
      <c r="A66" s="24">
        <v>64</v>
      </c>
      <c r="B66" s="35">
        <v>40957</v>
      </c>
      <c r="C66" s="40"/>
      <c r="D66" s="41"/>
      <c r="E66" s="41"/>
      <c r="F66" s="41"/>
      <c r="G66" s="41"/>
      <c r="H66" s="42"/>
      <c r="I66" s="46">
        <v>37.86</v>
      </c>
      <c r="J66" s="1">
        <v>37.97</v>
      </c>
      <c r="K66" s="50">
        <v>38.159999999999997</v>
      </c>
      <c r="L66" s="50">
        <v>38.299999999999997</v>
      </c>
      <c r="M66" s="1">
        <v>40.049999999999997</v>
      </c>
      <c r="N66" s="3"/>
      <c r="O66" s="40"/>
      <c r="P66" s="41"/>
      <c r="Q66" s="41"/>
      <c r="R66" s="41"/>
      <c r="S66" s="41"/>
      <c r="T66" s="42"/>
      <c r="U66" s="40">
        <f t="shared" si="1"/>
        <v>0</v>
      </c>
      <c r="V66" s="41">
        <f t="shared" si="2"/>
        <v>0</v>
      </c>
      <c r="W66" s="41">
        <f t="shared" si="3"/>
        <v>0</v>
      </c>
      <c r="X66" s="41">
        <f t="shared" si="4"/>
        <v>0</v>
      </c>
      <c r="Y66" s="42">
        <f t="shared" si="5"/>
        <v>0</v>
      </c>
      <c r="Z66" s="52"/>
    </row>
    <row r="67" spans="1:26" x14ac:dyDescent="0.25">
      <c r="A67" s="24">
        <v>65</v>
      </c>
      <c r="B67" s="35">
        <v>40964</v>
      </c>
      <c r="C67" s="40"/>
      <c r="D67" s="41"/>
      <c r="E67" s="41">
        <v>-4</v>
      </c>
      <c r="F67" s="41"/>
      <c r="G67" s="41"/>
      <c r="H67" s="42"/>
      <c r="I67" s="46">
        <v>37.86</v>
      </c>
      <c r="J67" s="1">
        <v>37.97</v>
      </c>
      <c r="K67" s="50">
        <v>38.159999999999997</v>
      </c>
      <c r="L67" s="50">
        <v>38.299999999999997</v>
      </c>
      <c r="M67" s="1">
        <v>40.049999999999997</v>
      </c>
      <c r="N67" s="3"/>
      <c r="O67" s="40"/>
      <c r="P67" s="41"/>
      <c r="Q67" s="41"/>
      <c r="R67" s="41"/>
      <c r="S67" s="41"/>
      <c r="T67" s="42"/>
      <c r="U67" s="40">
        <f t="shared" si="1"/>
        <v>0</v>
      </c>
      <c r="V67" s="41">
        <f t="shared" si="2"/>
        <v>0</v>
      </c>
      <c r="W67" s="41">
        <f t="shared" si="3"/>
        <v>-4</v>
      </c>
      <c r="X67" s="41">
        <f t="shared" si="4"/>
        <v>0</v>
      </c>
      <c r="Y67" s="42">
        <f t="shared" si="5"/>
        <v>0</v>
      </c>
      <c r="Z67" s="52"/>
    </row>
    <row r="68" spans="1:26" x14ac:dyDescent="0.25">
      <c r="A68" s="24">
        <v>66</v>
      </c>
      <c r="B68" s="35">
        <v>40971</v>
      </c>
      <c r="C68" s="40"/>
      <c r="D68" s="41"/>
      <c r="E68" s="41">
        <v>-8</v>
      </c>
      <c r="F68" s="41"/>
      <c r="G68" s="41"/>
      <c r="H68" s="42"/>
      <c r="I68" s="46">
        <v>37.86</v>
      </c>
      <c r="J68" s="1">
        <v>37.97</v>
      </c>
      <c r="K68" s="50">
        <v>38.159999999999997</v>
      </c>
      <c r="L68" s="50">
        <v>38.299999999999997</v>
      </c>
      <c r="M68" s="1">
        <v>40.049999999999997</v>
      </c>
      <c r="N68" s="3"/>
      <c r="O68" s="40"/>
      <c r="P68" s="41"/>
      <c r="Q68" s="41"/>
      <c r="R68" s="41"/>
      <c r="S68" s="41"/>
      <c r="T68" s="42"/>
      <c r="U68" s="40">
        <f t="shared" ref="U68:U76" si="6">0+C68+O68</f>
        <v>0</v>
      </c>
      <c r="V68" s="41">
        <f t="shared" ref="V68:V76" si="7">0+D68+P68</f>
        <v>0</v>
      </c>
      <c r="W68" s="41">
        <f t="shared" ref="W68:W76" si="8">0+E68+Q68</f>
        <v>-8</v>
      </c>
      <c r="X68" s="41">
        <f t="shared" ref="X68:X76" si="9">0+F68+R68</f>
        <v>0</v>
      </c>
      <c r="Y68" s="42">
        <f t="shared" ref="Y68:Y76" si="10">0+G68+S68</f>
        <v>0</v>
      </c>
      <c r="Z68" s="52"/>
    </row>
    <row r="69" spans="1:26" x14ac:dyDescent="0.25">
      <c r="A69" s="24">
        <v>67</v>
      </c>
      <c r="B69" s="35">
        <v>40978</v>
      </c>
      <c r="C69" s="40"/>
      <c r="D69" s="41"/>
      <c r="E69" s="41">
        <f>-4-8</f>
        <v>-12</v>
      </c>
      <c r="F69" s="41"/>
      <c r="G69" s="41"/>
      <c r="H69" s="42"/>
      <c r="I69" s="46">
        <v>37.86</v>
      </c>
      <c r="J69" s="1">
        <v>37.97</v>
      </c>
      <c r="K69" s="50">
        <v>38.159999999999997</v>
      </c>
      <c r="L69" s="50">
        <v>38.299999999999997</v>
      </c>
      <c r="M69" s="1">
        <v>40.049999999999997</v>
      </c>
      <c r="N69" s="3"/>
      <c r="O69" s="40"/>
      <c r="P69" s="41"/>
      <c r="Q69" s="41"/>
      <c r="R69" s="41"/>
      <c r="S69" s="41"/>
      <c r="T69" s="42"/>
      <c r="U69" s="40">
        <f t="shared" si="6"/>
        <v>0</v>
      </c>
      <c r="V69" s="41">
        <f t="shared" si="7"/>
        <v>0</v>
      </c>
      <c r="W69" s="41">
        <f t="shared" si="8"/>
        <v>-12</v>
      </c>
      <c r="X69" s="41">
        <f t="shared" si="9"/>
        <v>0</v>
      </c>
      <c r="Y69" s="42">
        <f t="shared" si="10"/>
        <v>0</v>
      </c>
      <c r="Z69" s="52"/>
    </row>
    <row r="70" spans="1:26" x14ac:dyDescent="0.25">
      <c r="A70" s="24">
        <v>68</v>
      </c>
      <c r="B70" s="35">
        <v>40985</v>
      </c>
      <c r="C70" s="40"/>
      <c r="D70" s="41"/>
      <c r="E70" s="41">
        <f>-16-4</f>
        <v>-20</v>
      </c>
      <c r="F70" s="41"/>
      <c r="G70" s="41"/>
      <c r="H70" s="42"/>
      <c r="I70" s="46">
        <v>37.86</v>
      </c>
      <c r="J70" s="1">
        <v>37.97</v>
      </c>
      <c r="K70" s="50">
        <v>38.159999999999997</v>
      </c>
      <c r="L70" s="50">
        <v>38.299999999999997</v>
      </c>
      <c r="M70" s="1">
        <v>40.049999999999997</v>
      </c>
      <c r="N70" s="3"/>
      <c r="O70" s="40"/>
      <c r="P70" s="41"/>
      <c r="Q70" s="41"/>
      <c r="R70" s="41"/>
      <c r="S70" s="41"/>
      <c r="T70" s="42"/>
      <c r="U70" s="40">
        <f t="shared" si="6"/>
        <v>0</v>
      </c>
      <c r="V70" s="41">
        <f t="shared" si="7"/>
        <v>0</v>
      </c>
      <c r="W70" s="41">
        <f t="shared" si="8"/>
        <v>-20</v>
      </c>
      <c r="X70" s="41">
        <f t="shared" si="9"/>
        <v>0</v>
      </c>
      <c r="Y70" s="42">
        <f t="shared" si="10"/>
        <v>0</v>
      </c>
      <c r="Z70" s="52"/>
    </row>
    <row r="71" spans="1:26" x14ac:dyDescent="0.25">
      <c r="A71" s="24">
        <v>69</v>
      </c>
      <c r="B71" s="35">
        <v>40992</v>
      </c>
      <c r="C71" s="40"/>
      <c r="D71" s="41"/>
      <c r="E71" s="41"/>
      <c r="F71" s="41"/>
      <c r="G71" s="41"/>
      <c r="H71" s="42"/>
      <c r="I71" s="46">
        <v>37.86</v>
      </c>
      <c r="J71" s="1">
        <v>37.97</v>
      </c>
      <c r="K71" s="50">
        <v>38.159999999999997</v>
      </c>
      <c r="L71" s="50">
        <v>38.299999999999997</v>
      </c>
      <c r="M71" s="1">
        <v>40.049999999999997</v>
      </c>
      <c r="N71" s="3"/>
      <c r="O71" s="40"/>
      <c r="P71" s="41"/>
      <c r="Q71" s="41"/>
      <c r="R71" s="41"/>
      <c r="S71" s="41"/>
      <c r="T71" s="42"/>
      <c r="U71" s="40">
        <f t="shared" si="6"/>
        <v>0</v>
      </c>
      <c r="V71" s="41">
        <f t="shared" si="7"/>
        <v>0</v>
      </c>
      <c r="W71" s="41">
        <f t="shared" si="8"/>
        <v>0</v>
      </c>
      <c r="X71" s="41">
        <f t="shared" si="9"/>
        <v>0</v>
      </c>
      <c r="Y71" s="42">
        <f t="shared" si="10"/>
        <v>0</v>
      </c>
      <c r="Z71" s="52"/>
    </row>
    <row r="72" spans="1:26" x14ac:dyDescent="0.25">
      <c r="A72" s="24">
        <v>70</v>
      </c>
      <c r="B72" s="35">
        <v>40999</v>
      </c>
      <c r="C72" s="40"/>
      <c r="D72" s="41"/>
      <c r="E72" s="41">
        <f>-4-4</f>
        <v>-8</v>
      </c>
      <c r="F72" s="41"/>
      <c r="G72" s="41"/>
      <c r="H72" s="42"/>
      <c r="I72" s="46">
        <v>37.86</v>
      </c>
      <c r="J72" s="1">
        <v>37.97</v>
      </c>
      <c r="K72" s="50">
        <v>38.159999999999997</v>
      </c>
      <c r="L72" s="50">
        <v>38.299999999999997</v>
      </c>
      <c r="M72" s="1">
        <v>40.049999999999997</v>
      </c>
      <c r="N72" s="3"/>
      <c r="O72" s="40"/>
      <c r="P72" s="41"/>
      <c r="Q72" s="41"/>
      <c r="R72" s="41"/>
      <c r="S72" s="41"/>
      <c r="T72" s="42"/>
      <c r="U72" s="40">
        <f t="shared" si="6"/>
        <v>0</v>
      </c>
      <c r="V72" s="41">
        <f t="shared" si="7"/>
        <v>0</v>
      </c>
      <c r="W72" s="41">
        <f t="shared" si="8"/>
        <v>-8</v>
      </c>
      <c r="X72" s="41">
        <f t="shared" si="9"/>
        <v>0</v>
      </c>
      <c r="Y72" s="42">
        <f t="shared" si="10"/>
        <v>0</v>
      </c>
      <c r="Z72" s="52"/>
    </row>
    <row r="73" spans="1:26" x14ac:dyDescent="0.25">
      <c r="A73" s="24">
        <v>71</v>
      </c>
      <c r="B73" s="35">
        <v>41006</v>
      </c>
      <c r="C73" s="40"/>
      <c r="D73" s="41"/>
      <c r="E73" s="41">
        <f>-8-4</f>
        <v>-12</v>
      </c>
      <c r="F73" s="41"/>
      <c r="G73" s="41"/>
      <c r="H73" s="42"/>
      <c r="I73" s="46">
        <v>37.86</v>
      </c>
      <c r="J73" s="1">
        <v>37.97</v>
      </c>
      <c r="K73" s="50">
        <v>38.159999999999997</v>
      </c>
      <c r="L73" s="50">
        <v>38.299999999999997</v>
      </c>
      <c r="M73" s="1">
        <v>40.049999999999997</v>
      </c>
      <c r="N73" s="3"/>
      <c r="O73" s="40"/>
      <c r="P73" s="41"/>
      <c r="Q73" s="41"/>
      <c r="R73" s="41"/>
      <c r="S73" s="41"/>
      <c r="T73" s="42"/>
      <c r="U73" s="40">
        <f t="shared" si="6"/>
        <v>0</v>
      </c>
      <c r="V73" s="41">
        <f t="shared" si="7"/>
        <v>0</v>
      </c>
      <c r="W73" s="41">
        <f t="shared" si="8"/>
        <v>-12</v>
      </c>
      <c r="X73" s="41">
        <f t="shared" si="9"/>
        <v>0</v>
      </c>
      <c r="Y73" s="42">
        <f t="shared" si="10"/>
        <v>0</v>
      </c>
      <c r="Z73" s="52"/>
    </row>
    <row r="74" spans="1:26" x14ac:dyDescent="0.25">
      <c r="A74" s="24">
        <v>72</v>
      </c>
      <c r="B74" s="35">
        <v>41013</v>
      </c>
      <c r="C74" s="40"/>
      <c r="D74" s="41"/>
      <c r="E74" s="41"/>
      <c r="F74" s="41"/>
      <c r="G74" s="41"/>
      <c r="H74" s="42"/>
      <c r="I74" s="46">
        <v>37.86</v>
      </c>
      <c r="J74" s="1">
        <v>37.97</v>
      </c>
      <c r="K74" s="50">
        <v>38.159999999999997</v>
      </c>
      <c r="L74" s="50">
        <v>38.299999999999997</v>
      </c>
      <c r="M74" s="1">
        <v>40.049999999999997</v>
      </c>
      <c r="N74" s="3"/>
      <c r="O74" s="40"/>
      <c r="P74" s="41"/>
      <c r="Q74" s="41"/>
      <c r="R74" s="41"/>
      <c r="S74" s="41"/>
      <c r="T74" s="42"/>
      <c r="U74" s="40">
        <f t="shared" si="6"/>
        <v>0</v>
      </c>
      <c r="V74" s="41">
        <f t="shared" si="7"/>
        <v>0</v>
      </c>
      <c r="W74" s="41">
        <f t="shared" si="8"/>
        <v>0</v>
      </c>
      <c r="X74" s="41">
        <f t="shared" si="9"/>
        <v>0</v>
      </c>
      <c r="Y74" s="42">
        <f t="shared" si="10"/>
        <v>0</v>
      </c>
      <c r="Z74" s="52"/>
    </row>
    <row r="75" spans="1:26" x14ac:dyDescent="0.25">
      <c r="A75" s="24">
        <v>73</v>
      </c>
      <c r="B75" s="35">
        <v>41020</v>
      </c>
      <c r="C75" s="40"/>
      <c r="D75" s="41"/>
      <c r="E75" s="41"/>
      <c r="F75" s="41"/>
      <c r="G75" s="41"/>
      <c r="H75" s="42"/>
      <c r="I75" s="46">
        <v>37.86</v>
      </c>
      <c r="J75" s="1">
        <v>37.97</v>
      </c>
      <c r="K75" s="50">
        <v>38.159999999999997</v>
      </c>
      <c r="L75" s="50">
        <v>38.299999999999997</v>
      </c>
      <c r="M75" s="1">
        <v>40.049999999999997</v>
      </c>
      <c r="N75" s="3"/>
      <c r="O75" s="40"/>
      <c r="P75" s="41"/>
      <c r="Q75" s="41"/>
      <c r="R75" s="41"/>
      <c r="S75" s="41"/>
      <c r="T75" s="42"/>
      <c r="U75" s="40">
        <f t="shared" si="6"/>
        <v>0</v>
      </c>
      <c r="V75" s="41">
        <f t="shared" si="7"/>
        <v>0</v>
      </c>
      <c r="W75" s="41">
        <f t="shared" si="8"/>
        <v>0</v>
      </c>
      <c r="X75" s="41">
        <f t="shared" si="9"/>
        <v>0</v>
      </c>
      <c r="Y75" s="42">
        <f t="shared" si="10"/>
        <v>0</v>
      </c>
      <c r="Z75" s="52"/>
    </row>
    <row r="76" spans="1:26" ht="15.75" thickBot="1" x14ac:dyDescent="0.3">
      <c r="A76" s="8">
        <v>74</v>
      </c>
      <c r="B76" s="36">
        <v>41027</v>
      </c>
      <c r="C76" s="43"/>
      <c r="D76" s="44"/>
      <c r="E76" s="44"/>
      <c r="F76" s="44"/>
      <c r="G76" s="44"/>
      <c r="H76" s="45"/>
      <c r="I76" s="47">
        <v>37.86</v>
      </c>
      <c r="J76" s="5">
        <v>37.97</v>
      </c>
      <c r="K76" s="54">
        <v>38.159999999999997</v>
      </c>
      <c r="L76" s="54">
        <v>38.299999999999997</v>
      </c>
      <c r="M76" s="5">
        <v>40.049999999999997</v>
      </c>
      <c r="N76" s="6"/>
      <c r="O76" s="43"/>
      <c r="P76" s="44"/>
      <c r="Q76" s="44"/>
      <c r="R76" s="44"/>
      <c r="S76" s="44"/>
      <c r="T76" s="45"/>
      <c r="U76" s="43">
        <f t="shared" si="6"/>
        <v>0</v>
      </c>
      <c r="V76" s="44">
        <f t="shared" si="7"/>
        <v>0</v>
      </c>
      <c r="W76" s="44">
        <f t="shared" si="8"/>
        <v>0</v>
      </c>
      <c r="X76" s="44">
        <f t="shared" si="9"/>
        <v>0</v>
      </c>
      <c r="Y76" s="45">
        <f t="shared" si="10"/>
        <v>0</v>
      </c>
      <c r="Z76" s="53"/>
    </row>
    <row r="78" spans="1:26" ht="15.75" thickBot="1" x14ac:dyDescent="0.3"/>
    <row r="79" spans="1:26" ht="15.75" thickBot="1" x14ac:dyDescent="0.3">
      <c r="A79" s="19"/>
      <c r="B79" s="28"/>
      <c r="C79" s="20">
        <v>1</v>
      </c>
      <c r="D79" s="21">
        <v>2</v>
      </c>
      <c r="E79" s="21">
        <v>3</v>
      </c>
      <c r="F79" s="21">
        <v>4</v>
      </c>
      <c r="G79" s="21">
        <v>5</v>
      </c>
      <c r="H79" s="22">
        <v>6</v>
      </c>
    </row>
    <row r="80" spans="1:26" ht="15.75" thickBot="1" x14ac:dyDescent="0.3">
      <c r="A80" s="16" t="s">
        <v>4</v>
      </c>
      <c r="B80" s="29"/>
      <c r="C80" s="177">
        <v>500</v>
      </c>
      <c r="D80" s="177"/>
      <c r="E80" s="177"/>
      <c r="F80" s="177"/>
      <c r="G80" s="177"/>
      <c r="H80" s="178"/>
    </row>
    <row r="81" spans="1:8" x14ac:dyDescent="0.25">
      <c r="A81" s="17" t="s">
        <v>5</v>
      </c>
      <c r="B81" s="30"/>
      <c r="C81" s="9"/>
      <c r="D81" s="10"/>
      <c r="E81" s="10"/>
      <c r="F81" s="10"/>
      <c r="G81" s="10"/>
      <c r="H81" s="11"/>
    </row>
    <row r="82" spans="1:8" x14ac:dyDescent="0.25">
      <c r="A82" s="17" t="s">
        <v>6</v>
      </c>
      <c r="B82" s="31"/>
      <c r="C82" s="2">
        <f>0.047*C81</f>
        <v>0</v>
      </c>
      <c r="D82" s="1">
        <f t="shared" ref="D82:H82" si="11">0.047*D81</f>
        <v>0</v>
      </c>
      <c r="E82" s="1">
        <f t="shared" si="11"/>
        <v>0</v>
      </c>
      <c r="F82" s="1">
        <f t="shared" si="11"/>
        <v>0</v>
      </c>
      <c r="G82" s="1">
        <f t="shared" si="11"/>
        <v>0</v>
      </c>
      <c r="H82" s="3">
        <f t="shared" si="11"/>
        <v>0</v>
      </c>
    </row>
    <row r="83" spans="1:8" ht="15.75" thickBot="1" x14ac:dyDescent="0.3">
      <c r="A83" s="18" t="s">
        <v>7</v>
      </c>
      <c r="B83" s="32"/>
      <c r="C83" s="4"/>
      <c r="D83" s="5"/>
      <c r="E83" s="5"/>
      <c r="F83" s="5"/>
      <c r="G83" s="5"/>
      <c r="H83" s="6"/>
    </row>
    <row r="86" spans="1:8" x14ac:dyDescent="0.25">
      <c r="A86">
        <v>-4</v>
      </c>
    </row>
    <row r="87" spans="1:8" x14ac:dyDescent="0.25">
      <c r="A87">
        <v>-8</v>
      </c>
    </row>
    <row r="88" spans="1:8" x14ac:dyDescent="0.25">
      <c r="A88">
        <v>-12</v>
      </c>
    </row>
    <row r="89" spans="1:8" x14ac:dyDescent="0.25">
      <c r="A89">
        <v>-16</v>
      </c>
    </row>
    <row r="90" spans="1:8" x14ac:dyDescent="0.25">
      <c r="A90">
        <v>-20</v>
      </c>
    </row>
    <row r="91" spans="1:8" x14ac:dyDescent="0.25">
      <c r="A91">
        <v>-24</v>
      </c>
    </row>
    <row r="92" spans="1:8" x14ac:dyDescent="0.25">
      <c r="A92">
        <v>-28</v>
      </c>
    </row>
  </sheetData>
  <mergeCells count="5">
    <mergeCell ref="C1:H1"/>
    <mergeCell ref="I1:N1"/>
    <mergeCell ref="O1:T1"/>
    <mergeCell ref="C80:H80"/>
    <mergeCell ref="U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00"/>
  <sheetViews>
    <sheetView topLeftCell="H109" workbookViewId="0">
      <selection activeCell="G76" sqref="C7:G76"/>
    </sheetView>
  </sheetViews>
  <sheetFormatPr defaultRowHeight="15" x14ac:dyDescent="0.25"/>
  <cols>
    <col min="1" max="1" width="20.140625" customWidth="1"/>
    <col min="2" max="2" width="12.42578125" style="27" customWidth="1"/>
    <col min="3" max="7" width="9.140625" style="67"/>
    <col min="13" max="13" width="8.7109375" customWidth="1"/>
    <col min="18" max="18" width="9.140625" style="67"/>
    <col min="19" max="19" width="9.140625" style="67" customWidth="1"/>
    <col min="20" max="22" width="9.140625" style="67"/>
  </cols>
  <sheetData>
    <row r="1" spans="1:22" ht="15.75" thickBot="1" x14ac:dyDescent="0.3">
      <c r="A1" s="7"/>
      <c r="B1" s="25"/>
      <c r="C1" s="179" t="s">
        <v>18</v>
      </c>
      <c r="D1" s="180"/>
      <c r="E1" s="180"/>
      <c r="F1" s="180"/>
      <c r="G1" s="180"/>
      <c r="H1" s="174" t="s">
        <v>1</v>
      </c>
      <c r="I1" s="175"/>
      <c r="J1" s="175"/>
      <c r="K1" s="175"/>
      <c r="L1" s="175"/>
      <c r="M1" s="174" t="s">
        <v>14</v>
      </c>
      <c r="N1" s="175"/>
      <c r="O1" s="175"/>
      <c r="P1" s="175"/>
      <c r="Q1" s="175"/>
      <c r="R1" s="179" t="s">
        <v>2</v>
      </c>
      <c r="S1" s="180"/>
      <c r="T1" s="180"/>
      <c r="U1" s="180"/>
      <c r="V1" s="180"/>
    </row>
    <row r="2" spans="1:22" ht="15.75" thickBot="1" x14ac:dyDescent="0.3">
      <c r="A2" s="33" t="s">
        <v>0</v>
      </c>
      <c r="B2" s="26" t="s">
        <v>13</v>
      </c>
      <c r="C2" s="59" t="s">
        <v>8</v>
      </c>
      <c r="D2" s="60" t="s">
        <v>9</v>
      </c>
      <c r="E2" s="60" t="s">
        <v>10</v>
      </c>
      <c r="F2" s="60" t="s">
        <v>11</v>
      </c>
      <c r="G2" s="60" t="s">
        <v>12</v>
      </c>
      <c r="H2" s="12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2" t="s">
        <v>8</v>
      </c>
      <c r="N2" s="13" t="s">
        <v>9</v>
      </c>
      <c r="O2" s="13" t="s">
        <v>10</v>
      </c>
      <c r="P2" s="13" t="s">
        <v>11</v>
      </c>
      <c r="Q2" s="13" t="s">
        <v>12</v>
      </c>
      <c r="R2" s="70">
        <v>1</v>
      </c>
      <c r="S2" s="60">
        <v>2</v>
      </c>
      <c r="T2" s="60">
        <v>3</v>
      </c>
      <c r="U2" s="60">
        <v>4</v>
      </c>
      <c r="V2" s="60">
        <v>5</v>
      </c>
    </row>
    <row r="3" spans="1:22" x14ac:dyDescent="0.25">
      <c r="A3" s="23">
        <v>1</v>
      </c>
      <c r="B3" s="34">
        <v>40516</v>
      </c>
      <c r="C3" s="61"/>
      <c r="D3" s="62"/>
      <c r="E3" s="62"/>
      <c r="F3" s="62"/>
      <c r="G3" s="62"/>
      <c r="H3" s="48">
        <v>26.4</v>
      </c>
      <c r="I3" s="49">
        <v>14.1</v>
      </c>
      <c r="J3" s="49">
        <v>27.78</v>
      </c>
      <c r="K3" s="49">
        <v>27.78</v>
      </c>
      <c r="L3" s="49">
        <v>26.4</v>
      </c>
      <c r="M3" s="37">
        <v>10</v>
      </c>
      <c r="N3" s="38">
        <f>60*12.42/6.62</f>
        <v>112.56797583081571</v>
      </c>
      <c r="O3" s="38">
        <v>10</v>
      </c>
      <c r="P3" s="38">
        <v>5</v>
      </c>
      <c r="Q3" s="38">
        <v>10</v>
      </c>
      <c r="R3" s="61">
        <f>0-C3+M3</f>
        <v>10</v>
      </c>
      <c r="S3" s="62">
        <f>0-D3+N3</f>
        <v>112.56797583081571</v>
      </c>
      <c r="T3" s="62">
        <f>0-E3+O3</f>
        <v>10</v>
      </c>
      <c r="U3" s="62">
        <f>0-F3+P3</f>
        <v>5</v>
      </c>
      <c r="V3" s="71">
        <f>0-G3+Q3</f>
        <v>10</v>
      </c>
    </row>
    <row r="4" spans="1:22" x14ac:dyDescent="0.25">
      <c r="A4" s="24">
        <v>2</v>
      </c>
      <c r="B4" s="35">
        <v>40523</v>
      </c>
      <c r="C4" s="63"/>
      <c r="D4" s="64"/>
      <c r="E4" s="64"/>
      <c r="F4" s="64"/>
      <c r="G4" s="64"/>
      <c r="H4" s="46">
        <v>26.4</v>
      </c>
      <c r="I4" s="50">
        <v>14.1</v>
      </c>
      <c r="J4" s="50">
        <v>27.78</v>
      </c>
      <c r="K4" s="50">
        <v>27.78</v>
      </c>
      <c r="L4" s="50">
        <v>26.4</v>
      </c>
      <c r="M4" s="40">
        <v>0</v>
      </c>
      <c r="N4" s="41"/>
      <c r="O4" s="41"/>
      <c r="P4" s="41"/>
      <c r="Q4" s="41"/>
      <c r="R4" s="63">
        <f>R3-C4+M4</f>
        <v>10</v>
      </c>
      <c r="S4" s="64">
        <f>S3-D4+N4</f>
        <v>112.56797583081571</v>
      </c>
      <c r="T4" s="64">
        <f>T3-E4+O4</f>
        <v>10</v>
      </c>
      <c r="U4" s="64">
        <f>U3-F4+P4</f>
        <v>5</v>
      </c>
      <c r="V4" s="72">
        <f>V3-G4+Q4</f>
        <v>10</v>
      </c>
    </row>
    <row r="5" spans="1:22" x14ac:dyDescent="0.25">
      <c r="A5" s="24">
        <v>3</v>
      </c>
      <c r="B5" s="35">
        <v>40530</v>
      </c>
      <c r="C5" s="63"/>
      <c r="D5" s="64"/>
      <c r="E5" s="64"/>
      <c r="F5" s="64"/>
      <c r="G5" s="64"/>
      <c r="H5" s="46">
        <v>26.4</v>
      </c>
      <c r="I5" s="50">
        <v>14.1</v>
      </c>
      <c r="J5" s="50">
        <v>27.78</v>
      </c>
      <c r="K5" s="50">
        <v>27.78</v>
      </c>
      <c r="L5" s="50">
        <v>26.4</v>
      </c>
      <c r="M5" s="40"/>
      <c r="N5" s="41"/>
      <c r="O5" s="41"/>
      <c r="P5" s="41"/>
      <c r="Q5" s="41"/>
      <c r="R5" s="63">
        <f t="shared" ref="R5:R68" si="0">R4-C5+M5</f>
        <v>10</v>
      </c>
      <c r="S5" s="64">
        <f t="shared" ref="S5:S68" si="1">S4-D5+N5</f>
        <v>112.56797583081571</v>
      </c>
      <c r="T5" s="64">
        <f t="shared" ref="T5:T68" si="2">T4-E5+O5</f>
        <v>10</v>
      </c>
      <c r="U5" s="64">
        <f t="shared" ref="U5:U68" si="3">U4-F5+P5</f>
        <v>5</v>
      </c>
      <c r="V5" s="72">
        <f t="shared" ref="V5:V68" si="4">V4-G5+Q5</f>
        <v>10</v>
      </c>
    </row>
    <row r="6" spans="1:22" x14ac:dyDescent="0.25">
      <c r="A6" s="24">
        <v>4</v>
      </c>
      <c r="B6" s="35">
        <v>40537</v>
      </c>
      <c r="C6" s="63"/>
      <c r="D6" s="64"/>
      <c r="E6" s="64"/>
      <c r="F6" s="64"/>
      <c r="G6" s="64"/>
      <c r="H6" s="46">
        <v>26.4</v>
      </c>
      <c r="I6" s="50">
        <v>14.1</v>
      </c>
      <c r="J6" s="50">
        <v>27.78</v>
      </c>
      <c r="K6" s="50">
        <v>27.78</v>
      </c>
      <c r="L6" s="50">
        <v>26.4</v>
      </c>
      <c r="M6" s="40"/>
      <c r="N6" s="41"/>
      <c r="O6" s="41"/>
      <c r="P6" s="41"/>
      <c r="Q6" s="41"/>
      <c r="R6" s="63">
        <f t="shared" si="0"/>
        <v>10</v>
      </c>
      <c r="S6" s="64">
        <f t="shared" si="1"/>
        <v>112.56797583081571</v>
      </c>
      <c r="T6" s="64">
        <f t="shared" si="2"/>
        <v>10</v>
      </c>
      <c r="U6" s="64">
        <f t="shared" si="3"/>
        <v>5</v>
      </c>
      <c r="V6" s="72">
        <f t="shared" si="4"/>
        <v>10</v>
      </c>
    </row>
    <row r="7" spans="1:22" x14ac:dyDescent="0.25">
      <c r="A7" s="24">
        <v>5</v>
      </c>
      <c r="B7" s="35">
        <v>40544</v>
      </c>
      <c r="C7" s="63"/>
      <c r="D7" s="64"/>
      <c r="E7" s="64"/>
      <c r="F7" s="64"/>
      <c r="G7" s="64"/>
      <c r="H7" s="46">
        <v>26.4</v>
      </c>
      <c r="I7" s="50">
        <v>14.1</v>
      </c>
      <c r="J7" s="50">
        <v>27.78</v>
      </c>
      <c r="K7" s="50">
        <v>27.78</v>
      </c>
      <c r="L7" s="50">
        <v>26.4</v>
      </c>
      <c r="M7" s="40"/>
      <c r="N7" s="41"/>
      <c r="O7" s="41"/>
      <c r="P7" s="41"/>
      <c r="Q7" s="41"/>
      <c r="R7" s="63">
        <f t="shared" si="0"/>
        <v>10</v>
      </c>
      <c r="S7" s="64">
        <f t="shared" si="1"/>
        <v>112.56797583081571</v>
      </c>
      <c r="T7" s="64">
        <f t="shared" si="2"/>
        <v>10</v>
      </c>
      <c r="U7" s="64">
        <f t="shared" si="3"/>
        <v>5</v>
      </c>
      <c r="V7" s="72">
        <f t="shared" si="4"/>
        <v>10</v>
      </c>
    </row>
    <row r="8" spans="1:22" x14ac:dyDescent="0.25">
      <c r="A8" s="24">
        <v>6</v>
      </c>
      <c r="B8" s="35">
        <v>40551</v>
      </c>
      <c r="C8" s="63"/>
      <c r="D8" s="64"/>
      <c r="E8" s="64"/>
      <c r="F8" s="64"/>
      <c r="G8" s="64"/>
      <c r="H8" s="46">
        <v>26.4</v>
      </c>
      <c r="I8" s="50">
        <v>14.1</v>
      </c>
      <c r="J8" s="50">
        <v>27.78</v>
      </c>
      <c r="K8" s="50">
        <v>27.78</v>
      </c>
      <c r="L8" s="50">
        <v>26.4</v>
      </c>
      <c r="M8" s="40"/>
      <c r="N8" s="41"/>
      <c r="O8" s="41"/>
      <c r="P8" s="41"/>
      <c r="Q8" s="41"/>
      <c r="R8" s="63">
        <f t="shared" si="0"/>
        <v>10</v>
      </c>
      <c r="S8" s="64">
        <f t="shared" si="1"/>
        <v>112.56797583081571</v>
      </c>
      <c r="T8" s="64">
        <f t="shared" si="2"/>
        <v>10</v>
      </c>
      <c r="U8" s="64">
        <f t="shared" si="3"/>
        <v>5</v>
      </c>
      <c r="V8" s="72">
        <f t="shared" si="4"/>
        <v>10</v>
      </c>
    </row>
    <row r="9" spans="1:22" x14ac:dyDescent="0.25">
      <c r="A9" s="24">
        <v>7</v>
      </c>
      <c r="B9" s="35">
        <v>40558</v>
      </c>
      <c r="C9" s="63"/>
      <c r="D9" s="64"/>
      <c r="E9" s="64"/>
      <c r="F9" s="64"/>
      <c r="G9" s="64"/>
      <c r="H9" s="46">
        <v>26.4</v>
      </c>
      <c r="I9" s="50">
        <v>14.1</v>
      </c>
      <c r="J9" s="50">
        <v>27.78</v>
      </c>
      <c r="K9" s="50">
        <v>27.78</v>
      </c>
      <c r="L9" s="50">
        <v>26.4</v>
      </c>
      <c r="M9" s="40"/>
      <c r="N9" s="41"/>
      <c r="O9" s="41"/>
      <c r="P9" s="41"/>
      <c r="Q9" s="41"/>
      <c r="R9" s="63">
        <f t="shared" si="0"/>
        <v>10</v>
      </c>
      <c r="S9" s="64">
        <f t="shared" si="1"/>
        <v>112.56797583081571</v>
      </c>
      <c r="T9" s="64">
        <f t="shared" si="2"/>
        <v>10</v>
      </c>
      <c r="U9" s="64">
        <f t="shared" si="3"/>
        <v>5</v>
      </c>
      <c r="V9" s="72">
        <f t="shared" si="4"/>
        <v>10</v>
      </c>
    </row>
    <row r="10" spans="1:22" x14ac:dyDescent="0.25">
      <c r="A10" s="24">
        <v>8</v>
      </c>
      <c r="B10" s="35">
        <v>40565</v>
      </c>
      <c r="C10" s="63"/>
      <c r="D10" s="64"/>
      <c r="E10" s="64"/>
      <c r="F10" s="64"/>
      <c r="G10" s="64"/>
      <c r="H10" s="2">
        <v>34.590000000000003</v>
      </c>
      <c r="I10" s="1">
        <v>37.97</v>
      </c>
      <c r="J10" s="1">
        <v>34.9</v>
      </c>
      <c r="K10" s="1">
        <v>34.9</v>
      </c>
      <c r="L10" s="1">
        <v>37.97</v>
      </c>
      <c r="M10" s="40">
        <v>40</v>
      </c>
      <c r="N10" s="41">
        <v>240</v>
      </c>
      <c r="O10" s="41">
        <v>40</v>
      </c>
      <c r="P10" s="41">
        <v>20</v>
      </c>
      <c r="Q10" s="41">
        <v>40</v>
      </c>
      <c r="R10" s="63">
        <f t="shared" si="0"/>
        <v>50</v>
      </c>
      <c r="S10" s="64">
        <f t="shared" si="1"/>
        <v>352.56797583081573</v>
      </c>
      <c r="T10" s="64">
        <f t="shared" si="2"/>
        <v>50</v>
      </c>
      <c r="U10" s="64">
        <f t="shared" si="3"/>
        <v>25</v>
      </c>
      <c r="V10" s="72">
        <f t="shared" si="4"/>
        <v>50</v>
      </c>
    </row>
    <row r="11" spans="1:22" x14ac:dyDescent="0.25">
      <c r="A11" s="24">
        <v>9</v>
      </c>
      <c r="B11" s="35">
        <v>40572</v>
      </c>
      <c r="C11" s="63"/>
      <c r="D11" s="64"/>
      <c r="E11" s="64"/>
      <c r="F11" s="64"/>
      <c r="G11" s="64"/>
      <c r="H11" s="2">
        <v>34.590000000000003</v>
      </c>
      <c r="I11" s="1">
        <v>37.97</v>
      </c>
      <c r="J11" s="1">
        <v>34.9</v>
      </c>
      <c r="K11" s="1">
        <v>34.9</v>
      </c>
      <c r="L11" s="1">
        <v>37.97</v>
      </c>
      <c r="M11" s="40"/>
      <c r="N11" s="41"/>
      <c r="O11" s="41"/>
      <c r="P11" s="41"/>
      <c r="Q11" s="41"/>
      <c r="R11" s="63">
        <f t="shared" si="0"/>
        <v>50</v>
      </c>
      <c r="S11" s="64">
        <f t="shared" si="1"/>
        <v>352.56797583081573</v>
      </c>
      <c r="T11" s="64">
        <f t="shared" si="2"/>
        <v>50</v>
      </c>
      <c r="U11" s="64">
        <f t="shared" si="3"/>
        <v>25</v>
      </c>
      <c r="V11" s="72">
        <f t="shared" si="4"/>
        <v>50</v>
      </c>
    </row>
    <row r="12" spans="1:22" x14ac:dyDescent="0.25">
      <c r="A12" s="24">
        <v>10</v>
      </c>
      <c r="B12" s="35">
        <v>40579</v>
      </c>
      <c r="C12" s="63"/>
      <c r="D12" s="64"/>
      <c r="E12" s="64"/>
      <c r="F12" s="64"/>
      <c r="G12" s="64"/>
      <c r="H12" s="2">
        <v>34.590000000000003</v>
      </c>
      <c r="I12" s="1">
        <v>37.97</v>
      </c>
      <c r="J12" s="1">
        <v>34.9</v>
      </c>
      <c r="K12" s="1">
        <v>34.9</v>
      </c>
      <c r="L12" s="1">
        <v>37.97</v>
      </c>
      <c r="M12" s="40">
        <f>M10/4</f>
        <v>10</v>
      </c>
      <c r="N12" s="40">
        <f t="shared" ref="N12:Q12" si="5">N10/4</f>
        <v>60</v>
      </c>
      <c r="O12" s="40">
        <f t="shared" si="5"/>
        <v>10</v>
      </c>
      <c r="P12" s="40">
        <f t="shared" si="5"/>
        <v>5</v>
      </c>
      <c r="Q12" s="40">
        <f t="shared" si="5"/>
        <v>10</v>
      </c>
      <c r="R12" s="63">
        <f t="shared" si="0"/>
        <v>60</v>
      </c>
      <c r="S12" s="64">
        <f t="shared" si="1"/>
        <v>412.56797583081573</v>
      </c>
      <c r="T12" s="64">
        <f t="shared" si="2"/>
        <v>60</v>
      </c>
      <c r="U12" s="64">
        <f t="shared" si="3"/>
        <v>30</v>
      </c>
      <c r="V12" s="72">
        <f t="shared" si="4"/>
        <v>60</v>
      </c>
    </row>
    <row r="13" spans="1:22" x14ac:dyDescent="0.25">
      <c r="A13" s="24">
        <v>11</v>
      </c>
      <c r="B13" s="35">
        <v>40586</v>
      </c>
      <c r="C13" s="63"/>
      <c r="D13" s="64"/>
      <c r="E13" s="64"/>
      <c r="F13" s="64"/>
      <c r="G13" s="64"/>
      <c r="H13" s="2">
        <v>34.590000000000003</v>
      </c>
      <c r="I13" s="1">
        <v>37.97</v>
      </c>
      <c r="J13" s="1">
        <v>34.9</v>
      </c>
      <c r="K13" s="1">
        <v>34.9</v>
      </c>
      <c r="L13" s="1">
        <v>37.97</v>
      </c>
      <c r="M13" s="40"/>
      <c r="N13" s="41"/>
      <c r="O13" s="41"/>
      <c r="P13" s="41"/>
      <c r="Q13" s="41"/>
      <c r="R13" s="63">
        <f t="shared" si="0"/>
        <v>60</v>
      </c>
      <c r="S13" s="64">
        <f t="shared" si="1"/>
        <v>412.56797583081573</v>
      </c>
      <c r="T13" s="64">
        <f t="shared" si="2"/>
        <v>60</v>
      </c>
      <c r="U13" s="64">
        <f t="shared" si="3"/>
        <v>30</v>
      </c>
      <c r="V13" s="72">
        <f t="shared" si="4"/>
        <v>60</v>
      </c>
    </row>
    <row r="14" spans="1:22" x14ac:dyDescent="0.25">
      <c r="A14" s="24">
        <v>12</v>
      </c>
      <c r="B14" s="35">
        <v>40593</v>
      </c>
      <c r="C14" s="63"/>
      <c r="D14" s="64"/>
      <c r="E14" s="64"/>
      <c r="F14" s="64"/>
      <c r="G14" s="64"/>
      <c r="H14" s="2">
        <v>34.590000000000003</v>
      </c>
      <c r="I14" s="1">
        <v>37.97</v>
      </c>
      <c r="J14" s="1">
        <v>34.9</v>
      </c>
      <c r="K14" s="1">
        <v>34.9</v>
      </c>
      <c r="L14" s="1">
        <v>37.97</v>
      </c>
      <c r="M14" s="40"/>
      <c r="N14" s="41"/>
      <c r="O14" s="41"/>
      <c r="P14" s="41"/>
      <c r="Q14" s="41"/>
      <c r="R14" s="63">
        <f t="shared" si="0"/>
        <v>60</v>
      </c>
      <c r="S14" s="64">
        <f t="shared" si="1"/>
        <v>412.56797583081573</v>
      </c>
      <c r="T14" s="64">
        <f t="shared" si="2"/>
        <v>60</v>
      </c>
      <c r="U14" s="64">
        <f t="shared" si="3"/>
        <v>30</v>
      </c>
      <c r="V14" s="72">
        <f t="shared" si="4"/>
        <v>60</v>
      </c>
    </row>
    <row r="15" spans="1:22" x14ac:dyDescent="0.25">
      <c r="A15" s="24">
        <v>13</v>
      </c>
      <c r="B15" s="35">
        <v>40600</v>
      </c>
      <c r="C15" s="63"/>
      <c r="D15" s="64"/>
      <c r="E15" s="64"/>
      <c r="F15" s="64"/>
      <c r="G15" s="64"/>
      <c r="H15" s="2">
        <v>34.590000000000003</v>
      </c>
      <c r="I15" s="1">
        <v>37.97</v>
      </c>
      <c r="J15" s="1">
        <v>34.9</v>
      </c>
      <c r="K15" s="1">
        <v>34.9</v>
      </c>
      <c r="L15" s="1">
        <v>37.97</v>
      </c>
      <c r="M15" s="40"/>
      <c r="N15" s="41"/>
      <c r="O15" s="41"/>
      <c r="P15" s="41"/>
      <c r="Q15" s="41"/>
      <c r="R15" s="63">
        <f t="shared" si="0"/>
        <v>60</v>
      </c>
      <c r="S15" s="64">
        <f t="shared" si="1"/>
        <v>412.56797583081573</v>
      </c>
      <c r="T15" s="64">
        <f t="shared" si="2"/>
        <v>60</v>
      </c>
      <c r="U15" s="64">
        <f t="shared" si="3"/>
        <v>30</v>
      </c>
      <c r="V15" s="72">
        <f t="shared" si="4"/>
        <v>60</v>
      </c>
    </row>
    <row r="16" spans="1:22" x14ac:dyDescent="0.25">
      <c r="A16" s="24">
        <v>14</v>
      </c>
      <c r="B16" s="35">
        <v>40607</v>
      </c>
      <c r="C16" s="63"/>
      <c r="D16" s="64"/>
      <c r="E16" s="64"/>
      <c r="F16" s="64"/>
      <c r="G16" s="64">
        <v>8</v>
      </c>
      <c r="H16" s="2">
        <v>34.590000000000003</v>
      </c>
      <c r="I16" s="1">
        <v>37.97</v>
      </c>
      <c r="J16" s="1">
        <v>34.9</v>
      </c>
      <c r="K16" s="1">
        <v>34.9</v>
      </c>
      <c r="L16" s="1">
        <v>37.97</v>
      </c>
      <c r="M16" s="40"/>
      <c r="N16" s="41"/>
      <c r="O16" s="41"/>
      <c r="P16" s="41"/>
      <c r="Q16" s="41"/>
      <c r="R16" s="63">
        <f t="shared" si="0"/>
        <v>60</v>
      </c>
      <c r="S16" s="64">
        <f t="shared" si="1"/>
        <v>412.56797583081573</v>
      </c>
      <c r="T16" s="64">
        <f t="shared" si="2"/>
        <v>60</v>
      </c>
      <c r="U16" s="64">
        <f t="shared" si="3"/>
        <v>30</v>
      </c>
      <c r="V16" s="72">
        <f t="shared" si="4"/>
        <v>52</v>
      </c>
    </row>
    <row r="17" spans="1:22" x14ac:dyDescent="0.25">
      <c r="A17" s="24">
        <v>15</v>
      </c>
      <c r="B17" s="35">
        <v>40614</v>
      </c>
      <c r="C17" s="63"/>
      <c r="D17" s="64"/>
      <c r="E17" s="64"/>
      <c r="F17" s="64"/>
      <c r="G17" s="64">
        <v>2</v>
      </c>
      <c r="H17" s="2">
        <v>34.590000000000003</v>
      </c>
      <c r="I17" s="1">
        <v>37.97</v>
      </c>
      <c r="J17" s="1">
        <v>34.9</v>
      </c>
      <c r="K17" s="1">
        <v>34.9</v>
      </c>
      <c r="L17" s="1">
        <v>37.97</v>
      </c>
      <c r="M17" s="40"/>
      <c r="N17" s="41"/>
      <c r="O17" s="41"/>
      <c r="P17" s="41"/>
      <c r="Q17" s="41"/>
      <c r="R17" s="63">
        <f t="shared" si="0"/>
        <v>60</v>
      </c>
      <c r="S17" s="64">
        <f t="shared" si="1"/>
        <v>412.56797583081573</v>
      </c>
      <c r="T17" s="64">
        <f t="shared" si="2"/>
        <v>60</v>
      </c>
      <c r="U17" s="64">
        <f t="shared" si="3"/>
        <v>30</v>
      </c>
      <c r="V17" s="72">
        <f t="shared" si="4"/>
        <v>50</v>
      </c>
    </row>
    <row r="18" spans="1:22" x14ac:dyDescent="0.25">
      <c r="A18" s="24">
        <v>16</v>
      </c>
      <c r="B18" s="35">
        <v>40621</v>
      </c>
      <c r="C18" s="63"/>
      <c r="D18" s="64"/>
      <c r="E18" s="64"/>
      <c r="F18" s="64"/>
      <c r="G18" s="64"/>
      <c r="H18" s="2">
        <v>34.590000000000003</v>
      </c>
      <c r="I18" s="1">
        <v>37.97</v>
      </c>
      <c r="J18" s="1">
        <v>34.9</v>
      </c>
      <c r="K18" s="1">
        <v>34.9</v>
      </c>
      <c r="L18" s="1">
        <v>37.97</v>
      </c>
      <c r="M18" s="40"/>
      <c r="N18" s="41"/>
      <c r="O18" s="41"/>
      <c r="P18" s="41"/>
      <c r="Q18" s="41"/>
      <c r="R18" s="63">
        <f t="shared" si="0"/>
        <v>60</v>
      </c>
      <c r="S18" s="64">
        <f t="shared" si="1"/>
        <v>412.56797583081573</v>
      </c>
      <c r="T18" s="64">
        <f t="shared" si="2"/>
        <v>60</v>
      </c>
      <c r="U18" s="64">
        <f t="shared" si="3"/>
        <v>30</v>
      </c>
      <c r="V18" s="72">
        <f t="shared" si="4"/>
        <v>50</v>
      </c>
    </row>
    <row r="19" spans="1:22" x14ac:dyDescent="0.25">
      <c r="A19" s="24">
        <v>17</v>
      </c>
      <c r="B19" s="35">
        <v>40628</v>
      </c>
      <c r="C19" s="63"/>
      <c r="D19" s="64"/>
      <c r="E19" s="64"/>
      <c r="F19" s="64"/>
      <c r="G19" s="64"/>
      <c r="H19" s="2">
        <v>34.590000000000003</v>
      </c>
      <c r="I19" s="1">
        <v>37.97</v>
      </c>
      <c r="J19" s="1">
        <v>34.9</v>
      </c>
      <c r="K19" s="1">
        <v>34.9</v>
      </c>
      <c r="L19" s="1">
        <v>37.97</v>
      </c>
      <c r="M19" s="40"/>
      <c r="N19" s="41"/>
      <c r="O19" s="41"/>
      <c r="P19" s="41"/>
      <c r="Q19" s="41"/>
      <c r="R19" s="63">
        <f t="shared" si="0"/>
        <v>60</v>
      </c>
      <c r="S19" s="64">
        <f t="shared" si="1"/>
        <v>412.56797583081573</v>
      </c>
      <c r="T19" s="64">
        <f t="shared" si="2"/>
        <v>60</v>
      </c>
      <c r="U19" s="64">
        <f t="shared" si="3"/>
        <v>30</v>
      </c>
      <c r="V19" s="72">
        <f t="shared" si="4"/>
        <v>50</v>
      </c>
    </row>
    <row r="20" spans="1:22" x14ac:dyDescent="0.25">
      <c r="A20" s="24">
        <v>18</v>
      </c>
      <c r="B20" s="35">
        <v>40635</v>
      </c>
      <c r="C20" s="63"/>
      <c r="D20" s="64"/>
      <c r="E20" s="64"/>
      <c r="F20" s="64"/>
      <c r="G20" s="64"/>
      <c r="H20" s="2">
        <v>34.590000000000003</v>
      </c>
      <c r="I20" s="1">
        <v>37.97</v>
      </c>
      <c r="J20" s="1">
        <v>34.9</v>
      </c>
      <c r="K20" s="1">
        <v>34.9</v>
      </c>
      <c r="L20" s="1">
        <v>37.97</v>
      </c>
      <c r="M20" s="40"/>
      <c r="N20" s="41"/>
      <c r="O20" s="41"/>
      <c r="P20" s="41"/>
      <c r="Q20" s="41"/>
      <c r="R20" s="63">
        <f t="shared" si="0"/>
        <v>60</v>
      </c>
      <c r="S20" s="64">
        <f t="shared" si="1"/>
        <v>412.56797583081573</v>
      </c>
      <c r="T20" s="64">
        <f t="shared" si="2"/>
        <v>60</v>
      </c>
      <c r="U20" s="64">
        <f t="shared" si="3"/>
        <v>30</v>
      </c>
      <c r="V20" s="72">
        <f t="shared" si="4"/>
        <v>50</v>
      </c>
    </row>
    <row r="21" spans="1:22" x14ac:dyDescent="0.25">
      <c r="A21" s="24">
        <v>19</v>
      </c>
      <c r="B21" s="35">
        <v>40642</v>
      </c>
      <c r="C21" s="63"/>
      <c r="D21" s="64"/>
      <c r="E21" s="64">
        <v>1</v>
      </c>
      <c r="F21" s="64"/>
      <c r="G21" s="64"/>
      <c r="H21" s="2">
        <v>34.590000000000003</v>
      </c>
      <c r="I21" s="1">
        <v>37.97</v>
      </c>
      <c r="J21" s="1">
        <v>34.9</v>
      </c>
      <c r="K21" s="1">
        <v>34.9</v>
      </c>
      <c r="L21" s="1">
        <v>37.97</v>
      </c>
      <c r="M21" s="40"/>
      <c r="N21" s="41"/>
      <c r="O21" s="41"/>
      <c r="P21" s="41"/>
      <c r="Q21" s="41"/>
      <c r="R21" s="63">
        <f t="shared" si="0"/>
        <v>60</v>
      </c>
      <c r="S21" s="64">
        <f t="shared" si="1"/>
        <v>412.56797583081573</v>
      </c>
      <c r="T21" s="64">
        <f t="shared" si="2"/>
        <v>59</v>
      </c>
      <c r="U21" s="64">
        <f t="shared" si="3"/>
        <v>30</v>
      </c>
      <c r="V21" s="72">
        <f t="shared" si="4"/>
        <v>50</v>
      </c>
    </row>
    <row r="22" spans="1:22" x14ac:dyDescent="0.25">
      <c r="A22" s="24">
        <v>20</v>
      </c>
      <c r="B22" s="35">
        <v>40649</v>
      </c>
      <c r="C22" s="63"/>
      <c r="D22" s="64"/>
      <c r="E22" s="64"/>
      <c r="F22" s="64"/>
      <c r="G22" s="64"/>
      <c r="H22" s="2">
        <v>34.590000000000003</v>
      </c>
      <c r="I22" s="1">
        <v>37.97</v>
      </c>
      <c r="J22" s="1">
        <v>34.9</v>
      </c>
      <c r="K22" s="1">
        <v>34.9</v>
      </c>
      <c r="L22" s="1">
        <v>37.97</v>
      </c>
      <c r="M22" s="40"/>
      <c r="N22" s="41"/>
      <c r="O22" s="41"/>
      <c r="P22" s="41"/>
      <c r="Q22" s="41"/>
      <c r="R22" s="63">
        <f t="shared" si="0"/>
        <v>60</v>
      </c>
      <c r="S22" s="64">
        <f t="shared" si="1"/>
        <v>412.56797583081573</v>
      </c>
      <c r="T22" s="64">
        <f t="shared" si="2"/>
        <v>59</v>
      </c>
      <c r="U22" s="64">
        <f t="shared" si="3"/>
        <v>30</v>
      </c>
      <c r="V22" s="72">
        <f t="shared" si="4"/>
        <v>50</v>
      </c>
    </row>
    <row r="23" spans="1:22" x14ac:dyDescent="0.25">
      <c r="A23" s="24">
        <v>21</v>
      </c>
      <c r="B23" s="35">
        <v>40656</v>
      </c>
      <c r="C23" s="63"/>
      <c r="D23" s="64">
        <v>4</v>
      </c>
      <c r="E23" s="64"/>
      <c r="F23" s="64"/>
      <c r="G23" s="64"/>
      <c r="H23" s="2">
        <v>34.590000000000003</v>
      </c>
      <c r="I23" s="1">
        <v>37.97</v>
      </c>
      <c r="J23" s="1">
        <v>34.9</v>
      </c>
      <c r="K23" s="1">
        <v>34.9</v>
      </c>
      <c r="L23" s="1">
        <v>37.97</v>
      </c>
      <c r="M23" s="40"/>
      <c r="N23" s="41"/>
      <c r="O23" s="41"/>
      <c r="P23" s="41"/>
      <c r="Q23" s="41"/>
      <c r="R23" s="63">
        <f t="shared" si="0"/>
        <v>60</v>
      </c>
      <c r="S23" s="64">
        <f t="shared" si="1"/>
        <v>408.56797583081573</v>
      </c>
      <c r="T23" s="64">
        <f t="shared" si="2"/>
        <v>59</v>
      </c>
      <c r="U23" s="64">
        <f t="shared" si="3"/>
        <v>30</v>
      </c>
      <c r="V23" s="72">
        <f t="shared" si="4"/>
        <v>50</v>
      </c>
    </row>
    <row r="24" spans="1:22" x14ac:dyDescent="0.25">
      <c r="A24" s="24">
        <v>22</v>
      </c>
      <c r="B24" s="35">
        <v>40663</v>
      </c>
      <c r="C24" s="63"/>
      <c r="D24" s="64"/>
      <c r="E24" s="64"/>
      <c r="F24" s="64"/>
      <c r="G24" s="64"/>
      <c r="H24" s="2">
        <v>34.590000000000003</v>
      </c>
      <c r="I24" s="1">
        <v>37.97</v>
      </c>
      <c r="J24" s="1">
        <v>34.9</v>
      </c>
      <c r="K24" s="1">
        <v>34.9</v>
      </c>
      <c r="L24" s="1">
        <v>37.97</v>
      </c>
      <c r="M24" s="40"/>
      <c r="N24" s="41"/>
      <c r="O24" s="41"/>
      <c r="P24" s="41"/>
      <c r="Q24" s="41"/>
      <c r="R24" s="63">
        <f t="shared" si="0"/>
        <v>60</v>
      </c>
      <c r="S24" s="64">
        <f t="shared" si="1"/>
        <v>408.56797583081573</v>
      </c>
      <c r="T24" s="64">
        <f t="shared" si="2"/>
        <v>59</v>
      </c>
      <c r="U24" s="64">
        <f t="shared" si="3"/>
        <v>30</v>
      </c>
      <c r="V24" s="72">
        <f t="shared" si="4"/>
        <v>50</v>
      </c>
    </row>
    <row r="25" spans="1:22" x14ac:dyDescent="0.25">
      <c r="A25" s="24">
        <v>23</v>
      </c>
      <c r="B25" s="35">
        <v>40670</v>
      </c>
      <c r="C25" s="63"/>
      <c r="D25" s="64"/>
      <c r="E25" s="64"/>
      <c r="F25" s="64"/>
      <c r="G25" s="64"/>
      <c r="H25" s="2">
        <v>34.590000000000003</v>
      </c>
      <c r="I25" s="1">
        <v>37.97</v>
      </c>
      <c r="J25" s="1">
        <v>34.9</v>
      </c>
      <c r="K25" s="1">
        <v>34.9</v>
      </c>
      <c r="L25" s="1">
        <v>37.97</v>
      </c>
      <c r="M25" s="40"/>
      <c r="N25" s="41"/>
      <c r="O25" s="41"/>
      <c r="P25" s="41"/>
      <c r="Q25" s="41"/>
      <c r="R25" s="63">
        <f t="shared" si="0"/>
        <v>60</v>
      </c>
      <c r="S25" s="64">
        <f t="shared" si="1"/>
        <v>408.56797583081573</v>
      </c>
      <c r="T25" s="64">
        <f t="shared" si="2"/>
        <v>59</v>
      </c>
      <c r="U25" s="64">
        <f t="shared" si="3"/>
        <v>30</v>
      </c>
      <c r="V25" s="72">
        <f t="shared" si="4"/>
        <v>50</v>
      </c>
    </row>
    <row r="26" spans="1:22" x14ac:dyDescent="0.25">
      <c r="A26" s="24">
        <v>24</v>
      </c>
      <c r="B26" s="35">
        <v>40677</v>
      </c>
      <c r="C26" s="63"/>
      <c r="D26" s="64"/>
      <c r="E26" s="64"/>
      <c r="F26" s="64"/>
      <c r="G26" s="64"/>
      <c r="H26" s="2">
        <v>34.590000000000003</v>
      </c>
      <c r="I26" s="1">
        <v>37.97</v>
      </c>
      <c r="J26" s="1">
        <v>34.9</v>
      </c>
      <c r="K26" s="1">
        <v>34.9</v>
      </c>
      <c r="L26" s="1">
        <v>37.97</v>
      </c>
      <c r="M26" s="40"/>
      <c r="N26" s="41"/>
      <c r="O26" s="41"/>
      <c r="P26" s="41"/>
      <c r="Q26" s="41"/>
      <c r="R26" s="63">
        <f t="shared" si="0"/>
        <v>60</v>
      </c>
      <c r="S26" s="64">
        <f t="shared" si="1"/>
        <v>408.56797583081573</v>
      </c>
      <c r="T26" s="64">
        <f t="shared" si="2"/>
        <v>59</v>
      </c>
      <c r="U26" s="64">
        <f t="shared" si="3"/>
        <v>30</v>
      </c>
      <c r="V26" s="72">
        <f t="shared" si="4"/>
        <v>50</v>
      </c>
    </row>
    <row r="27" spans="1:22" x14ac:dyDescent="0.25">
      <c r="A27" s="24">
        <v>25</v>
      </c>
      <c r="B27" s="35">
        <v>40684</v>
      </c>
      <c r="C27" s="63"/>
      <c r="D27" s="64"/>
      <c r="E27" s="64"/>
      <c r="F27" s="64"/>
      <c r="G27" s="64"/>
      <c r="H27" s="2">
        <v>34.590000000000003</v>
      </c>
      <c r="I27" s="1">
        <v>37.97</v>
      </c>
      <c r="J27" s="1">
        <v>34.9</v>
      </c>
      <c r="K27" s="1">
        <v>34.9</v>
      </c>
      <c r="L27" s="1">
        <v>37.97</v>
      </c>
      <c r="M27" s="40"/>
      <c r="N27" s="41"/>
      <c r="O27" s="41"/>
      <c r="P27" s="41"/>
      <c r="Q27" s="41"/>
      <c r="R27" s="63">
        <f t="shared" si="0"/>
        <v>60</v>
      </c>
      <c r="S27" s="64">
        <f t="shared" si="1"/>
        <v>408.56797583081573</v>
      </c>
      <c r="T27" s="64">
        <f t="shared" si="2"/>
        <v>59</v>
      </c>
      <c r="U27" s="64">
        <f t="shared" si="3"/>
        <v>30</v>
      </c>
      <c r="V27" s="72">
        <f t="shared" si="4"/>
        <v>50</v>
      </c>
    </row>
    <row r="28" spans="1:22" x14ac:dyDescent="0.25">
      <c r="A28" s="24">
        <v>26</v>
      </c>
      <c r="B28" s="35">
        <v>40691</v>
      </c>
      <c r="C28" s="63"/>
      <c r="D28" s="64"/>
      <c r="E28" s="64"/>
      <c r="F28" s="64"/>
      <c r="G28" s="64"/>
      <c r="H28" s="2">
        <v>34.590000000000003</v>
      </c>
      <c r="I28" s="1">
        <v>37.97</v>
      </c>
      <c r="J28" s="1">
        <v>34.9</v>
      </c>
      <c r="K28" s="1">
        <v>34.9</v>
      </c>
      <c r="L28" s="1">
        <v>37.97</v>
      </c>
      <c r="M28" s="40"/>
      <c r="N28" s="41"/>
      <c r="O28" s="41"/>
      <c r="P28" s="41"/>
      <c r="Q28" s="41"/>
      <c r="R28" s="63">
        <f t="shared" si="0"/>
        <v>60</v>
      </c>
      <c r="S28" s="64">
        <f t="shared" si="1"/>
        <v>408.56797583081573</v>
      </c>
      <c r="T28" s="64">
        <f t="shared" si="2"/>
        <v>59</v>
      </c>
      <c r="U28" s="64">
        <f t="shared" si="3"/>
        <v>30</v>
      </c>
      <c r="V28" s="72">
        <f t="shared" si="4"/>
        <v>50</v>
      </c>
    </row>
    <row r="29" spans="1:22" x14ac:dyDescent="0.25">
      <c r="A29" s="24">
        <v>27</v>
      </c>
      <c r="B29" s="35">
        <v>40698</v>
      </c>
      <c r="C29" s="63"/>
      <c r="D29" s="64"/>
      <c r="E29" s="64"/>
      <c r="F29" s="64"/>
      <c r="G29" s="64"/>
      <c r="H29" s="2">
        <v>34.590000000000003</v>
      </c>
      <c r="I29" s="1">
        <v>37.97</v>
      </c>
      <c r="J29" s="1">
        <v>34.9</v>
      </c>
      <c r="K29" s="1">
        <v>34.9</v>
      </c>
      <c r="L29" s="1">
        <v>37.97</v>
      </c>
      <c r="M29" s="40"/>
      <c r="N29" s="41"/>
      <c r="O29" s="41"/>
      <c r="P29" s="41"/>
      <c r="Q29" s="41"/>
      <c r="R29" s="63">
        <f t="shared" si="0"/>
        <v>60</v>
      </c>
      <c r="S29" s="64">
        <f t="shared" si="1"/>
        <v>408.56797583081573</v>
      </c>
      <c r="T29" s="64">
        <f t="shared" si="2"/>
        <v>59</v>
      </c>
      <c r="U29" s="64">
        <f t="shared" si="3"/>
        <v>30</v>
      </c>
      <c r="V29" s="72">
        <f t="shared" si="4"/>
        <v>50</v>
      </c>
    </row>
    <row r="30" spans="1:22" x14ac:dyDescent="0.25">
      <c r="A30" s="24">
        <v>28</v>
      </c>
      <c r="B30" s="35">
        <v>40705</v>
      </c>
      <c r="C30" s="63"/>
      <c r="D30" s="64"/>
      <c r="E30" s="64"/>
      <c r="F30" s="64"/>
      <c r="G30" s="64"/>
      <c r="H30" s="2">
        <v>34.590000000000003</v>
      </c>
      <c r="I30" s="1">
        <v>37.97</v>
      </c>
      <c r="J30" s="1">
        <v>34.9</v>
      </c>
      <c r="K30" s="1">
        <v>34.9</v>
      </c>
      <c r="L30" s="1">
        <v>37.97</v>
      </c>
      <c r="M30" s="40"/>
      <c r="N30" s="41"/>
      <c r="O30" s="41"/>
      <c r="P30" s="41"/>
      <c r="Q30" s="41"/>
      <c r="R30" s="63">
        <f t="shared" si="0"/>
        <v>60</v>
      </c>
      <c r="S30" s="64">
        <f t="shared" si="1"/>
        <v>408.56797583081573</v>
      </c>
      <c r="T30" s="64">
        <f t="shared" si="2"/>
        <v>59</v>
      </c>
      <c r="U30" s="64">
        <f t="shared" si="3"/>
        <v>30</v>
      </c>
      <c r="V30" s="72">
        <f t="shared" si="4"/>
        <v>50</v>
      </c>
    </row>
    <row r="31" spans="1:22" x14ac:dyDescent="0.25">
      <c r="A31" s="24">
        <v>29</v>
      </c>
      <c r="B31" s="35">
        <v>40712</v>
      </c>
      <c r="C31" s="63"/>
      <c r="D31" s="64"/>
      <c r="E31" s="64"/>
      <c r="F31" s="64"/>
      <c r="G31" s="64"/>
      <c r="H31" s="2">
        <v>34.590000000000003</v>
      </c>
      <c r="I31" s="1">
        <v>37.97</v>
      </c>
      <c r="J31" s="1">
        <v>34.9</v>
      </c>
      <c r="K31" s="1">
        <v>34.9</v>
      </c>
      <c r="L31" s="1">
        <v>37.97</v>
      </c>
      <c r="M31" s="40"/>
      <c r="N31" s="41"/>
      <c r="O31" s="41"/>
      <c r="P31" s="41"/>
      <c r="Q31" s="41"/>
      <c r="R31" s="63">
        <f t="shared" si="0"/>
        <v>60</v>
      </c>
      <c r="S31" s="64">
        <f t="shared" si="1"/>
        <v>408.56797583081573</v>
      </c>
      <c r="T31" s="64">
        <f t="shared" si="2"/>
        <v>59</v>
      </c>
      <c r="U31" s="64">
        <f t="shared" si="3"/>
        <v>30</v>
      </c>
      <c r="V31" s="72">
        <f t="shared" si="4"/>
        <v>50</v>
      </c>
    </row>
    <row r="32" spans="1:22" x14ac:dyDescent="0.25">
      <c r="A32" s="24">
        <v>30</v>
      </c>
      <c r="B32" s="35">
        <v>40719</v>
      </c>
      <c r="C32" s="63"/>
      <c r="D32" s="64"/>
      <c r="E32" s="64"/>
      <c r="F32" s="64"/>
      <c r="G32" s="64"/>
      <c r="H32" s="2">
        <v>34.590000000000003</v>
      </c>
      <c r="I32" s="1">
        <v>37.97</v>
      </c>
      <c r="J32" s="1">
        <v>34.9</v>
      </c>
      <c r="K32" s="1">
        <v>34.9</v>
      </c>
      <c r="L32" s="1">
        <v>37.97</v>
      </c>
      <c r="M32" s="40"/>
      <c r="N32" s="41"/>
      <c r="O32" s="41"/>
      <c r="P32" s="41"/>
      <c r="Q32" s="41"/>
      <c r="R32" s="63">
        <f t="shared" si="0"/>
        <v>60</v>
      </c>
      <c r="S32" s="64">
        <f t="shared" si="1"/>
        <v>408.56797583081573</v>
      </c>
      <c r="T32" s="64">
        <f t="shared" si="2"/>
        <v>59</v>
      </c>
      <c r="U32" s="64">
        <f t="shared" si="3"/>
        <v>30</v>
      </c>
      <c r="V32" s="72">
        <f t="shared" si="4"/>
        <v>50</v>
      </c>
    </row>
    <row r="33" spans="1:22" x14ac:dyDescent="0.25">
      <c r="A33" s="24">
        <v>31</v>
      </c>
      <c r="B33" s="35">
        <v>40726</v>
      </c>
      <c r="C33" s="63"/>
      <c r="D33" s="64"/>
      <c r="E33" s="64"/>
      <c r="F33" s="64"/>
      <c r="G33" s="64"/>
      <c r="H33" s="2">
        <v>34.590000000000003</v>
      </c>
      <c r="I33" s="1">
        <v>37.97</v>
      </c>
      <c r="J33" s="1">
        <v>34.9</v>
      </c>
      <c r="K33" s="1">
        <v>34.9</v>
      </c>
      <c r="L33" s="1">
        <v>37.97</v>
      </c>
      <c r="M33" s="40"/>
      <c r="N33" s="41"/>
      <c r="O33" s="41"/>
      <c r="P33" s="41"/>
      <c r="Q33" s="41"/>
      <c r="R33" s="63">
        <f t="shared" si="0"/>
        <v>60</v>
      </c>
      <c r="S33" s="64">
        <f t="shared" si="1"/>
        <v>408.56797583081573</v>
      </c>
      <c r="T33" s="64">
        <f t="shared" si="2"/>
        <v>59</v>
      </c>
      <c r="U33" s="64">
        <f t="shared" si="3"/>
        <v>30</v>
      </c>
      <c r="V33" s="72">
        <f t="shared" si="4"/>
        <v>50</v>
      </c>
    </row>
    <row r="34" spans="1:22" x14ac:dyDescent="0.25">
      <c r="A34" s="24">
        <v>32</v>
      </c>
      <c r="B34" s="35">
        <v>40733</v>
      </c>
      <c r="C34" s="63"/>
      <c r="D34" s="64"/>
      <c r="E34" s="64"/>
      <c r="F34" s="64"/>
      <c r="G34" s="64"/>
      <c r="H34" s="2">
        <v>34.590000000000003</v>
      </c>
      <c r="I34" s="1">
        <v>37.97</v>
      </c>
      <c r="J34" s="1">
        <v>34.9</v>
      </c>
      <c r="K34" s="1">
        <v>34.9</v>
      </c>
      <c r="L34" s="1">
        <v>37.97</v>
      </c>
      <c r="M34" s="40"/>
      <c r="N34" s="41"/>
      <c r="O34" s="41"/>
      <c r="P34" s="41"/>
      <c r="Q34" s="41"/>
      <c r="R34" s="63">
        <f t="shared" si="0"/>
        <v>60</v>
      </c>
      <c r="S34" s="64">
        <f t="shared" si="1"/>
        <v>408.56797583081573</v>
      </c>
      <c r="T34" s="64">
        <f t="shared" si="2"/>
        <v>59</v>
      </c>
      <c r="U34" s="64">
        <f t="shared" si="3"/>
        <v>30</v>
      </c>
      <c r="V34" s="72">
        <f t="shared" si="4"/>
        <v>50</v>
      </c>
    </row>
    <row r="35" spans="1:22" x14ac:dyDescent="0.25">
      <c r="A35" s="24">
        <v>33</v>
      </c>
      <c r="B35" s="35">
        <v>40740</v>
      </c>
      <c r="C35" s="63"/>
      <c r="D35" s="64"/>
      <c r="E35" s="64"/>
      <c r="F35" s="64"/>
      <c r="G35" s="64"/>
      <c r="H35" s="2">
        <v>34.590000000000003</v>
      </c>
      <c r="I35" s="1">
        <v>37.97</v>
      </c>
      <c r="J35" s="1">
        <v>34.9</v>
      </c>
      <c r="K35" s="1">
        <v>34.9</v>
      </c>
      <c r="L35" s="1">
        <v>37.97</v>
      </c>
      <c r="M35" s="40"/>
      <c r="N35" s="41"/>
      <c r="O35" s="41"/>
      <c r="P35" s="41"/>
      <c r="Q35" s="41"/>
      <c r="R35" s="63">
        <f t="shared" si="0"/>
        <v>60</v>
      </c>
      <c r="S35" s="64">
        <f t="shared" si="1"/>
        <v>408.56797583081573</v>
      </c>
      <c r="T35" s="64">
        <f t="shared" si="2"/>
        <v>59</v>
      </c>
      <c r="U35" s="64">
        <f t="shared" si="3"/>
        <v>30</v>
      </c>
      <c r="V35" s="72">
        <f t="shared" si="4"/>
        <v>50</v>
      </c>
    </row>
    <row r="36" spans="1:22" x14ac:dyDescent="0.25">
      <c r="A36" s="24">
        <v>34</v>
      </c>
      <c r="B36" s="35">
        <v>40747</v>
      </c>
      <c r="C36" s="63"/>
      <c r="D36" s="64"/>
      <c r="E36" s="64"/>
      <c r="F36" s="64"/>
      <c r="G36" s="64"/>
      <c r="H36" s="2">
        <v>34.590000000000003</v>
      </c>
      <c r="I36" s="1">
        <v>37.97</v>
      </c>
      <c r="J36" s="1">
        <v>34.9</v>
      </c>
      <c r="K36" s="1">
        <v>34.9</v>
      </c>
      <c r="L36" s="1">
        <v>37.97</v>
      </c>
      <c r="M36" s="40"/>
      <c r="N36" s="41"/>
      <c r="O36" s="41"/>
      <c r="P36" s="41"/>
      <c r="Q36" s="41"/>
      <c r="R36" s="63">
        <f t="shared" si="0"/>
        <v>60</v>
      </c>
      <c r="S36" s="64">
        <f t="shared" si="1"/>
        <v>408.56797583081573</v>
      </c>
      <c r="T36" s="64">
        <f t="shared" si="2"/>
        <v>59</v>
      </c>
      <c r="U36" s="64">
        <f t="shared" si="3"/>
        <v>30</v>
      </c>
      <c r="V36" s="72">
        <f t="shared" si="4"/>
        <v>50</v>
      </c>
    </row>
    <row r="37" spans="1:22" x14ac:dyDescent="0.25">
      <c r="A37" s="24">
        <v>35</v>
      </c>
      <c r="B37" s="35">
        <v>40754</v>
      </c>
      <c r="C37" s="63"/>
      <c r="D37" s="64"/>
      <c r="E37" s="64"/>
      <c r="F37" s="64"/>
      <c r="G37" s="64"/>
      <c r="H37" s="2">
        <v>34.590000000000003</v>
      </c>
      <c r="I37" s="1">
        <v>37.97</v>
      </c>
      <c r="J37" s="1">
        <v>34.9</v>
      </c>
      <c r="K37" s="1">
        <v>34.9</v>
      </c>
      <c r="L37" s="1">
        <v>37.97</v>
      </c>
      <c r="M37" s="40"/>
      <c r="N37" s="41"/>
      <c r="O37" s="41"/>
      <c r="P37" s="41"/>
      <c r="Q37" s="41"/>
      <c r="R37" s="63">
        <f t="shared" si="0"/>
        <v>60</v>
      </c>
      <c r="S37" s="64">
        <f t="shared" si="1"/>
        <v>408.56797583081573</v>
      </c>
      <c r="T37" s="64">
        <f t="shared" si="2"/>
        <v>59</v>
      </c>
      <c r="U37" s="64">
        <f t="shared" si="3"/>
        <v>30</v>
      </c>
      <c r="V37" s="72">
        <f t="shared" si="4"/>
        <v>50</v>
      </c>
    </row>
    <row r="38" spans="1:22" x14ac:dyDescent="0.25">
      <c r="A38" s="24">
        <v>36</v>
      </c>
      <c r="B38" s="35">
        <v>40761</v>
      </c>
      <c r="C38" s="63"/>
      <c r="D38" s="64"/>
      <c r="E38" s="64"/>
      <c r="F38" s="64"/>
      <c r="G38" s="64"/>
      <c r="H38" s="2">
        <v>34.590000000000003</v>
      </c>
      <c r="I38" s="1">
        <v>37.97</v>
      </c>
      <c r="J38" s="1">
        <v>34.9</v>
      </c>
      <c r="K38" s="1">
        <v>34.9</v>
      </c>
      <c r="L38" s="1">
        <v>37.97</v>
      </c>
      <c r="M38" s="40"/>
      <c r="N38" s="41"/>
      <c r="O38" s="41"/>
      <c r="P38" s="41"/>
      <c r="Q38" s="41"/>
      <c r="R38" s="63">
        <f t="shared" si="0"/>
        <v>60</v>
      </c>
      <c r="S38" s="64">
        <f t="shared" si="1"/>
        <v>408.56797583081573</v>
      </c>
      <c r="T38" s="64">
        <f t="shared" si="2"/>
        <v>59</v>
      </c>
      <c r="U38" s="64">
        <f t="shared" si="3"/>
        <v>30</v>
      </c>
      <c r="V38" s="72">
        <f t="shared" si="4"/>
        <v>50</v>
      </c>
    </row>
    <row r="39" spans="1:22" x14ac:dyDescent="0.25">
      <c r="A39" s="24">
        <v>37</v>
      </c>
      <c r="B39" s="35">
        <v>40768</v>
      </c>
      <c r="C39" s="63"/>
      <c r="D39" s="64"/>
      <c r="E39" s="64"/>
      <c r="F39" s="64"/>
      <c r="G39" s="64"/>
      <c r="H39" s="2">
        <v>34.590000000000003</v>
      </c>
      <c r="I39" s="1">
        <v>37.97</v>
      </c>
      <c r="J39" s="1">
        <v>34.9</v>
      </c>
      <c r="K39" s="1">
        <v>34.9</v>
      </c>
      <c r="L39" s="1">
        <v>37.97</v>
      </c>
      <c r="M39" s="40"/>
      <c r="N39" s="41"/>
      <c r="O39" s="41"/>
      <c r="P39" s="41"/>
      <c r="Q39" s="41"/>
      <c r="R39" s="63">
        <f t="shared" si="0"/>
        <v>60</v>
      </c>
      <c r="S39" s="64">
        <f t="shared" si="1"/>
        <v>408.56797583081573</v>
      </c>
      <c r="T39" s="64">
        <f t="shared" si="2"/>
        <v>59</v>
      </c>
      <c r="U39" s="64">
        <f t="shared" si="3"/>
        <v>30</v>
      </c>
      <c r="V39" s="72">
        <f t="shared" si="4"/>
        <v>50</v>
      </c>
    </row>
    <row r="40" spans="1:22" s="84" customFormat="1" x14ac:dyDescent="0.25">
      <c r="A40" s="74">
        <v>38</v>
      </c>
      <c r="B40" s="75">
        <v>40775</v>
      </c>
      <c r="C40" s="76"/>
      <c r="D40" s="77"/>
      <c r="E40" s="77"/>
      <c r="F40" s="77"/>
      <c r="G40" s="77">
        <v>4</v>
      </c>
      <c r="H40" s="78">
        <v>34.590000000000003</v>
      </c>
      <c r="I40" s="79">
        <v>37.97</v>
      </c>
      <c r="J40" s="79">
        <v>39.24</v>
      </c>
      <c r="K40" s="79">
        <v>34.9</v>
      </c>
      <c r="L40" s="80">
        <v>41.07</v>
      </c>
      <c r="M40" s="81"/>
      <c r="N40" s="82"/>
      <c r="O40" s="82">
        <v>80</v>
      </c>
      <c r="P40" s="82"/>
      <c r="Q40" s="82">
        <v>80</v>
      </c>
      <c r="R40" s="76">
        <f t="shared" si="0"/>
        <v>60</v>
      </c>
      <c r="S40" s="77">
        <f t="shared" si="1"/>
        <v>408.56797583081573</v>
      </c>
      <c r="T40" s="77">
        <f t="shared" si="2"/>
        <v>139</v>
      </c>
      <c r="U40" s="77">
        <f t="shared" si="3"/>
        <v>30</v>
      </c>
      <c r="V40" s="83">
        <f t="shared" si="4"/>
        <v>126</v>
      </c>
    </row>
    <row r="41" spans="1:22" x14ac:dyDescent="0.25">
      <c r="A41" s="103">
        <v>39</v>
      </c>
      <c r="B41" s="104">
        <v>40782</v>
      </c>
      <c r="C41" s="105"/>
      <c r="D41" s="106">
        <f>3*12.42/6.62</f>
        <v>5.6283987915407847</v>
      </c>
      <c r="E41" s="106"/>
      <c r="F41" s="106">
        <f>12+7+1</f>
        <v>20</v>
      </c>
      <c r="G41" s="106"/>
      <c r="H41" s="2">
        <v>34.590000000000003</v>
      </c>
      <c r="I41" s="1">
        <v>37.97</v>
      </c>
      <c r="J41" s="1">
        <v>39.24</v>
      </c>
      <c r="K41" s="1">
        <v>34.9</v>
      </c>
      <c r="L41" s="50">
        <v>41.07</v>
      </c>
      <c r="M41" s="40"/>
      <c r="N41" s="41"/>
      <c r="O41" s="41"/>
      <c r="P41" s="41"/>
      <c r="Q41" s="41"/>
      <c r="R41" s="63">
        <f t="shared" si="0"/>
        <v>60</v>
      </c>
      <c r="S41" s="64">
        <f t="shared" si="1"/>
        <v>402.93957703927492</v>
      </c>
      <c r="T41" s="64">
        <f t="shared" si="2"/>
        <v>139</v>
      </c>
      <c r="U41" s="64">
        <f t="shared" si="3"/>
        <v>10</v>
      </c>
      <c r="V41" s="72">
        <f t="shared" si="4"/>
        <v>126</v>
      </c>
    </row>
    <row r="42" spans="1:22" x14ac:dyDescent="0.25">
      <c r="A42" s="103">
        <v>40</v>
      </c>
      <c r="B42" s="104">
        <v>40789</v>
      </c>
      <c r="C42" s="105"/>
      <c r="D42" s="107"/>
      <c r="E42" s="106">
        <v>4</v>
      </c>
      <c r="F42" s="106"/>
      <c r="G42" s="106">
        <v>8</v>
      </c>
      <c r="H42" s="2">
        <v>34.590000000000003</v>
      </c>
      <c r="I42" s="1">
        <v>37.97</v>
      </c>
      <c r="J42" s="1">
        <v>39.24</v>
      </c>
      <c r="K42" s="1">
        <v>34.9</v>
      </c>
      <c r="L42" s="50">
        <v>41.07</v>
      </c>
      <c r="M42" s="40"/>
      <c r="N42" s="41"/>
      <c r="O42" s="41"/>
      <c r="P42" s="41"/>
      <c r="Q42" s="41"/>
      <c r="R42" s="63">
        <f t="shared" si="0"/>
        <v>60</v>
      </c>
      <c r="S42" s="64">
        <f>S41-J81+N42</f>
        <v>344.45317220543808</v>
      </c>
      <c r="T42" s="64">
        <f t="shared" si="2"/>
        <v>135</v>
      </c>
      <c r="U42" s="64">
        <f t="shared" si="3"/>
        <v>10</v>
      </c>
      <c r="V42" s="72">
        <f t="shared" si="4"/>
        <v>118</v>
      </c>
    </row>
    <row r="43" spans="1:22" x14ac:dyDescent="0.25">
      <c r="A43" s="103">
        <v>41</v>
      </c>
      <c r="B43" s="104">
        <v>40796</v>
      </c>
      <c r="C43" s="105">
        <f>5+12</f>
        <v>17</v>
      </c>
      <c r="D43" s="106">
        <f>1*12.42/6.62+27/6.62</f>
        <v>5.954682779456193</v>
      </c>
      <c r="E43" s="106"/>
      <c r="F43" s="106"/>
      <c r="G43" s="106">
        <v>4</v>
      </c>
      <c r="H43" s="2">
        <v>34.590000000000003</v>
      </c>
      <c r="I43" s="1">
        <v>37.97</v>
      </c>
      <c r="J43" s="1">
        <v>39.24</v>
      </c>
      <c r="K43" s="1">
        <v>34.9</v>
      </c>
      <c r="L43" s="50">
        <v>41.07</v>
      </c>
      <c r="M43" s="40"/>
      <c r="N43" s="41"/>
      <c r="O43" s="41"/>
      <c r="P43" s="41"/>
      <c r="Q43" s="41"/>
      <c r="R43" s="63">
        <f t="shared" si="0"/>
        <v>43</v>
      </c>
      <c r="S43" s="64">
        <f t="shared" si="1"/>
        <v>338.49848942598186</v>
      </c>
      <c r="T43" s="64">
        <f t="shared" si="2"/>
        <v>135</v>
      </c>
      <c r="U43" s="64">
        <f t="shared" si="3"/>
        <v>10</v>
      </c>
      <c r="V43" s="72">
        <f t="shared" si="4"/>
        <v>114</v>
      </c>
    </row>
    <row r="44" spans="1:22" x14ac:dyDescent="0.25">
      <c r="A44" s="103">
        <v>42</v>
      </c>
      <c r="B44" s="104">
        <v>40803</v>
      </c>
      <c r="C44" s="105"/>
      <c r="D44" s="106">
        <f>2*12.42/6.62</f>
        <v>3.7522658610271904</v>
      </c>
      <c r="E44" s="106"/>
      <c r="F44" s="106">
        <f>4+28+8</f>
        <v>40</v>
      </c>
      <c r="G44" s="106">
        <v>8</v>
      </c>
      <c r="H44" s="2">
        <v>34.590000000000003</v>
      </c>
      <c r="I44" s="1">
        <v>37.97</v>
      </c>
      <c r="J44" s="1">
        <v>39.24</v>
      </c>
      <c r="K44" s="1">
        <v>34.9</v>
      </c>
      <c r="L44" s="50">
        <v>41.07</v>
      </c>
      <c r="M44" s="40"/>
      <c r="N44" s="41"/>
      <c r="O44" s="41"/>
      <c r="P44" s="41"/>
      <c r="Q44" s="41"/>
      <c r="R44" s="63">
        <f t="shared" si="0"/>
        <v>43</v>
      </c>
      <c r="S44" s="64">
        <f t="shared" si="1"/>
        <v>334.74622356495468</v>
      </c>
      <c r="T44" s="64">
        <f t="shared" si="2"/>
        <v>135</v>
      </c>
      <c r="U44" s="64">
        <f t="shared" si="3"/>
        <v>-30</v>
      </c>
      <c r="V44" s="72">
        <f t="shared" si="4"/>
        <v>106</v>
      </c>
    </row>
    <row r="45" spans="1:22" x14ac:dyDescent="0.25">
      <c r="A45" s="103">
        <v>43</v>
      </c>
      <c r="B45" s="104">
        <v>40810</v>
      </c>
      <c r="C45" s="105">
        <v>16</v>
      </c>
      <c r="D45" s="106"/>
      <c r="E45" s="106"/>
      <c r="F45" s="106">
        <v>12</v>
      </c>
      <c r="G45" s="106"/>
      <c r="H45" s="2">
        <v>34.590000000000003</v>
      </c>
      <c r="I45" s="1">
        <v>37.97</v>
      </c>
      <c r="J45" s="1">
        <v>39.24</v>
      </c>
      <c r="K45" s="1">
        <v>34.9</v>
      </c>
      <c r="L45" s="50">
        <v>41.07</v>
      </c>
      <c r="M45" s="40"/>
      <c r="N45" s="41"/>
      <c r="O45" s="41"/>
      <c r="P45" s="41"/>
      <c r="Q45" s="41"/>
      <c r="R45" s="63">
        <f t="shared" si="0"/>
        <v>27</v>
      </c>
      <c r="S45" s="64">
        <f t="shared" si="1"/>
        <v>334.74622356495468</v>
      </c>
      <c r="T45" s="64">
        <f t="shared" si="2"/>
        <v>135</v>
      </c>
      <c r="U45" s="64">
        <f t="shared" si="3"/>
        <v>-42</v>
      </c>
      <c r="V45" s="72">
        <f t="shared" si="4"/>
        <v>106</v>
      </c>
    </row>
    <row r="46" spans="1:22" x14ac:dyDescent="0.25">
      <c r="A46" s="103">
        <v>44</v>
      </c>
      <c r="B46" s="104">
        <v>40817</v>
      </c>
      <c r="C46" s="105">
        <v>12</v>
      </c>
      <c r="D46" s="106">
        <f>27/6.62</f>
        <v>4.0785498489425978</v>
      </c>
      <c r="E46" s="106">
        <v>4</v>
      </c>
      <c r="F46" s="106">
        <f>8+4</f>
        <v>12</v>
      </c>
      <c r="G46" s="106"/>
      <c r="H46" s="2">
        <v>34.590000000000003</v>
      </c>
      <c r="I46" s="1">
        <v>37.97</v>
      </c>
      <c r="J46" s="1">
        <v>39.24</v>
      </c>
      <c r="K46" s="1">
        <v>34.9</v>
      </c>
      <c r="L46" s="50">
        <v>41.07</v>
      </c>
      <c r="M46" s="40"/>
      <c r="N46" s="41"/>
      <c r="O46" s="41"/>
      <c r="P46" s="41"/>
      <c r="Q46" s="41"/>
      <c r="R46" s="63">
        <f t="shared" si="0"/>
        <v>15</v>
      </c>
      <c r="S46" s="64">
        <f t="shared" si="1"/>
        <v>330.66767371601208</v>
      </c>
      <c r="T46" s="64">
        <f t="shared" si="2"/>
        <v>131</v>
      </c>
      <c r="U46" s="64">
        <f t="shared" si="3"/>
        <v>-54</v>
      </c>
      <c r="V46" s="72">
        <f t="shared" si="4"/>
        <v>106</v>
      </c>
    </row>
    <row r="47" spans="1:22" x14ac:dyDescent="0.25">
      <c r="A47" s="103">
        <v>45</v>
      </c>
      <c r="B47" s="104">
        <v>40824</v>
      </c>
      <c r="C47" s="105"/>
      <c r="D47" s="106">
        <f>1*12.42/6.62</f>
        <v>1.8761329305135952</v>
      </c>
      <c r="E47" s="106">
        <v>8</v>
      </c>
      <c r="F47" s="106">
        <f>4+8</f>
        <v>12</v>
      </c>
      <c r="G47" s="106"/>
      <c r="H47" s="86">
        <v>34.590000000000003</v>
      </c>
      <c r="I47" s="87">
        <v>37.97</v>
      </c>
      <c r="J47" s="87">
        <v>39.24</v>
      </c>
      <c r="K47" s="87">
        <v>38.299999999999997</v>
      </c>
      <c r="L47" s="87">
        <v>41.07</v>
      </c>
      <c r="M47" s="40"/>
      <c r="N47" s="41"/>
      <c r="O47" s="41"/>
      <c r="P47" s="41">
        <v>204</v>
      </c>
      <c r="Q47" s="41"/>
      <c r="R47" s="63">
        <f t="shared" si="0"/>
        <v>15</v>
      </c>
      <c r="S47" s="64">
        <f t="shared" si="1"/>
        <v>328.79154078549846</v>
      </c>
      <c r="T47" s="64">
        <f t="shared" si="2"/>
        <v>123</v>
      </c>
      <c r="U47" s="64">
        <f t="shared" si="3"/>
        <v>138</v>
      </c>
      <c r="V47" s="72">
        <f t="shared" si="4"/>
        <v>106</v>
      </c>
    </row>
    <row r="48" spans="1:22" x14ac:dyDescent="0.25">
      <c r="A48" s="103">
        <v>46</v>
      </c>
      <c r="B48" s="104">
        <v>40831</v>
      </c>
      <c r="C48" s="105">
        <v>12</v>
      </c>
      <c r="D48" s="106">
        <f>1*12.42/6.62</f>
        <v>1.8761329305135952</v>
      </c>
      <c r="E48" s="106">
        <v>4</v>
      </c>
      <c r="F48" s="106">
        <f>4+12</f>
        <v>16</v>
      </c>
      <c r="G48" s="106"/>
      <c r="H48" s="2">
        <v>34.590000000000003</v>
      </c>
      <c r="I48" s="1">
        <v>37.97</v>
      </c>
      <c r="J48" s="1">
        <v>39.24</v>
      </c>
      <c r="K48" s="50">
        <v>38.299999999999997</v>
      </c>
      <c r="L48" s="50">
        <v>41.07</v>
      </c>
      <c r="M48" s="40"/>
      <c r="N48" s="41"/>
      <c r="O48" s="41"/>
      <c r="P48" s="41"/>
      <c r="Q48" s="41"/>
      <c r="R48" s="63">
        <f t="shared" si="0"/>
        <v>3</v>
      </c>
      <c r="S48" s="64">
        <f t="shared" si="1"/>
        <v>326.91540785498484</v>
      </c>
      <c r="T48" s="64">
        <f t="shared" si="2"/>
        <v>119</v>
      </c>
      <c r="U48" s="64">
        <f t="shared" si="3"/>
        <v>122</v>
      </c>
      <c r="V48" s="72">
        <f t="shared" si="4"/>
        <v>106</v>
      </c>
    </row>
    <row r="49" spans="1:22" x14ac:dyDescent="0.25">
      <c r="A49" s="103">
        <v>47</v>
      </c>
      <c r="B49" s="104">
        <v>40838</v>
      </c>
      <c r="C49" s="105">
        <v>12</v>
      </c>
      <c r="D49" s="106">
        <f>3*12.42/6.62</f>
        <v>5.6283987915407847</v>
      </c>
      <c r="E49" s="106"/>
      <c r="F49" s="106">
        <v>4</v>
      </c>
      <c r="G49" s="106"/>
      <c r="H49" s="2">
        <v>34.590000000000003</v>
      </c>
      <c r="I49" s="1">
        <v>37.97</v>
      </c>
      <c r="J49" s="1">
        <v>39.24</v>
      </c>
      <c r="K49" s="50">
        <v>38.299999999999997</v>
      </c>
      <c r="L49" s="50">
        <v>41.07</v>
      </c>
      <c r="M49" s="40"/>
      <c r="N49" s="41"/>
      <c r="O49" s="41"/>
      <c r="P49" s="41"/>
      <c r="Q49" s="41"/>
      <c r="R49" s="63">
        <f t="shared" si="0"/>
        <v>-9</v>
      </c>
      <c r="S49" s="64">
        <f t="shared" si="1"/>
        <v>321.28700906344403</v>
      </c>
      <c r="T49" s="64">
        <f t="shared" si="2"/>
        <v>119</v>
      </c>
      <c r="U49" s="64">
        <f t="shared" si="3"/>
        <v>118</v>
      </c>
      <c r="V49" s="72">
        <f t="shared" si="4"/>
        <v>106</v>
      </c>
    </row>
    <row r="50" spans="1:22" x14ac:dyDescent="0.25">
      <c r="A50" s="103">
        <v>48</v>
      </c>
      <c r="B50" s="104">
        <v>40845</v>
      </c>
      <c r="C50" s="105"/>
      <c r="D50" s="106">
        <f>2*12.42/6.62</f>
        <v>3.7522658610271904</v>
      </c>
      <c r="E50" s="106"/>
      <c r="F50" s="106">
        <f>4+8</f>
        <v>12</v>
      </c>
      <c r="G50" s="106"/>
      <c r="H50" s="2">
        <v>34.590000000000003</v>
      </c>
      <c r="I50" s="1">
        <v>37.97</v>
      </c>
      <c r="J50" s="1">
        <v>39.24</v>
      </c>
      <c r="K50" s="50">
        <v>38.299999999999997</v>
      </c>
      <c r="L50" s="50">
        <v>41.07</v>
      </c>
      <c r="M50" s="40"/>
      <c r="N50" s="41"/>
      <c r="O50" s="41"/>
      <c r="P50" s="41"/>
      <c r="Q50" s="41"/>
      <c r="R50" s="63">
        <f t="shared" si="0"/>
        <v>-9</v>
      </c>
      <c r="S50" s="64">
        <f t="shared" si="1"/>
        <v>317.53474320241685</v>
      </c>
      <c r="T50" s="64">
        <f t="shared" si="2"/>
        <v>119</v>
      </c>
      <c r="U50" s="64">
        <f t="shared" si="3"/>
        <v>106</v>
      </c>
      <c r="V50" s="72">
        <f t="shared" si="4"/>
        <v>106</v>
      </c>
    </row>
    <row r="51" spans="1:22" x14ac:dyDescent="0.25">
      <c r="A51" s="103">
        <v>49</v>
      </c>
      <c r="B51" s="104">
        <v>40852</v>
      </c>
      <c r="C51" s="105"/>
      <c r="D51" s="106"/>
      <c r="E51" s="106"/>
      <c r="F51" s="106">
        <f>8+8</f>
        <v>16</v>
      </c>
      <c r="G51" s="106"/>
      <c r="H51" s="2">
        <v>34.590000000000003</v>
      </c>
      <c r="I51" s="1">
        <v>37.97</v>
      </c>
      <c r="J51" s="1">
        <v>39.24</v>
      </c>
      <c r="K51" s="50">
        <v>38.299999999999997</v>
      </c>
      <c r="L51" s="50">
        <v>41.07</v>
      </c>
      <c r="M51" s="40"/>
      <c r="N51" s="41"/>
      <c r="O51" s="41"/>
      <c r="P51" s="41"/>
      <c r="Q51" s="41"/>
      <c r="R51" s="63">
        <f t="shared" si="0"/>
        <v>-9</v>
      </c>
      <c r="S51" s="64">
        <f t="shared" si="1"/>
        <v>317.53474320241685</v>
      </c>
      <c r="T51" s="64">
        <f t="shared" si="2"/>
        <v>119</v>
      </c>
      <c r="U51" s="64">
        <f t="shared" si="3"/>
        <v>90</v>
      </c>
      <c r="V51" s="72">
        <f t="shared" si="4"/>
        <v>106</v>
      </c>
    </row>
    <row r="52" spans="1:22" x14ac:dyDescent="0.25">
      <c r="A52" s="103">
        <v>50</v>
      </c>
      <c r="B52" s="104">
        <v>40859</v>
      </c>
      <c r="C52" s="105"/>
      <c r="D52" s="106">
        <f>1*12.42/6.62</f>
        <v>1.8761329305135952</v>
      </c>
      <c r="E52" s="106">
        <f>4+12</f>
        <v>16</v>
      </c>
      <c r="F52" s="106">
        <f>4+4+16</f>
        <v>24</v>
      </c>
      <c r="G52" s="106"/>
      <c r="H52" s="2">
        <v>34.590000000000003</v>
      </c>
      <c r="I52" s="1">
        <v>37.97</v>
      </c>
      <c r="J52" s="1">
        <v>39.24</v>
      </c>
      <c r="K52" s="50">
        <v>38.299999999999997</v>
      </c>
      <c r="L52" s="50">
        <v>41.07</v>
      </c>
      <c r="M52" s="40"/>
      <c r="N52" s="41"/>
      <c r="O52" s="41"/>
      <c r="P52" s="41"/>
      <c r="Q52" s="41"/>
      <c r="R52" s="63">
        <f t="shared" si="0"/>
        <v>-9</v>
      </c>
      <c r="S52" s="64">
        <f t="shared" si="1"/>
        <v>315.65861027190323</v>
      </c>
      <c r="T52" s="64">
        <f t="shared" si="2"/>
        <v>103</v>
      </c>
      <c r="U52" s="64">
        <f t="shared" si="3"/>
        <v>66</v>
      </c>
      <c r="V52" s="72">
        <f t="shared" si="4"/>
        <v>106</v>
      </c>
    </row>
    <row r="53" spans="1:22" x14ac:dyDescent="0.25">
      <c r="A53" s="103">
        <v>51</v>
      </c>
      <c r="B53" s="104">
        <v>40866</v>
      </c>
      <c r="C53" s="105">
        <v>12</v>
      </c>
      <c r="D53" s="106"/>
      <c r="E53" s="106"/>
      <c r="F53" s="106">
        <f>4+8</f>
        <v>12</v>
      </c>
      <c r="G53" s="106"/>
      <c r="H53" s="2">
        <v>34.590000000000003</v>
      </c>
      <c r="I53" s="1">
        <v>37.97</v>
      </c>
      <c r="J53" s="1">
        <v>39.24</v>
      </c>
      <c r="K53" s="50">
        <v>38.299999999999997</v>
      </c>
      <c r="L53" s="50">
        <v>41.07</v>
      </c>
      <c r="M53" s="40"/>
      <c r="N53" s="41"/>
      <c r="O53" s="41"/>
      <c r="P53" s="41"/>
      <c r="Q53" s="41"/>
      <c r="R53" s="63">
        <f t="shared" si="0"/>
        <v>-21</v>
      </c>
      <c r="S53" s="64">
        <f t="shared" si="1"/>
        <v>315.65861027190323</v>
      </c>
      <c r="T53" s="64">
        <f t="shared" si="2"/>
        <v>103</v>
      </c>
      <c r="U53" s="64">
        <f t="shared" si="3"/>
        <v>54</v>
      </c>
      <c r="V53" s="72">
        <f t="shared" si="4"/>
        <v>106</v>
      </c>
    </row>
    <row r="54" spans="1:22" x14ac:dyDescent="0.25">
      <c r="A54" s="103">
        <v>52</v>
      </c>
      <c r="B54" s="104">
        <v>40873</v>
      </c>
      <c r="C54" s="105"/>
      <c r="D54" s="106"/>
      <c r="E54" s="106"/>
      <c r="F54" s="106"/>
      <c r="G54" s="106"/>
      <c r="H54" s="2">
        <v>34.590000000000003</v>
      </c>
      <c r="I54" s="1">
        <v>37.97</v>
      </c>
      <c r="J54" s="1">
        <v>39.24</v>
      </c>
      <c r="K54" s="50">
        <v>38.299999999999997</v>
      </c>
      <c r="L54" s="50">
        <v>41.07</v>
      </c>
      <c r="M54" s="40"/>
      <c r="N54" s="41"/>
      <c r="O54" s="41"/>
      <c r="P54" s="41"/>
      <c r="Q54" s="41"/>
      <c r="R54" s="63">
        <f t="shared" si="0"/>
        <v>-21</v>
      </c>
      <c r="S54" s="64">
        <f t="shared" si="1"/>
        <v>315.65861027190323</v>
      </c>
      <c r="T54" s="64">
        <f t="shared" si="2"/>
        <v>103</v>
      </c>
      <c r="U54" s="64">
        <f t="shared" si="3"/>
        <v>54</v>
      </c>
      <c r="V54" s="72">
        <f t="shared" si="4"/>
        <v>106</v>
      </c>
    </row>
    <row r="55" spans="1:22" x14ac:dyDescent="0.25">
      <c r="A55" s="103">
        <v>53</v>
      </c>
      <c r="B55" s="104">
        <v>40880</v>
      </c>
      <c r="C55" s="105">
        <v>12</v>
      </c>
      <c r="D55" s="106">
        <f>1*12.42/6.62</f>
        <v>1.8761329305135952</v>
      </c>
      <c r="E55" s="106"/>
      <c r="F55" s="106">
        <v>4</v>
      </c>
      <c r="G55" s="106"/>
      <c r="H55" s="2">
        <v>34.590000000000003</v>
      </c>
      <c r="I55" s="1">
        <v>37.97</v>
      </c>
      <c r="J55" s="1">
        <v>39.24</v>
      </c>
      <c r="K55" s="50">
        <v>38.299999999999997</v>
      </c>
      <c r="L55" s="50">
        <v>41.07</v>
      </c>
      <c r="M55" s="40"/>
      <c r="N55" s="41"/>
      <c r="O55" s="41"/>
      <c r="P55" s="41"/>
      <c r="Q55" s="41"/>
      <c r="R55" s="63">
        <f t="shared" si="0"/>
        <v>-33</v>
      </c>
      <c r="S55" s="64">
        <f t="shared" si="1"/>
        <v>313.78247734138961</v>
      </c>
      <c r="T55" s="64">
        <f t="shared" si="2"/>
        <v>103</v>
      </c>
      <c r="U55" s="64">
        <f t="shared" si="3"/>
        <v>50</v>
      </c>
      <c r="V55" s="72">
        <f t="shared" si="4"/>
        <v>106</v>
      </c>
    </row>
    <row r="56" spans="1:22" x14ac:dyDescent="0.25">
      <c r="A56" s="103">
        <v>54</v>
      </c>
      <c r="B56" s="104">
        <v>40887</v>
      </c>
      <c r="C56" s="105">
        <v>8</v>
      </c>
      <c r="D56" s="106">
        <f>1*12.42/6.62</f>
        <v>1.8761329305135952</v>
      </c>
      <c r="E56" s="106">
        <v>4</v>
      </c>
      <c r="F56" s="106">
        <f>4+8</f>
        <v>12</v>
      </c>
      <c r="G56" s="106"/>
      <c r="H56" s="2">
        <v>34.590000000000003</v>
      </c>
      <c r="I56" s="1">
        <v>37.97</v>
      </c>
      <c r="J56" s="1">
        <v>39.24</v>
      </c>
      <c r="K56" s="50">
        <v>38.299999999999997</v>
      </c>
      <c r="L56" s="50">
        <v>41.07</v>
      </c>
      <c r="M56" s="40"/>
      <c r="N56" s="41"/>
      <c r="O56" s="41"/>
      <c r="P56" s="41"/>
      <c r="Q56" s="41"/>
      <c r="R56" s="63">
        <f t="shared" si="0"/>
        <v>-41</v>
      </c>
      <c r="S56" s="64">
        <f t="shared" si="1"/>
        <v>311.90634441087599</v>
      </c>
      <c r="T56" s="64">
        <f t="shared" si="2"/>
        <v>99</v>
      </c>
      <c r="U56" s="64">
        <f t="shared" si="3"/>
        <v>38</v>
      </c>
      <c r="V56" s="72">
        <f t="shared" si="4"/>
        <v>106</v>
      </c>
    </row>
    <row r="57" spans="1:22" s="84" customFormat="1" x14ac:dyDescent="0.25">
      <c r="A57" s="103">
        <v>55</v>
      </c>
      <c r="B57" s="104">
        <v>40894</v>
      </c>
      <c r="C57" s="105"/>
      <c r="D57" s="106"/>
      <c r="E57" s="106">
        <v>4</v>
      </c>
      <c r="F57" s="106">
        <f>4+4</f>
        <v>8</v>
      </c>
      <c r="G57" s="106"/>
      <c r="H57" s="78">
        <v>34.590000000000003</v>
      </c>
      <c r="I57" s="79">
        <v>37.97</v>
      </c>
      <c r="J57" s="79">
        <v>39.24</v>
      </c>
      <c r="K57" s="80">
        <v>38.299999999999997</v>
      </c>
      <c r="L57" s="80">
        <v>41.07</v>
      </c>
      <c r="M57" s="81"/>
      <c r="N57" s="82"/>
      <c r="O57" s="82"/>
      <c r="P57" s="82"/>
      <c r="Q57" s="82"/>
      <c r="R57" s="76">
        <f t="shared" si="0"/>
        <v>-41</v>
      </c>
      <c r="S57" s="77">
        <f t="shared" si="1"/>
        <v>311.90634441087599</v>
      </c>
      <c r="T57" s="77">
        <f t="shared" si="2"/>
        <v>95</v>
      </c>
      <c r="U57" s="77">
        <f t="shared" si="3"/>
        <v>30</v>
      </c>
      <c r="V57" s="83">
        <f t="shared" si="4"/>
        <v>106</v>
      </c>
    </row>
    <row r="58" spans="1:22" x14ac:dyDescent="0.25">
      <c r="A58" s="24">
        <v>56</v>
      </c>
      <c r="B58" s="35">
        <v>40901</v>
      </c>
      <c r="C58" s="63"/>
      <c r="D58" s="64"/>
      <c r="E58" s="64"/>
      <c r="F58" s="64"/>
      <c r="G58" s="64"/>
      <c r="H58" s="2">
        <v>34.590000000000003</v>
      </c>
      <c r="I58" s="1">
        <v>37.97</v>
      </c>
      <c r="J58" s="1">
        <v>39.24</v>
      </c>
      <c r="K58" s="50">
        <v>38.299999999999997</v>
      </c>
      <c r="L58" s="50">
        <v>41.07</v>
      </c>
      <c r="M58" s="40"/>
      <c r="N58" s="41"/>
      <c r="O58" s="41"/>
      <c r="P58" s="41"/>
      <c r="Q58" s="41"/>
      <c r="R58" s="63">
        <f t="shared" si="0"/>
        <v>-41</v>
      </c>
      <c r="S58" s="64">
        <f t="shared" si="1"/>
        <v>311.90634441087599</v>
      </c>
      <c r="T58" s="64">
        <f t="shared" si="2"/>
        <v>95</v>
      </c>
      <c r="U58" s="64">
        <f t="shared" si="3"/>
        <v>30</v>
      </c>
      <c r="V58" s="72">
        <f t="shared" si="4"/>
        <v>106</v>
      </c>
    </row>
    <row r="59" spans="1:22" x14ac:dyDescent="0.25">
      <c r="A59" s="24">
        <v>57</v>
      </c>
      <c r="B59" s="35">
        <v>40908</v>
      </c>
      <c r="C59" s="63"/>
      <c r="D59" s="64"/>
      <c r="E59" s="64"/>
      <c r="F59" s="64"/>
      <c r="G59" s="64"/>
      <c r="H59" s="46">
        <v>37.86</v>
      </c>
      <c r="I59" s="1">
        <v>37.97</v>
      </c>
      <c r="J59" s="50">
        <v>38.159999999999997</v>
      </c>
      <c r="K59" s="50">
        <v>38.299999999999997</v>
      </c>
      <c r="L59" s="1">
        <v>40.049999999999997</v>
      </c>
      <c r="M59" s="40">
        <v>112</v>
      </c>
      <c r="N59" s="41"/>
      <c r="O59" s="41">
        <v>80</v>
      </c>
      <c r="P59" s="41"/>
      <c r="Q59" s="41">
        <v>20</v>
      </c>
      <c r="R59" s="63">
        <f t="shared" si="0"/>
        <v>71</v>
      </c>
      <c r="S59" s="64">
        <f t="shared" si="1"/>
        <v>311.90634441087599</v>
      </c>
      <c r="T59" s="64">
        <f t="shared" si="2"/>
        <v>175</v>
      </c>
      <c r="U59" s="64">
        <f t="shared" si="3"/>
        <v>30</v>
      </c>
      <c r="V59" s="72">
        <f t="shared" si="4"/>
        <v>126</v>
      </c>
    </row>
    <row r="60" spans="1:22" x14ac:dyDescent="0.25">
      <c r="A60" s="24">
        <v>58</v>
      </c>
      <c r="B60" s="35">
        <v>40915</v>
      </c>
      <c r="C60" s="63"/>
      <c r="D60" s="64"/>
      <c r="E60" s="64"/>
      <c r="F60" s="64"/>
      <c r="G60" s="64"/>
      <c r="H60" s="46">
        <v>37.86</v>
      </c>
      <c r="I60" s="1">
        <v>37.97</v>
      </c>
      <c r="J60" s="50">
        <v>38.159999999999997</v>
      </c>
      <c r="K60" s="50">
        <v>38.299999999999997</v>
      </c>
      <c r="L60" s="1">
        <v>40.049999999999997</v>
      </c>
      <c r="M60" s="40"/>
      <c r="N60" s="41"/>
      <c r="O60" s="41"/>
      <c r="P60" s="41"/>
      <c r="Q60" s="41"/>
      <c r="R60" s="63">
        <f t="shared" si="0"/>
        <v>71</v>
      </c>
      <c r="S60" s="64">
        <f t="shared" si="1"/>
        <v>311.90634441087599</v>
      </c>
      <c r="T60" s="64">
        <f t="shared" si="2"/>
        <v>175</v>
      </c>
      <c r="U60" s="64">
        <f t="shared" si="3"/>
        <v>30</v>
      </c>
      <c r="V60" s="72">
        <f t="shared" si="4"/>
        <v>126</v>
      </c>
    </row>
    <row r="61" spans="1:22" x14ac:dyDescent="0.25">
      <c r="A61" s="24">
        <v>59</v>
      </c>
      <c r="B61" s="35">
        <v>40922</v>
      </c>
      <c r="C61" s="63"/>
      <c r="D61" s="64"/>
      <c r="E61" s="64"/>
      <c r="F61" s="64"/>
      <c r="G61" s="64"/>
      <c r="H61" s="46">
        <v>37.86</v>
      </c>
      <c r="I61" s="1">
        <v>37.97</v>
      </c>
      <c r="J61" s="50">
        <v>38.159999999999997</v>
      </c>
      <c r="K61" s="50">
        <v>38.299999999999997</v>
      </c>
      <c r="L61" s="1">
        <v>40.049999999999997</v>
      </c>
      <c r="M61" s="40"/>
      <c r="N61" s="41"/>
      <c r="O61" s="41"/>
      <c r="P61" s="41"/>
      <c r="Q61" s="41"/>
      <c r="R61" s="63">
        <f t="shared" si="0"/>
        <v>71</v>
      </c>
      <c r="S61" s="64">
        <f t="shared" si="1"/>
        <v>311.90634441087599</v>
      </c>
      <c r="T61" s="64">
        <f t="shared" si="2"/>
        <v>175</v>
      </c>
      <c r="U61" s="64">
        <f t="shared" si="3"/>
        <v>30</v>
      </c>
      <c r="V61" s="72">
        <f t="shared" si="4"/>
        <v>126</v>
      </c>
    </row>
    <row r="62" spans="1:22" s="84" customFormat="1" x14ac:dyDescent="0.25">
      <c r="A62" s="74">
        <v>60</v>
      </c>
      <c r="B62" s="75">
        <v>40929</v>
      </c>
      <c r="C62" s="76"/>
      <c r="D62" s="77"/>
      <c r="E62" s="77"/>
      <c r="F62" s="77">
        <f>4+12</f>
        <v>16</v>
      </c>
      <c r="G62" s="77"/>
      <c r="H62" s="85">
        <v>37.86</v>
      </c>
      <c r="I62" s="79">
        <v>37.97</v>
      </c>
      <c r="J62" s="80">
        <v>38.159999999999997</v>
      </c>
      <c r="K62" s="80">
        <v>38.299999999999997</v>
      </c>
      <c r="L62" s="79">
        <v>40.049999999999997</v>
      </c>
      <c r="M62" s="81"/>
      <c r="N62" s="82"/>
      <c r="O62" s="82"/>
      <c r="P62" s="82"/>
      <c r="Q62" s="82"/>
      <c r="R62" s="76">
        <f t="shared" si="0"/>
        <v>71</v>
      </c>
      <c r="S62" s="77">
        <f t="shared" si="1"/>
        <v>311.90634441087599</v>
      </c>
      <c r="T62" s="77">
        <f t="shared" si="2"/>
        <v>175</v>
      </c>
      <c r="U62" s="77">
        <f t="shared" si="3"/>
        <v>14</v>
      </c>
      <c r="V62" s="83">
        <f t="shared" si="4"/>
        <v>126</v>
      </c>
    </row>
    <row r="63" spans="1:22" x14ac:dyDescent="0.25">
      <c r="A63" s="24">
        <v>61</v>
      </c>
      <c r="B63" s="35">
        <v>40936</v>
      </c>
      <c r="C63" s="63">
        <v>4</v>
      </c>
      <c r="D63" s="64">
        <f>12.42/6.62</f>
        <v>1.8761329305135952</v>
      </c>
      <c r="E63" s="64">
        <v>4</v>
      </c>
      <c r="F63" s="64">
        <f>4+4+8</f>
        <v>16</v>
      </c>
      <c r="G63" s="64"/>
      <c r="H63" s="46">
        <v>37.86</v>
      </c>
      <c r="I63" s="1">
        <v>37.97</v>
      </c>
      <c r="J63" s="50">
        <v>38.159999999999997</v>
      </c>
      <c r="K63" s="50">
        <v>38.299999999999997</v>
      </c>
      <c r="L63" s="1">
        <v>40.049999999999997</v>
      </c>
      <c r="M63" s="40"/>
      <c r="N63" s="41"/>
      <c r="O63" s="41"/>
      <c r="P63" s="41"/>
      <c r="Q63" s="41"/>
      <c r="R63" s="63">
        <f t="shared" si="0"/>
        <v>67</v>
      </c>
      <c r="S63" s="64">
        <f t="shared" si="1"/>
        <v>310.03021148036237</v>
      </c>
      <c r="T63" s="64">
        <f t="shared" si="2"/>
        <v>171</v>
      </c>
      <c r="U63" s="64">
        <f t="shared" si="3"/>
        <v>-2</v>
      </c>
      <c r="V63" s="72">
        <f t="shared" si="4"/>
        <v>126</v>
      </c>
    </row>
    <row r="64" spans="1:22" x14ac:dyDescent="0.25">
      <c r="A64" s="24">
        <v>62</v>
      </c>
      <c r="B64" s="35">
        <v>40943</v>
      </c>
      <c r="C64" s="63"/>
      <c r="D64" s="64">
        <f>2*12.42/6.62</f>
        <v>3.7522658610271904</v>
      </c>
      <c r="E64" s="64">
        <v>4</v>
      </c>
      <c r="F64" s="64">
        <v>4</v>
      </c>
      <c r="G64" s="64">
        <v>4</v>
      </c>
      <c r="H64" s="46">
        <v>37.86</v>
      </c>
      <c r="I64" s="1">
        <v>37.97</v>
      </c>
      <c r="J64" s="50">
        <v>38.159999999999997</v>
      </c>
      <c r="K64" s="50">
        <v>38.299999999999997</v>
      </c>
      <c r="L64" s="1">
        <v>40.049999999999997</v>
      </c>
      <c r="M64" s="40"/>
      <c r="N64" s="41"/>
      <c r="O64" s="41"/>
      <c r="P64" s="41"/>
      <c r="Q64" s="41"/>
      <c r="R64" s="63">
        <f t="shared" si="0"/>
        <v>67</v>
      </c>
      <c r="S64" s="64">
        <f t="shared" si="1"/>
        <v>306.27794561933518</v>
      </c>
      <c r="T64" s="64">
        <f t="shared" si="2"/>
        <v>167</v>
      </c>
      <c r="U64" s="64">
        <f t="shared" si="3"/>
        <v>-6</v>
      </c>
      <c r="V64" s="72">
        <f t="shared" si="4"/>
        <v>122</v>
      </c>
    </row>
    <row r="65" spans="1:22" x14ac:dyDescent="0.25">
      <c r="A65" s="24">
        <v>63</v>
      </c>
      <c r="B65" s="35">
        <v>40950</v>
      </c>
      <c r="C65" s="63"/>
      <c r="D65" s="64">
        <f>12.42/6.62</f>
        <v>1.8761329305135952</v>
      </c>
      <c r="E65" s="64"/>
      <c r="F65" s="64">
        <f>4+4</f>
        <v>8</v>
      </c>
      <c r="G65" s="64"/>
      <c r="H65" s="46">
        <v>37.86</v>
      </c>
      <c r="I65" s="1">
        <v>37.97</v>
      </c>
      <c r="J65" s="50">
        <v>38.159999999999997</v>
      </c>
      <c r="K65" s="50">
        <v>38.299999999999997</v>
      </c>
      <c r="L65" s="1">
        <v>40.049999999999997</v>
      </c>
      <c r="M65" s="40"/>
      <c r="N65" s="41"/>
      <c r="O65" s="41"/>
      <c r="P65" s="41"/>
      <c r="Q65" s="41"/>
      <c r="R65" s="63">
        <f t="shared" si="0"/>
        <v>67</v>
      </c>
      <c r="S65" s="64">
        <f t="shared" si="1"/>
        <v>304.40181268882156</v>
      </c>
      <c r="T65" s="64">
        <f t="shared" si="2"/>
        <v>167</v>
      </c>
      <c r="U65" s="64">
        <f t="shared" si="3"/>
        <v>-14</v>
      </c>
      <c r="V65" s="72">
        <f t="shared" si="4"/>
        <v>122</v>
      </c>
    </row>
    <row r="66" spans="1:22" x14ac:dyDescent="0.25">
      <c r="A66" s="24">
        <v>64</v>
      </c>
      <c r="B66" s="35">
        <v>40957</v>
      </c>
      <c r="C66" s="63">
        <v>8</v>
      </c>
      <c r="D66" s="64"/>
      <c r="E66" s="64"/>
      <c r="F66" s="64">
        <f>16</f>
        <v>16</v>
      </c>
      <c r="G66" s="64"/>
      <c r="H66" s="46">
        <v>37.86</v>
      </c>
      <c r="I66" s="1">
        <v>37.97</v>
      </c>
      <c r="J66" s="50">
        <v>38.159999999999997</v>
      </c>
      <c r="K66" s="50">
        <v>38.299999999999997</v>
      </c>
      <c r="L66" s="1">
        <v>40.049999999999997</v>
      </c>
      <c r="M66" s="40"/>
      <c r="N66" s="41"/>
      <c r="O66" s="41"/>
      <c r="P66" s="41"/>
      <c r="Q66" s="41"/>
      <c r="R66" s="63">
        <f t="shared" si="0"/>
        <v>59</v>
      </c>
      <c r="S66" s="64">
        <f t="shared" si="1"/>
        <v>304.40181268882156</v>
      </c>
      <c r="T66" s="64">
        <f t="shared" si="2"/>
        <v>167</v>
      </c>
      <c r="U66" s="64">
        <f t="shared" si="3"/>
        <v>-30</v>
      </c>
      <c r="V66" s="72">
        <f t="shared" si="4"/>
        <v>122</v>
      </c>
    </row>
    <row r="67" spans="1:22" x14ac:dyDescent="0.25">
      <c r="A67" s="24">
        <v>65</v>
      </c>
      <c r="B67" s="35">
        <v>40964</v>
      </c>
      <c r="C67" s="63">
        <v>16</v>
      </c>
      <c r="D67" s="64">
        <f>12.42/6.62</f>
        <v>1.8761329305135952</v>
      </c>
      <c r="E67" s="64">
        <v>4</v>
      </c>
      <c r="F67" s="64">
        <f>4+4</f>
        <v>8</v>
      </c>
      <c r="G67" s="64"/>
      <c r="H67" s="46">
        <v>37.86</v>
      </c>
      <c r="I67" s="1">
        <v>37.97</v>
      </c>
      <c r="J67" s="50">
        <v>38.159999999999997</v>
      </c>
      <c r="K67" s="50">
        <v>38.299999999999997</v>
      </c>
      <c r="L67" s="1">
        <v>40.049999999999997</v>
      </c>
      <c r="M67" s="40"/>
      <c r="N67" s="41"/>
      <c r="O67" s="41"/>
      <c r="P67" s="41"/>
      <c r="Q67" s="41"/>
      <c r="R67" s="63">
        <f t="shared" si="0"/>
        <v>43</v>
      </c>
      <c r="S67" s="64">
        <f t="shared" si="1"/>
        <v>302.52567975830794</v>
      </c>
      <c r="T67" s="64">
        <f t="shared" si="2"/>
        <v>163</v>
      </c>
      <c r="U67" s="64">
        <f t="shared" si="3"/>
        <v>-38</v>
      </c>
      <c r="V67" s="72">
        <f t="shared" si="4"/>
        <v>122</v>
      </c>
    </row>
    <row r="68" spans="1:22" x14ac:dyDescent="0.25">
      <c r="A68" s="24">
        <v>66</v>
      </c>
      <c r="B68" s="35">
        <v>40971</v>
      </c>
      <c r="C68" s="63">
        <v>8</v>
      </c>
      <c r="D68" s="64"/>
      <c r="E68" s="64">
        <v>8</v>
      </c>
      <c r="F68" s="64"/>
      <c r="G68" s="64"/>
      <c r="H68" s="46">
        <v>37.86</v>
      </c>
      <c r="I68" s="1">
        <v>37.97</v>
      </c>
      <c r="J68" s="50">
        <v>38.159999999999997</v>
      </c>
      <c r="K68" s="50">
        <v>38.299999999999997</v>
      </c>
      <c r="L68" s="1">
        <v>40.049999999999997</v>
      </c>
      <c r="M68" s="40"/>
      <c r="N68" s="41"/>
      <c r="O68" s="41"/>
      <c r="P68" s="41"/>
      <c r="Q68" s="41"/>
      <c r="R68" s="63">
        <f t="shared" si="0"/>
        <v>35</v>
      </c>
      <c r="S68" s="64">
        <f t="shared" si="1"/>
        <v>302.52567975830794</v>
      </c>
      <c r="T68" s="64">
        <f t="shared" si="2"/>
        <v>155</v>
      </c>
      <c r="U68" s="64">
        <f t="shared" si="3"/>
        <v>-38</v>
      </c>
      <c r="V68" s="72">
        <f t="shared" si="4"/>
        <v>122</v>
      </c>
    </row>
    <row r="69" spans="1:22" x14ac:dyDescent="0.25">
      <c r="A69" s="24">
        <v>67</v>
      </c>
      <c r="B69" s="35">
        <v>40978</v>
      </c>
      <c r="C69" s="63">
        <v>8</v>
      </c>
      <c r="D69" s="64">
        <f>12.42/6.62</f>
        <v>1.8761329305135952</v>
      </c>
      <c r="E69" s="64">
        <f>4+8</f>
        <v>12</v>
      </c>
      <c r="F69" s="64"/>
      <c r="G69" s="64"/>
      <c r="H69" s="46">
        <v>37.86</v>
      </c>
      <c r="I69" s="1">
        <v>37.97</v>
      </c>
      <c r="J69" s="50">
        <v>38.159999999999997</v>
      </c>
      <c r="K69" s="50">
        <v>38.299999999999997</v>
      </c>
      <c r="L69" s="1">
        <v>40.049999999999997</v>
      </c>
      <c r="M69" s="40"/>
      <c r="N69" s="41"/>
      <c r="O69" s="41"/>
      <c r="P69" s="41"/>
      <c r="Q69" s="41"/>
      <c r="R69" s="63">
        <f t="shared" ref="R69:R76" si="6">R68-C69+M69</f>
        <v>27</v>
      </c>
      <c r="S69" s="64">
        <f t="shared" ref="S69:S76" si="7">S68-D69+N69</f>
        <v>300.64954682779432</v>
      </c>
      <c r="T69" s="64">
        <f t="shared" ref="T69:T76" si="8">T68-E69+O69</f>
        <v>143</v>
      </c>
      <c r="U69" s="64">
        <f t="shared" ref="U69:U76" si="9">U68-F69+P69</f>
        <v>-38</v>
      </c>
      <c r="V69" s="72">
        <f t="shared" ref="V69:V76" si="10">V68-G69+Q69</f>
        <v>122</v>
      </c>
    </row>
    <row r="70" spans="1:22" x14ac:dyDescent="0.25">
      <c r="A70" s="24">
        <v>68</v>
      </c>
      <c r="B70" s="35">
        <v>40985</v>
      </c>
      <c r="C70" s="63">
        <f>12+8</f>
        <v>20</v>
      </c>
      <c r="D70" s="64"/>
      <c r="E70" s="64">
        <f>16+4</f>
        <v>20</v>
      </c>
      <c r="F70" s="64"/>
      <c r="G70" s="64"/>
      <c r="H70" s="46">
        <v>37.86</v>
      </c>
      <c r="I70" s="1">
        <v>37.97</v>
      </c>
      <c r="J70" s="50">
        <v>38.159999999999997</v>
      </c>
      <c r="K70" s="50">
        <v>38.299999999999997</v>
      </c>
      <c r="L70" s="1">
        <v>40.049999999999997</v>
      </c>
      <c r="M70" s="40"/>
      <c r="N70" s="41"/>
      <c r="O70" s="41"/>
      <c r="P70" s="41"/>
      <c r="Q70" s="41"/>
      <c r="R70" s="63">
        <f t="shared" si="6"/>
        <v>7</v>
      </c>
      <c r="S70" s="64">
        <f t="shared" si="7"/>
        <v>300.64954682779432</v>
      </c>
      <c r="T70" s="64">
        <f t="shared" si="8"/>
        <v>123</v>
      </c>
      <c r="U70" s="64">
        <f t="shared" si="9"/>
        <v>-38</v>
      </c>
      <c r="V70" s="72">
        <f t="shared" si="10"/>
        <v>122</v>
      </c>
    </row>
    <row r="71" spans="1:22" x14ac:dyDescent="0.25">
      <c r="A71" s="24">
        <v>69</v>
      </c>
      <c r="B71" s="35">
        <v>40992</v>
      </c>
      <c r="C71" s="63"/>
      <c r="D71" s="64"/>
      <c r="E71" s="64"/>
      <c r="F71" s="64"/>
      <c r="G71" s="64"/>
      <c r="H71" s="46">
        <v>37.86</v>
      </c>
      <c r="I71" s="1">
        <v>37.97</v>
      </c>
      <c r="J71" s="50">
        <v>38.159999999999997</v>
      </c>
      <c r="K71" s="50">
        <v>38.299999999999997</v>
      </c>
      <c r="L71" s="1">
        <v>40.049999999999997</v>
      </c>
      <c r="M71" s="40"/>
      <c r="N71" s="41"/>
      <c r="O71" s="41"/>
      <c r="P71" s="41"/>
      <c r="Q71" s="41"/>
      <c r="R71" s="63">
        <f t="shared" si="6"/>
        <v>7</v>
      </c>
      <c r="S71" s="64">
        <f t="shared" si="7"/>
        <v>300.64954682779432</v>
      </c>
      <c r="T71" s="64">
        <f t="shared" si="8"/>
        <v>123</v>
      </c>
      <c r="U71" s="64">
        <f t="shared" si="9"/>
        <v>-38</v>
      </c>
      <c r="V71" s="72">
        <f t="shared" si="10"/>
        <v>122</v>
      </c>
    </row>
    <row r="72" spans="1:22" x14ac:dyDescent="0.25">
      <c r="A72" s="24">
        <v>70</v>
      </c>
      <c r="B72" s="35">
        <v>40999</v>
      </c>
      <c r="C72" s="63">
        <v>8</v>
      </c>
      <c r="D72" s="64">
        <f>12.42/6.62</f>
        <v>1.8761329305135952</v>
      </c>
      <c r="E72" s="64">
        <f>4+4</f>
        <v>8</v>
      </c>
      <c r="F72" s="64"/>
      <c r="G72" s="64"/>
      <c r="H72" s="46">
        <v>37.86</v>
      </c>
      <c r="I72" s="1">
        <v>37.97</v>
      </c>
      <c r="J72" s="50">
        <v>38.159999999999997</v>
      </c>
      <c r="K72" s="50">
        <v>38.299999999999997</v>
      </c>
      <c r="L72" s="1">
        <v>40.049999999999997</v>
      </c>
      <c r="M72" s="40"/>
      <c r="N72" s="41"/>
      <c r="O72" s="41"/>
      <c r="P72" s="41"/>
      <c r="Q72" s="41"/>
      <c r="R72" s="63">
        <f t="shared" si="6"/>
        <v>-1</v>
      </c>
      <c r="S72" s="64">
        <f t="shared" si="7"/>
        <v>298.7734138972807</v>
      </c>
      <c r="T72" s="64">
        <f t="shared" si="8"/>
        <v>115</v>
      </c>
      <c r="U72" s="64">
        <f t="shared" si="9"/>
        <v>-38</v>
      </c>
      <c r="V72" s="72">
        <f t="shared" si="10"/>
        <v>122</v>
      </c>
    </row>
    <row r="73" spans="1:22" x14ac:dyDescent="0.25">
      <c r="A73" s="24">
        <v>71</v>
      </c>
      <c r="B73" s="35">
        <v>41006</v>
      </c>
      <c r="C73" s="63"/>
      <c r="D73" s="64"/>
      <c r="E73" s="64">
        <f>8+4</f>
        <v>12</v>
      </c>
      <c r="F73" s="64"/>
      <c r="G73" s="64"/>
      <c r="H73" s="46">
        <v>37.86</v>
      </c>
      <c r="I73" s="1">
        <v>37.97</v>
      </c>
      <c r="J73" s="50">
        <v>38.159999999999997</v>
      </c>
      <c r="K73" s="50">
        <v>38.299999999999997</v>
      </c>
      <c r="L73" s="1">
        <v>40.049999999999997</v>
      </c>
      <c r="M73" s="40"/>
      <c r="N73" s="41"/>
      <c r="O73" s="41"/>
      <c r="P73" s="41"/>
      <c r="Q73" s="41"/>
      <c r="R73" s="63">
        <f t="shared" si="6"/>
        <v>-1</v>
      </c>
      <c r="S73" s="64">
        <f t="shared" si="7"/>
        <v>298.7734138972807</v>
      </c>
      <c r="T73" s="64">
        <f t="shared" si="8"/>
        <v>103</v>
      </c>
      <c r="U73" s="64">
        <f t="shared" si="9"/>
        <v>-38</v>
      </c>
      <c r="V73" s="72">
        <f t="shared" si="10"/>
        <v>122</v>
      </c>
    </row>
    <row r="74" spans="1:22" x14ac:dyDescent="0.25">
      <c r="A74" s="24">
        <v>72</v>
      </c>
      <c r="B74" s="35">
        <v>41013</v>
      </c>
      <c r="C74" s="63"/>
      <c r="D74" s="64">
        <f>2*12.42/6.62</f>
        <v>3.7522658610271904</v>
      </c>
      <c r="E74" s="64"/>
      <c r="F74" s="64"/>
      <c r="G74" s="64"/>
      <c r="H74" s="46">
        <v>37.86</v>
      </c>
      <c r="I74" s="1">
        <v>37.97</v>
      </c>
      <c r="J74" s="50">
        <v>38.159999999999997</v>
      </c>
      <c r="K74" s="50">
        <v>38.299999999999997</v>
      </c>
      <c r="L74" s="1">
        <v>40.049999999999997</v>
      </c>
      <c r="M74" s="40"/>
      <c r="N74" s="41"/>
      <c r="O74" s="41"/>
      <c r="P74" s="41"/>
      <c r="Q74" s="41"/>
      <c r="R74" s="63">
        <f t="shared" si="6"/>
        <v>-1</v>
      </c>
      <c r="S74" s="64">
        <f t="shared" si="7"/>
        <v>295.02114803625352</v>
      </c>
      <c r="T74" s="64">
        <f t="shared" si="8"/>
        <v>103</v>
      </c>
      <c r="U74" s="64">
        <f t="shared" si="9"/>
        <v>-38</v>
      </c>
      <c r="V74" s="72">
        <f t="shared" si="10"/>
        <v>122</v>
      </c>
    </row>
    <row r="75" spans="1:22" x14ac:dyDescent="0.25">
      <c r="A75" s="24">
        <v>73</v>
      </c>
      <c r="B75" s="35">
        <v>41020</v>
      </c>
      <c r="C75" s="63"/>
      <c r="D75" s="64"/>
      <c r="E75" s="64"/>
      <c r="F75" s="64"/>
      <c r="G75" s="64"/>
      <c r="H75" s="46">
        <v>37.86</v>
      </c>
      <c r="I75" s="1">
        <v>37.97</v>
      </c>
      <c r="J75" s="50">
        <v>38.159999999999997</v>
      </c>
      <c r="K75" s="50">
        <v>38.299999999999997</v>
      </c>
      <c r="L75" s="1">
        <v>40.049999999999997</v>
      </c>
      <c r="M75" s="40"/>
      <c r="N75" s="41"/>
      <c r="O75" s="41"/>
      <c r="P75" s="41"/>
      <c r="Q75" s="41"/>
      <c r="R75" s="63">
        <f t="shared" si="6"/>
        <v>-1</v>
      </c>
      <c r="S75" s="64">
        <f t="shared" si="7"/>
        <v>295.02114803625352</v>
      </c>
      <c r="T75" s="64">
        <f t="shared" si="8"/>
        <v>103</v>
      </c>
      <c r="U75" s="64">
        <f t="shared" si="9"/>
        <v>-38</v>
      </c>
      <c r="V75" s="72">
        <f t="shared" si="10"/>
        <v>122</v>
      </c>
    </row>
    <row r="76" spans="1:22" ht="15.75" thickBot="1" x14ac:dyDescent="0.3">
      <c r="A76" s="8">
        <v>74</v>
      </c>
      <c r="B76" s="36">
        <v>41027</v>
      </c>
      <c r="C76" s="65"/>
      <c r="D76" s="66"/>
      <c r="E76" s="66"/>
      <c r="F76" s="66"/>
      <c r="G76" s="66"/>
      <c r="H76" s="47">
        <v>37.86</v>
      </c>
      <c r="I76" s="5">
        <v>37.97</v>
      </c>
      <c r="J76" s="54">
        <v>38.159999999999997</v>
      </c>
      <c r="K76" s="54">
        <v>38.299999999999997</v>
      </c>
      <c r="L76" s="5">
        <v>40.049999999999997</v>
      </c>
      <c r="M76" s="43"/>
      <c r="N76" s="44"/>
      <c r="O76" s="44"/>
      <c r="P76" s="44"/>
      <c r="Q76" s="44"/>
      <c r="R76" s="65">
        <f t="shared" si="6"/>
        <v>-1</v>
      </c>
      <c r="S76" s="66">
        <f t="shared" si="7"/>
        <v>295.02114803625352</v>
      </c>
      <c r="T76" s="66">
        <f t="shared" si="8"/>
        <v>103</v>
      </c>
      <c r="U76" s="66">
        <f t="shared" si="9"/>
        <v>-38</v>
      </c>
      <c r="V76" s="73">
        <f t="shared" si="10"/>
        <v>122</v>
      </c>
    </row>
    <row r="77" spans="1:22" x14ac:dyDescent="0.25">
      <c r="B77" s="27" t="s">
        <v>24</v>
      </c>
      <c r="C77" s="67">
        <f>SUM(C41:C57)</f>
        <v>101</v>
      </c>
      <c r="D77" s="67">
        <f t="shared" ref="D77:G77" si="11">SUM(D41:D57)</f>
        <v>38.17522658610271</v>
      </c>
      <c r="E77" s="67">
        <f t="shared" si="11"/>
        <v>44</v>
      </c>
      <c r="F77" s="67">
        <f t="shared" si="11"/>
        <v>204</v>
      </c>
      <c r="G77" s="67">
        <f t="shared" si="11"/>
        <v>20</v>
      </c>
      <c r="I77" s="67">
        <f>SUM(C77:G77)</f>
        <v>407.17522658610272</v>
      </c>
    </row>
    <row r="78" spans="1:22" ht="15.75" thickBot="1" x14ac:dyDescent="0.3">
      <c r="A78" s="101">
        <v>0.37834000000000001</v>
      </c>
      <c r="C78" s="59" t="s">
        <v>8</v>
      </c>
      <c r="D78" s="60" t="s">
        <v>9</v>
      </c>
      <c r="E78" s="60" t="s">
        <v>10</v>
      </c>
      <c r="F78" s="60" t="s">
        <v>11</v>
      </c>
      <c r="G78" s="60" t="s">
        <v>12</v>
      </c>
      <c r="I78">
        <f>I77/4</f>
        <v>101.79380664652568</v>
      </c>
    </row>
    <row r="79" spans="1:22" ht="15.75" thickBot="1" x14ac:dyDescent="0.3">
      <c r="A79" s="102">
        <v>0.05</v>
      </c>
      <c r="B79" s="28"/>
      <c r="C79" s="68">
        <v>1</v>
      </c>
      <c r="D79" s="69">
        <v>2</v>
      </c>
      <c r="E79" s="69">
        <v>3</v>
      </c>
      <c r="F79" s="69">
        <v>4</v>
      </c>
      <c r="G79" s="69">
        <v>5</v>
      </c>
      <c r="I79">
        <f>C77*C81</f>
        <v>3493.59</v>
      </c>
      <c r="J79">
        <f t="shared" ref="J79:M79" si="12">D77*D81</f>
        <v>1449.51335347432</v>
      </c>
      <c r="K79">
        <f t="shared" si="12"/>
        <v>1726.5600000000002</v>
      </c>
      <c r="L79">
        <f t="shared" si="12"/>
        <v>7813.2</v>
      </c>
      <c r="M79">
        <f t="shared" si="12"/>
        <v>821.4</v>
      </c>
      <c r="N79">
        <f>SUM(I79:M79)</f>
        <v>15304.26335347432</v>
      </c>
      <c r="O79">
        <f>0.047*N79</f>
        <v>719.30037761329299</v>
      </c>
    </row>
    <row r="80" spans="1:22" ht="15.75" thickBot="1" x14ac:dyDescent="0.3">
      <c r="A80" s="16" t="s">
        <v>4</v>
      </c>
      <c r="B80" s="29"/>
      <c r="C80" s="181">
        <v>500</v>
      </c>
      <c r="D80" s="181"/>
      <c r="E80" s="181"/>
      <c r="F80" s="181"/>
      <c r="G80" s="181"/>
      <c r="I80">
        <f>$N$79*C77/$I$77*0.047</f>
        <v>178.4227855610462</v>
      </c>
      <c r="J80">
        <f t="shared" ref="J80:M80" si="13">$N$79*D77/$I$77*0.047</f>
        <v>67.438913533827261</v>
      </c>
      <c r="K80">
        <f t="shared" si="13"/>
        <v>77.728738264218137</v>
      </c>
      <c r="L80">
        <f t="shared" si="13"/>
        <v>360.37869558864776</v>
      </c>
      <c r="M80">
        <f t="shared" si="13"/>
        <v>35.331244665553697</v>
      </c>
      <c r="O80">
        <f>SUM(I80:M80)</f>
        <v>719.30037761329299</v>
      </c>
    </row>
    <row r="81" spans="1:24" x14ac:dyDescent="0.25">
      <c r="A81" s="17" t="s">
        <v>19</v>
      </c>
      <c r="B81" s="30"/>
      <c r="C81" s="112">
        <v>34.590000000000003</v>
      </c>
      <c r="D81" s="113">
        <v>37.97</v>
      </c>
      <c r="E81" s="113">
        <v>39.24</v>
      </c>
      <c r="F81" s="113">
        <v>38.299999999999997</v>
      </c>
      <c r="G81" s="114">
        <v>41.07</v>
      </c>
      <c r="J81" s="64">
        <f>335.34/6.62+27/6.62+2*12.42/6.62</f>
        <v>58.486404833836858</v>
      </c>
    </row>
    <row r="82" spans="1:24" x14ac:dyDescent="0.25">
      <c r="A82" s="17" t="s">
        <v>20</v>
      </c>
      <c r="B82" s="31"/>
      <c r="C82" s="108">
        <f>0.047*C81</f>
        <v>1.6257300000000001</v>
      </c>
      <c r="D82" s="109">
        <f t="shared" ref="D82:G82" si="14">0.047*D81</f>
        <v>1.7845899999999999</v>
      </c>
      <c r="E82" s="109">
        <f t="shared" si="14"/>
        <v>1.8442800000000001</v>
      </c>
      <c r="F82" s="109">
        <f t="shared" si="14"/>
        <v>1.8000999999999998</v>
      </c>
      <c r="G82" s="110">
        <f t="shared" si="14"/>
        <v>1.9302900000000001</v>
      </c>
      <c r="I82" s="100">
        <f>I80/6</f>
        <v>29.737130926841033</v>
      </c>
      <c r="J82" s="100">
        <f t="shared" ref="J82:M82" si="15">J80/6</f>
        <v>11.239818922304543</v>
      </c>
      <c r="K82" s="100">
        <f t="shared" si="15"/>
        <v>12.954789710703023</v>
      </c>
      <c r="L82" s="100">
        <f t="shared" si="15"/>
        <v>60.063115931441295</v>
      </c>
      <c r="M82" s="100">
        <f t="shared" si="15"/>
        <v>5.8885407775922829</v>
      </c>
    </row>
    <row r="83" spans="1:24" ht="15.75" thickBot="1" x14ac:dyDescent="0.3">
      <c r="A83" s="18" t="s">
        <v>21</v>
      </c>
      <c r="B83" s="32"/>
      <c r="C83" s="111">
        <f>$A$79*C81</f>
        <v>1.7295000000000003</v>
      </c>
      <c r="D83" s="111">
        <f t="shared" ref="D83:G83" si="16">$A$79*D81</f>
        <v>1.8985000000000001</v>
      </c>
      <c r="E83" s="111">
        <f t="shared" si="16"/>
        <v>1.9620000000000002</v>
      </c>
      <c r="F83" s="111">
        <f t="shared" si="16"/>
        <v>1.915</v>
      </c>
      <c r="G83" s="111">
        <f t="shared" si="16"/>
        <v>2.0535000000000001</v>
      </c>
    </row>
    <row r="84" spans="1:24" ht="15.75" thickBot="1" x14ac:dyDescent="0.3">
      <c r="A84" s="92" t="s">
        <v>22</v>
      </c>
      <c r="C84" s="93">
        <f>C82*40</f>
        <v>65.029200000000003</v>
      </c>
      <c r="D84" s="93">
        <f t="shared" ref="D84:G84" si="17">D82*40</f>
        <v>71.383600000000001</v>
      </c>
      <c r="E84" s="93">
        <f t="shared" si="17"/>
        <v>73.771200000000007</v>
      </c>
      <c r="F84" s="93">
        <f t="shared" si="17"/>
        <v>72.003999999999991</v>
      </c>
      <c r="G84" s="93">
        <f t="shared" si="17"/>
        <v>77.211600000000004</v>
      </c>
      <c r="H84" s="94">
        <f>SUM(C84:G84)</f>
        <v>359.39959999999996</v>
      </c>
      <c r="I84" t="s">
        <v>23</v>
      </c>
    </row>
    <row r="85" spans="1:24" x14ac:dyDescent="0.25">
      <c r="B85" s="27" t="s">
        <v>8</v>
      </c>
      <c r="C85" s="57" t="s">
        <v>15</v>
      </c>
      <c r="D85" s="57" t="s">
        <v>17</v>
      </c>
      <c r="G85" s="67" t="s">
        <v>9</v>
      </c>
      <c r="H85" s="57" t="s">
        <v>15</v>
      </c>
      <c r="I85" s="57" t="s">
        <v>17</v>
      </c>
      <c r="L85" t="s">
        <v>10</v>
      </c>
      <c r="M85" s="57" t="s">
        <v>15</v>
      </c>
      <c r="N85" s="57" t="s">
        <v>17</v>
      </c>
      <c r="Q85" t="s">
        <v>11</v>
      </c>
      <c r="R85" s="57" t="s">
        <v>15</v>
      </c>
      <c r="S85" s="57" t="s">
        <v>17</v>
      </c>
      <c r="V85" s="67" t="s">
        <v>12</v>
      </c>
      <c r="W85" s="57" t="s">
        <v>15</v>
      </c>
      <c r="X85" s="57" t="s">
        <v>17</v>
      </c>
    </row>
    <row r="86" spans="1:24" x14ac:dyDescent="0.25">
      <c r="A86">
        <v>2</v>
      </c>
      <c r="C86" s="58">
        <v>2</v>
      </c>
      <c r="D86" s="55">
        <v>0</v>
      </c>
      <c r="H86" s="58">
        <v>2</v>
      </c>
      <c r="I86" s="55">
        <v>10</v>
      </c>
      <c r="M86" s="58">
        <v>2</v>
      </c>
      <c r="N86" s="55">
        <v>1</v>
      </c>
      <c r="R86" s="58">
        <v>2</v>
      </c>
      <c r="S86" s="55">
        <v>0</v>
      </c>
      <c r="W86" s="58">
        <v>2</v>
      </c>
      <c r="X86" s="55">
        <v>1</v>
      </c>
    </row>
    <row r="87" spans="1:24" x14ac:dyDescent="0.25">
      <c r="A87">
        <v>4</v>
      </c>
      <c r="C87" s="58">
        <v>4</v>
      </c>
      <c r="D87" s="55">
        <v>1</v>
      </c>
      <c r="H87" s="58">
        <v>4</v>
      </c>
      <c r="I87" s="55">
        <v>5</v>
      </c>
      <c r="M87" s="58">
        <v>4</v>
      </c>
      <c r="N87" s="55">
        <v>8</v>
      </c>
      <c r="R87" s="58">
        <v>4</v>
      </c>
      <c r="S87" s="55">
        <v>3</v>
      </c>
      <c r="W87" s="58">
        <v>4</v>
      </c>
      <c r="X87" s="55">
        <v>3</v>
      </c>
    </row>
    <row r="88" spans="1:24" x14ac:dyDescent="0.25">
      <c r="A88">
        <v>6</v>
      </c>
      <c r="C88" s="58">
        <v>6</v>
      </c>
      <c r="D88" s="55">
        <v>0</v>
      </c>
      <c r="H88" s="58">
        <v>6</v>
      </c>
      <c r="I88" s="55">
        <v>4</v>
      </c>
      <c r="M88" s="58">
        <v>6</v>
      </c>
      <c r="N88" s="55">
        <v>0</v>
      </c>
      <c r="R88" s="58">
        <v>6</v>
      </c>
      <c r="S88" s="55">
        <v>0</v>
      </c>
      <c r="W88" s="58">
        <v>6</v>
      </c>
      <c r="X88" s="55">
        <v>0</v>
      </c>
    </row>
    <row r="89" spans="1:24" x14ac:dyDescent="0.25">
      <c r="A89">
        <v>8</v>
      </c>
      <c r="C89" s="58">
        <v>8</v>
      </c>
      <c r="D89" s="55">
        <v>5</v>
      </c>
      <c r="H89" s="58">
        <v>8</v>
      </c>
      <c r="I89" s="55">
        <v>0</v>
      </c>
      <c r="M89" s="58">
        <v>8</v>
      </c>
      <c r="N89" s="55">
        <v>3</v>
      </c>
      <c r="R89" s="58">
        <v>8</v>
      </c>
      <c r="S89" s="55">
        <v>3</v>
      </c>
      <c r="W89" s="58">
        <v>8</v>
      </c>
      <c r="X89" s="55">
        <v>3</v>
      </c>
    </row>
    <row r="90" spans="1:24" x14ac:dyDescent="0.25">
      <c r="A90">
        <v>10</v>
      </c>
      <c r="C90" s="58">
        <v>10</v>
      </c>
      <c r="D90" s="55">
        <v>0</v>
      </c>
      <c r="H90" s="58">
        <v>10</v>
      </c>
      <c r="I90" s="55">
        <v>0</v>
      </c>
      <c r="M90" s="58">
        <v>10</v>
      </c>
      <c r="N90" s="55">
        <v>0</v>
      </c>
      <c r="R90" s="58">
        <v>10</v>
      </c>
      <c r="S90" s="55">
        <v>0</v>
      </c>
      <c r="W90" s="58">
        <v>10</v>
      </c>
      <c r="X90" s="55">
        <v>0</v>
      </c>
    </row>
    <row r="91" spans="1:24" x14ac:dyDescent="0.25">
      <c r="A91">
        <v>12</v>
      </c>
      <c r="C91" s="58">
        <v>12</v>
      </c>
      <c r="D91" s="55">
        <v>5</v>
      </c>
      <c r="H91" s="58">
        <v>12</v>
      </c>
      <c r="I91" s="55">
        <v>0</v>
      </c>
      <c r="M91" s="58">
        <v>12</v>
      </c>
      <c r="N91" s="55">
        <v>2</v>
      </c>
      <c r="R91" s="58">
        <v>12</v>
      </c>
      <c r="S91" s="55">
        <v>6</v>
      </c>
      <c r="W91" s="58">
        <v>12</v>
      </c>
      <c r="X91" s="55">
        <v>0</v>
      </c>
    </row>
    <row r="92" spans="1:24" x14ac:dyDescent="0.25">
      <c r="A92">
        <v>14</v>
      </c>
      <c r="C92" s="58">
        <v>14</v>
      </c>
      <c r="D92" s="55">
        <v>0</v>
      </c>
      <c r="H92" s="58">
        <v>14</v>
      </c>
      <c r="I92" s="55">
        <v>0</v>
      </c>
      <c r="M92" s="58">
        <v>14</v>
      </c>
      <c r="N92" s="55">
        <v>0</v>
      </c>
      <c r="R92" s="58">
        <v>14</v>
      </c>
      <c r="S92" s="55">
        <v>0</v>
      </c>
      <c r="W92" s="58">
        <v>14</v>
      </c>
      <c r="X92" s="55">
        <v>0</v>
      </c>
    </row>
    <row r="93" spans="1:24" x14ac:dyDescent="0.25">
      <c r="A93">
        <v>16</v>
      </c>
      <c r="C93" s="58">
        <v>16</v>
      </c>
      <c r="D93" s="55">
        <v>2</v>
      </c>
      <c r="H93" s="58">
        <v>16</v>
      </c>
      <c r="I93" s="55">
        <v>0</v>
      </c>
      <c r="M93" s="58">
        <v>16</v>
      </c>
      <c r="N93" s="55">
        <v>1</v>
      </c>
      <c r="R93" s="58">
        <v>16</v>
      </c>
      <c r="S93" s="55">
        <v>5</v>
      </c>
      <c r="W93" s="58">
        <v>16</v>
      </c>
      <c r="X93" s="55">
        <v>0</v>
      </c>
    </row>
    <row r="94" spans="1:24" x14ac:dyDescent="0.25">
      <c r="A94">
        <v>18</v>
      </c>
      <c r="C94" s="58">
        <v>18</v>
      </c>
      <c r="D94" s="55">
        <v>1</v>
      </c>
      <c r="H94" s="58">
        <v>18</v>
      </c>
      <c r="I94" s="55">
        <v>0</v>
      </c>
      <c r="M94" s="58">
        <v>18</v>
      </c>
      <c r="N94" s="55">
        <v>0</v>
      </c>
      <c r="R94" s="58">
        <v>18</v>
      </c>
      <c r="S94" s="55">
        <v>0</v>
      </c>
      <c r="W94" s="58">
        <v>18</v>
      </c>
      <c r="X94" s="55">
        <v>0</v>
      </c>
    </row>
    <row r="95" spans="1:24" x14ac:dyDescent="0.25">
      <c r="A95">
        <v>20</v>
      </c>
      <c r="C95" s="58">
        <v>20</v>
      </c>
      <c r="D95" s="55">
        <v>1</v>
      </c>
      <c r="H95" s="58">
        <v>20</v>
      </c>
      <c r="I95" s="55">
        <v>0</v>
      </c>
      <c r="M95" s="58">
        <v>20</v>
      </c>
      <c r="N95" s="55">
        <v>1</v>
      </c>
      <c r="R95" s="58">
        <v>20</v>
      </c>
      <c r="S95" s="55">
        <v>1</v>
      </c>
      <c r="W95" s="58">
        <v>20</v>
      </c>
      <c r="X95" s="55">
        <v>0</v>
      </c>
    </row>
    <row r="96" spans="1:24" x14ac:dyDescent="0.25">
      <c r="A96">
        <v>22</v>
      </c>
      <c r="C96" s="58">
        <v>22</v>
      </c>
      <c r="D96" s="55">
        <v>0</v>
      </c>
      <c r="H96" s="58">
        <v>22</v>
      </c>
      <c r="I96" s="55">
        <v>0</v>
      </c>
      <c r="M96" s="58">
        <v>22</v>
      </c>
      <c r="N96" s="55">
        <v>0</v>
      </c>
      <c r="R96" s="58">
        <v>22</v>
      </c>
      <c r="S96" s="55">
        <v>0</v>
      </c>
      <c r="W96" s="58">
        <v>22</v>
      </c>
      <c r="X96" s="55">
        <v>0</v>
      </c>
    </row>
    <row r="97" spans="1:24" x14ac:dyDescent="0.25">
      <c r="A97">
        <v>24</v>
      </c>
      <c r="C97" s="58">
        <v>24</v>
      </c>
      <c r="D97" s="55">
        <v>0</v>
      </c>
      <c r="H97" s="58">
        <v>24</v>
      </c>
      <c r="I97" s="55">
        <v>0</v>
      </c>
      <c r="M97" s="58">
        <v>24</v>
      </c>
      <c r="N97" s="55">
        <v>0</v>
      </c>
      <c r="R97" s="58">
        <v>24</v>
      </c>
      <c r="S97" s="55">
        <v>1</v>
      </c>
      <c r="W97" s="58">
        <v>24</v>
      </c>
      <c r="X97" s="55">
        <v>0</v>
      </c>
    </row>
    <row r="98" spans="1:24" x14ac:dyDescent="0.25">
      <c r="A98">
        <v>26</v>
      </c>
      <c r="C98" s="58">
        <v>26</v>
      </c>
      <c r="D98" s="55">
        <v>0</v>
      </c>
      <c r="H98" s="58">
        <v>26</v>
      </c>
      <c r="I98" s="55">
        <v>0</v>
      </c>
      <c r="M98" s="58">
        <v>26</v>
      </c>
      <c r="N98" s="55">
        <v>0</v>
      </c>
      <c r="R98" s="58">
        <v>26</v>
      </c>
      <c r="S98" s="55">
        <v>0</v>
      </c>
      <c r="W98" s="58">
        <v>26</v>
      </c>
      <c r="X98" s="55">
        <v>0</v>
      </c>
    </row>
    <row r="99" spans="1:24" x14ac:dyDescent="0.25">
      <c r="A99">
        <v>28</v>
      </c>
      <c r="C99" s="58">
        <v>28</v>
      </c>
      <c r="D99" s="55">
        <v>0</v>
      </c>
      <c r="H99" s="58">
        <v>28</v>
      </c>
      <c r="I99" s="55">
        <v>0</v>
      </c>
      <c r="M99" s="58">
        <v>28</v>
      </c>
      <c r="N99" s="55">
        <v>0</v>
      </c>
      <c r="R99" s="58">
        <v>28</v>
      </c>
      <c r="S99" s="55">
        <v>0</v>
      </c>
      <c r="W99" s="58">
        <v>28</v>
      </c>
      <c r="X99" s="55">
        <v>0</v>
      </c>
    </row>
    <row r="100" spans="1:24" ht="15.75" thickBot="1" x14ac:dyDescent="0.3">
      <c r="C100" s="56" t="s">
        <v>16</v>
      </c>
      <c r="D100" s="56">
        <v>0</v>
      </c>
      <c r="H100" s="56" t="s">
        <v>16</v>
      </c>
      <c r="I100" s="56">
        <v>0</v>
      </c>
      <c r="M100" s="56" t="s">
        <v>16</v>
      </c>
      <c r="N100" s="56">
        <v>0</v>
      </c>
      <c r="R100" s="56" t="s">
        <v>16</v>
      </c>
      <c r="S100" s="56">
        <v>1</v>
      </c>
      <c r="W100" s="56" t="s">
        <v>16</v>
      </c>
      <c r="X100" s="56">
        <v>0</v>
      </c>
    </row>
  </sheetData>
  <sortState ref="H86:H99">
    <sortCondition ref="H86"/>
  </sortState>
  <mergeCells count="5">
    <mergeCell ref="C1:G1"/>
    <mergeCell ref="H1:L1"/>
    <mergeCell ref="M1:Q1"/>
    <mergeCell ref="R1:V1"/>
    <mergeCell ref="C80:G8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8"/>
  <sheetViews>
    <sheetView workbookViewId="0">
      <selection activeCell="K52" sqref="A1:K52"/>
    </sheetView>
  </sheetViews>
  <sheetFormatPr defaultRowHeight="15" x14ac:dyDescent="0.25"/>
  <sheetData>
    <row r="1" spans="1:6" x14ac:dyDescent="0.25">
      <c r="A1" s="1"/>
      <c r="B1" s="91">
        <v>1</v>
      </c>
      <c r="C1" s="91">
        <v>2</v>
      </c>
      <c r="D1" s="91">
        <v>3</v>
      </c>
      <c r="E1" s="91">
        <v>4</v>
      </c>
      <c r="F1" s="91">
        <v>5</v>
      </c>
    </row>
    <row r="2" spans="1:6" x14ac:dyDescent="0.25">
      <c r="A2" s="91">
        <v>1</v>
      </c>
      <c r="B2" s="88">
        <v>0</v>
      </c>
      <c r="C2" s="88">
        <f>3*12.42/6.62</f>
        <v>5.6283987915407847</v>
      </c>
      <c r="D2" s="88">
        <v>0</v>
      </c>
      <c r="E2" s="88">
        <f>12+7+1</f>
        <v>20</v>
      </c>
      <c r="F2" s="88">
        <v>0</v>
      </c>
    </row>
    <row r="3" spans="1:6" x14ac:dyDescent="0.25">
      <c r="A3" s="91">
        <v>2</v>
      </c>
      <c r="B3" s="88">
        <v>0</v>
      </c>
      <c r="C3" s="88">
        <v>0</v>
      </c>
      <c r="D3" s="88">
        <v>4</v>
      </c>
      <c r="E3" s="88">
        <v>0</v>
      </c>
      <c r="F3" s="88">
        <v>8</v>
      </c>
    </row>
    <row r="4" spans="1:6" x14ac:dyDescent="0.25">
      <c r="A4" s="91">
        <v>3</v>
      </c>
      <c r="B4" s="88">
        <f>5+12</f>
        <v>17</v>
      </c>
      <c r="C4" s="88">
        <f>1*12.42/6.62+27/6.62</f>
        <v>5.954682779456193</v>
      </c>
      <c r="D4" s="88">
        <v>0</v>
      </c>
      <c r="E4" s="88">
        <v>0</v>
      </c>
      <c r="F4" s="88">
        <v>4</v>
      </c>
    </row>
    <row r="5" spans="1:6" x14ac:dyDescent="0.25">
      <c r="A5" s="91">
        <v>4</v>
      </c>
      <c r="B5" s="88">
        <v>0</v>
      </c>
      <c r="C5" s="88">
        <f>2*12.42/6.62</f>
        <v>3.7522658610271904</v>
      </c>
      <c r="D5" s="88">
        <v>0</v>
      </c>
      <c r="E5" s="88">
        <f>4+28+8</f>
        <v>40</v>
      </c>
      <c r="F5" s="88">
        <v>8</v>
      </c>
    </row>
    <row r="6" spans="1:6" x14ac:dyDescent="0.25">
      <c r="A6" s="91">
        <v>5</v>
      </c>
      <c r="B6" s="88">
        <v>16</v>
      </c>
      <c r="C6" s="88">
        <v>0</v>
      </c>
      <c r="D6" s="88">
        <v>0</v>
      </c>
      <c r="E6" s="88">
        <v>12</v>
      </c>
      <c r="F6" s="88">
        <v>0</v>
      </c>
    </row>
    <row r="7" spans="1:6" x14ac:dyDescent="0.25">
      <c r="A7" s="91">
        <v>6</v>
      </c>
      <c r="B7" s="88">
        <v>12</v>
      </c>
      <c r="C7" s="88">
        <f>27/6.62</f>
        <v>4.0785498489425978</v>
      </c>
      <c r="D7" s="88">
        <v>4</v>
      </c>
      <c r="E7" s="88">
        <f>8+4</f>
        <v>12</v>
      </c>
      <c r="F7" s="88">
        <v>0</v>
      </c>
    </row>
    <row r="8" spans="1:6" x14ac:dyDescent="0.25">
      <c r="A8" s="91">
        <v>7</v>
      </c>
      <c r="B8" s="88">
        <v>0</v>
      </c>
      <c r="C8" s="88">
        <f>1*12.42/6.62</f>
        <v>1.8761329305135952</v>
      </c>
      <c r="D8" s="88">
        <v>8</v>
      </c>
      <c r="E8" s="88">
        <f>4+8</f>
        <v>12</v>
      </c>
      <c r="F8" s="88">
        <v>0</v>
      </c>
    </row>
    <row r="9" spans="1:6" x14ac:dyDescent="0.25">
      <c r="A9" s="91">
        <v>8</v>
      </c>
      <c r="B9" s="88">
        <v>12</v>
      </c>
      <c r="C9" s="88">
        <f>1*12.42/6.62</f>
        <v>1.8761329305135952</v>
      </c>
      <c r="D9" s="88">
        <v>4</v>
      </c>
      <c r="E9" s="88">
        <f>4+12</f>
        <v>16</v>
      </c>
      <c r="F9" s="88">
        <v>0</v>
      </c>
    </row>
    <row r="10" spans="1:6" x14ac:dyDescent="0.25">
      <c r="A10" s="91">
        <v>9</v>
      </c>
      <c r="B10" s="88">
        <v>12</v>
      </c>
      <c r="C10" s="88">
        <f>3*12.42/6.62</f>
        <v>5.6283987915407847</v>
      </c>
      <c r="D10" s="88">
        <v>0</v>
      </c>
      <c r="E10" s="88">
        <v>4</v>
      </c>
      <c r="F10" s="88">
        <v>0</v>
      </c>
    </row>
    <row r="11" spans="1:6" x14ac:dyDescent="0.25">
      <c r="A11" s="91">
        <v>10</v>
      </c>
      <c r="B11" s="88">
        <v>0</v>
      </c>
      <c r="C11" s="88">
        <f>2*12.42/6.62</f>
        <v>3.7522658610271904</v>
      </c>
      <c r="D11" s="88">
        <v>0</v>
      </c>
      <c r="E11" s="88">
        <f>4+8</f>
        <v>12</v>
      </c>
      <c r="F11" s="88">
        <v>0</v>
      </c>
    </row>
    <row r="12" spans="1:6" x14ac:dyDescent="0.25">
      <c r="A12" s="91">
        <v>11</v>
      </c>
      <c r="B12" s="88">
        <v>0</v>
      </c>
      <c r="C12" s="88">
        <v>0</v>
      </c>
      <c r="D12" s="88">
        <v>0</v>
      </c>
      <c r="E12" s="88">
        <f>8+8</f>
        <v>16</v>
      </c>
      <c r="F12" s="88">
        <v>0</v>
      </c>
    </row>
    <row r="13" spans="1:6" x14ac:dyDescent="0.25">
      <c r="A13" s="91">
        <v>12</v>
      </c>
      <c r="B13" s="88">
        <v>0</v>
      </c>
      <c r="C13" s="88">
        <f>1*12.42/6.62</f>
        <v>1.8761329305135952</v>
      </c>
      <c r="D13" s="88">
        <f>4+12</f>
        <v>16</v>
      </c>
      <c r="E13" s="88">
        <f>4+4+16</f>
        <v>24</v>
      </c>
      <c r="F13" s="88">
        <v>0</v>
      </c>
    </row>
    <row r="14" spans="1:6" x14ac:dyDescent="0.25">
      <c r="A14" s="91">
        <v>13</v>
      </c>
      <c r="B14" s="88">
        <v>12</v>
      </c>
      <c r="C14" s="88">
        <v>0</v>
      </c>
      <c r="D14" s="88">
        <v>0</v>
      </c>
      <c r="E14" s="88">
        <f>4+8</f>
        <v>12</v>
      </c>
      <c r="F14" s="88">
        <v>0</v>
      </c>
    </row>
    <row r="15" spans="1:6" x14ac:dyDescent="0.25">
      <c r="A15" s="91">
        <v>14</v>
      </c>
      <c r="B15" s="88">
        <v>0</v>
      </c>
      <c r="C15" s="88">
        <v>0</v>
      </c>
      <c r="D15" s="88">
        <v>0</v>
      </c>
      <c r="E15" s="88">
        <v>0</v>
      </c>
      <c r="F15" s="88">
        <v>0</v>
      </c>
    </row>
    <row r="16" spans="1:6" x14ac:dyDescent="0.25">
      <c r="A16" s="91">
        <v>15</v>
      </c>
      <c r="B16" s="88">
        <v>12</v>
      </c>
      <c r="C16" s="88">
        <f>1*12.42/6.62</f>
        <v>1.8761329305135952</v>
      </c>
      <c r="D16" s="88">
        <v>0</v>
      </c>
      <c r="E16" s="88">
        <v>4</v>
      </c>
      <c r="F16" s="88">
        <v>0</v>
      </c>
    </row>
    <row r="17" spans="1:6" x14ac:dyDescent="0.25">
      <c r="A17" s="91">
        <v>16</v>
      </c>
      <c r="B17" s="88">
        <v>8</v>
      </c>
      <c r="C17" s="88">
        <f>1*12.42/6.62</f>
        <v>1.8761329305135952</v>
      </c>
      <c r="D17" s="88">
        <v>4</v>
      </c>
      <c r="E17" s="88">
        <f>4+8</f>
        <v>12</v>
      </c>
      <c r="F17" s="88">
        <v>0</v>
      </c>
    </row>
    <row r="18" spans="1:6" x14ac:dyDescent="0.25">
      <c r="A18" s="24">
        <v>17</v>
      </c>
      <c r="B18" s="89">
        <v>0</v>
      </c>
      <c r="C18" s="90">
        <v>0</v>
      </c>
      <c r="D18" s="90">
        <v>4</v>
      </c>
      <c r="E18" s="90">
        <f>4+4</f>
        <v>8</v>
      </c>
      <c r="F18" s="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8"/>
  <sheetViews>
    <sheetView workbookViewId="0">
      <selection activeCell="Q20" sqref="Q20"/>
    </sheetView>
  </sheetViews>
  <sheetFormatPr defaultRowHeight="15" x14ac:dyDescent="0.25"/>
  <cols>
    <col min="1" max="1" width="5.85546875" customWidth="1"/>
    <col min="2" max="2" width="6.42578125" customWidth="1"/>
    <col min="3" max="3" width="7.140625" customWidth="1"/>
    <col min="4" max="4" width="5.42578125" customWidth="1"/>
    <col min="5" max="5" width="6" customWidth="1"/>
    <col min="6" max="6" width="7.85546875" customWidth="1"/>
    <col min="7" max="7" width="7.140625" customWidth="1"/>
    <col min="8" max="8" width="13" customWidth="1"/>
    <col min="9" max="10" width="12" customWidth="1"/>
    <col min="11" max="11" width="11.7109375" customWidth="1"/>
    <col min="12" max="12" width="10.5703125" customWidth="1"/>
    <col min="13" max="17" width="7.140625" customWidth="1"/>
  </cols>
  <sheetData>
    <row r="1" spans="1:20" x14ac:dyDescent="0.25">
      <c r="C1" t="s">
        <v>25</v>
      </c>
      <c r="H1" s="182" t="s">
        <v>26</v>
      </c>
      <c r="I1" s="182"/>
      <c r="J1" s="182"/>
      <c r="K1" s="182"/>
      <c r="L1" s="182"/>
      <c r="M1" s="182" t="s">
        <v>27</v>
      </c>
      <c r="N1" s="182"/>
      <c r="O1" s="182"/>
      <c r="P1" s="182"/>
      <c r="Q1" s="182"/>
    </row>
    <row r="2" spans="1:20" x14ac:dyDescent="0.25">
      <c r="A2" s="1"/>
      <c r="B2" s="91">
        <v>1</v>
      </c>
      <c r="C2" s="91">
        <v>2</v>
      </c>
      <c r="D2" s="91">
        <v>3</v>
      </c>
      <c r="E2" s="91">
        <v>4</v>
      </c>
      <c r="F2" s="91">
        <v>5</v>
      </c>
      <c r="G2" s="91"/>
      <c r="H2" s="91">
        <v>1</v>
      </c>
      <c r="I2" s="91">
        <v>2</v>
      </c>
      <c r="J2" s="91">
        <v>3</v>
      </c>
      <c r="K2" s="91">
        <v>4</v>
      </c>
      <c r="L2" s="91">
        <v>5</v>
      </c>
      <c r="M2" s="91">
        <v>1</v>
      </c>
      <c r="N2" s="91">
        <v>2</v>
      </c>
      <c r="O2" s="91">
        <v>3</v>
      </c>
      <c r="P2" s="91">
        <v>4</v>
      </c>
      <c r="Q2" s="91">
        <v>5</v>
      </c>
    </row>
    <row r="3" spans="1:20" x14ac:dyDescent="0.25">
      <c r="A3" s="91">
        <v>0</v>
      </c>
      <c r="B3" s="91"/>
      <c r="C3" s="91"/>
      <c r="D3" s="91"/>
      <c r="E3" s="91"/>
      <c r="F3" s="91"/>
      <c r="G3" s="91">
        <v>0</v>
      </c>
      <c r="H3" s="88">
        <f>SUM(B4:B20)</f>
        <v>101</v>
      </c>
      <c r="I3" s="88">
        <f>SUM(C4:C20)</f>
        <v>38.17522658610271</v>
      </c>
      <c r="J3" s="88">
        <f>SUM(D4:D20)</f>
        <v>44</v>
      </c>
      <c r="K3" s="88">
        <f>SUM(E4:E20)</f>
        <v>204</v>
      </c>
      <c r="L3" s="88">
        <f>SUM(F4:F20)</f>
        <v>20</v>
      </c>
      <c r="M3" s="138">
        <f>H3*'Sheet1 (2)'!C$83</f>
        <v>174.67950000000002</v>
      </c>
      <c r="N3" s="138">
        <f>I3*'Sheet1 (2)'!D$83</f>
        <v>72.475667673716003</v>
      </c>
      <c r="O3" s="138">
        <f>J3*'Sheet1 (2)'!E$83</f>
        <v>86.328000000000003</v>
      </c>
      <c r="P3" s="138">
        <f>K3*'Sheet1 (2)'!F$83</f>
        <v>390.66</v>
      </c>
      <c r="Q3" s="138">
        <f>L3*'Sheet1 (2)'!G$83</f>
        <v>41.07</v>
      </c>
      <c r="S3" s="67" t="s">
        <v>34</v>
      </c>
      <c r="T3" s="67">
        <f>SUM(H3:L3)</f>
        <v>407.17522658610272</v>
      </c>
    </row>
    <row r="4" spans="1:20" x14ac:dyDescent="0.25">
      <c r="A4" s="91">
        <v>1</v>
      </c>
      <c r="B4" s="88">
        <v>0</v>
      </c>
      <c r="C4" s="88">
        <f>3*12.42/6.62</f>
        <v>5.6283987915407847</v>
      </c>
      <c r="D4" s="88">
        <v>0</v>
      </c>
      <c r="E4" s="88">
        <f>12+7+1</f>
        <v>20</v>
      </c>
      <c r="F4" s="88">
        <v>0</v>
      </c>
      <c r="G4" s="91">
        <v>1</v>
      </c>
      <c r="H4" s="139">
        <f>H3-B4</f>
        <v>101</v>
      </c>
      <c r="I4" s="139">
        <f>I3-C4</f>
        <v>32.546827794561928</v>
      </c>
      <c r="J4" s="139">
        <f>J3-D4</f>
        <v>44</v>
      </c>
      <c r="K4" s="139">
        <f>K3-E4</f>
        <v>184</v>
      </c>
      <c r="L4" s="139">
        <f>L3-F4</f>
        <v>20</v>
      </c>
      <c r="M4" s="138">
        <f>H4*'Sheet1 (2)'!C$83</f>
        <v>174.67950000000002</v>
      </c>
      <c r="N4" s="138">
        <f>I4*'Sheet1 (2)'!D$83</f>
        <v>61.790152567975824</v>
      </c>
      <c r="O4" s="138">
        <f>J4*'Sheet1 (2)'!E$83</f>
        <v>86.328000000000003</v>
      </c>
      <c r="P4" s="138">
        <f>K4*'Sheet1 (2)'!F$83</f>
        <v>352.36</v>
      </c>
      <c r="Q4" s="138">
        <f>L4*'Sheet1 (2)'!G$83</f>
        <v>41.07</v>
      </c>
      <c r="S4" t="s">
        <v>33</v>
      </c>
      <c r="T4">
        <f>T3/4</f>
        <v>101.79380664652568</v>
      </c>
    </row>
    <row r="5" spans="1:20" x14ac:dyDescent="0.25">
      <c r="A5" s="91">
        <v>2</v>
      </c>
      <c r="B5" s="88">
        <v>0</v>
      </c>
      <c r="C5" s="88">
        <v>0</v>
      </c>
      <c r="D5" s="88">
        <v>4</v>
      </c>
      <c r="E5" s="88">
        <v>0</v>
      </c>
      <c r="F5" s="88">
        <v>8</v>
      </c>
      <c r="G5" s="91">
        <v>2</v>
      </c>
      <c r="H5" s="139">
        <f t="shared" ref="H5:H19" si="0">H4-B5</f>
        <v>101</v>
      </c>
      <c r="I5" s="139">
        <f t="shared" ref="I5:I20" si="1">I4-C5</f>
        <v>32.546827794561928</v>
      </c>
      <c r="J5" s="139">
        <f t="shared" ref="J5:J20" si="2">J4-D5</f>
        <v>40</v>
      </c>
      <c r="K5" s="139">
        <f t="shared" ref="K5:K20" si="3">K4-E5</f>
        <v>184</v>
      </c>
      <c r="L5" s="139">
        <f t="shared" ref="L5:L20" si="4">L4-F5</f>
        <v>12</v>
      </c>
      <c r="M5" s="138">
        <f>H5*'Sheet1 (2)'!C$83</f>
        <v>174.67950000000002</v>
      </c>
      <c r="N5" s="138">
        <f>I5*'Sheet1 (2)'!D$83</f>
        <v>61.790152567975824</v>
      </c>
      <c r="O5" s="138">
        <f>J5*'Sheet1 (2)'!E$83</f>
        <v>78.48</v>
      </c>
      <c r="P5" s="138">
        <f>K5*'Sheet1 (2)'!F$83</f>
        <v>352.36</v>
      </c>
      <c r="Q5" s="138">
        <f>L5*'Sheet1 (2)'!G$83</f>
        <v>24.642000000000003</v>
      </c>
    </row>
    <row r="6" spans="1:20" x14ac:dyDescent="0.25">
      <c r="A6" s="91">
        <v>3</v>
      </c>
      <c r="B6" s="88">
        <f>5+12</f>
        <v>17</v>
      </c>
      <c r="C6" s="88">
        <f>1*12.42/6.62+27/6.62</f>
        <v>5.954682779456193</v>
      </c>
      <c r="D6" s="88">
        <v>0</v>
      </c>
      <c r="E6" s="88">
        <v>0</v>
      </c>
      <c r="F6" s="88">
        <v>4</v>
      </c>
      <c r="G6" s="91">
        <v>3</v>
      </c>
      <c r="H6" s="139">
        <f t="shared" si="0"/>
        <v>84</v>
      </c>
      <c r="I6" s="139">
        <f t="shared" si="1"/>
        <v>26.592145015105736</v>
      </c>
      <c r="J6" s="139">
        <f t="shared" si="2"/>
        <v>40</v>
      </c>
      <c r="K6" s="139">
        <f t="shared" si="3"/>
        <v>184</v>
      </c>
      <c r="L6" s="139">
        <f t="shared" si="4"/>
        <v>8</v>
      </c>
      <c r="M6" s="138">
        <f>H6*'Sheet1 (2)'!C$83</f>
        <v>145.27800000000002</v>
      </c>
      <c r="N6" s="138">
        <f>I6*'Sheet1 (2)'!D$83</f>
        <v>50.485187311178244</v>
      </c>
      <c r="O6" s="138">
        <f>J6*'Sheet1 (2)'!E$83</f>
        <v>78.48</v>
      </c>
      <c r="P6" s="138">
        <f>K6*'Sheet1 (2)'!F$83</f>
        <v>352.36</v>
      </c>
      <c r="Q6" s="138">
        <f>L6*'Sheet1 (2)'!G$83</f>
        <v>16.428000000000001</v>
      </c>
    </row>
    <row r="7" spans="1:20" x14ac:dyDescent="0.25">
      <c r="A7" s="91">
        <v>4</v>
      </c>
      <c r="B7" s="88">
        <v>0</v>
      </c>
      <c r="C7" s="88">
        <f>2*12.42/6.62</f>
        <v>3.7522658610271904</v>
      </c>
      <c r="D7" s="88">
        <v>0</v>
      </c>
      <c r="E7" s="88">
        <f>4+28+8</f>
        <v>40</v>
      </c>
      <c r="F7" s="88">
        <v>8</v>
      </c>
      <c r="G7" s="91">
        <v>4</v>
      </c>
      <c r="H7" s="139">
        <f t="shared" si="0"/>
        <v>84</v>
      </c>
      <c r="I7" s="139">
        <f t="shared" si="1"/>
        <v>22.839879154078545</v>
      </c>
      <c r="J7" s="139">
        <f t="shared" si="2"/>
        <v>40</v>
      </c>
      <c r="K7" s="139">
        <f t="shared" si="3"/>
        <v>144</v>
      </c>
      <c r="L7" s="139">
        <f t="shared" si="4"/>
        <v>0</v>
      </c>
      <c r="M7" s="138">
        <f>H7*'Sheet1 (2)'!C$83</f>
        <v>145.27800000000002</v>
      </c>
      <c r="N7" s="138">
        <f>I7*'Sheet1 (2)'!D$83</f>
        <v>43.361510574018119</v>
      </c>
      <c r="O7" s="138">
        <f>J7*'Sheet1 (2)'!E$83</f>
        <v>78.48</v>
      </c>
      <c r="P7" s="138">
        <f>K7*'Sheet1 (2)'!F$83</f>
        <v>275.76</v>
      </c>
      <c r="Q7" s="138">
        <f>L7*'Sheet1 (2)'!G$83</f>
        <v>0</v>
      </c>
    </row>
    <row r="8" spans="1:20" x14ac:dyDescent="0.25">
      <c r="A8" s="91">
        <v>5</v>
      </c>
      <c r="B8" s="88">
        <v>16</v>
      </c>
      <c r="C8" s="88">
        <v>0</v>
      </c>
      <c r="D8" s="88">
        <v>0</v>
      </c>
      <c r="E8" s="88">
        <v>12</v>
      </c>
      <c r="F8" s="88">
        <v>0</v>
      </c>
      <c r="G8" s="91">
        <v>5</v>
      </c>
      <c r="H8" s="139">
        <f t="shared" si="0"/>
        <v>68</v>
      </c>
      <c r="I8" s="139">
        <f t="shared" si="1"/>
        <v>22.839879154078545</v>
      </c>
      <c r="J8" s="139">
        <f t="shared" si="2"/>
        <v>40</v>
      </c>
      <c r="K8" s="139">
        <f t="shared" si="3"/>
        <v>132</v>
      </c>
      <c r="L8" s="139">
        <f t="shared" si="4"/>
        <v>0</v>
      </c>
      <c r="M8" s="138">
        <f>H8*'Sheet1 (2)'!C$83</f>
        <v>117.60600000000002</v>
      </c>
      <c r="N8" s="138">
        <f>I8*'Sheet1 (2)'!D$83</f>
        <v>43.361510574018119</v>
      </c>
      <c r="O8" s="138">
        <f>J8*'Sheet1 (2)'!E$83</f>
        <v>78.48</v>
      </c>
      <c r="P8" s="138">
        <f>K8*'Sheet1 (2)'!F$83</f>
        <v>252.78</v>
      </c>
      <c r="Q8" s="138">
        <f>L8*'Sheet1 (2)'!G$83</f>
        <v>0</v>
      </c>
    </row>
    <row r="9" spans="1:20" x14ac:dyDescent="0.25">
      <c r="A9" s="91">
        <v>6</v>
      </c>
      <c r="B9" s="88">
        <v>12</v>
      </c>
      <c r="C9" s="88">
        <f>27/6.62</f>
        <v>4.0785498489425978</v>
      </c>
      <c r="D9" s="88">
        <v>4</v>
      </c>
      <c r="E9" s="88">
        <f>8+4</f>
        <v>12</v>
      </c>
      <c r="F9" s="88">
        <v>0</v>
      </c>
      <c r="G9" s="91">
        <v>6</v>
      </c>
      <c r="H9" s="139">
        <f t="shared" si="0"/>
        <v>56</v>
      </c>
      <c r="I9" s="139">
        <f t="shared" si="1"/>
        <v>18.761329305135948</v>
      </c>
      <c r="J9" s="139">
        <f t="shared" si="2"/>
        <v>36</v>
      </c>
      <c r="K9" s="139">
        <f t="shared" si="3"/>
        <v>120</v>
      </c>
      <c r="L9" s="139">
        <f t="shared" si="4"/>
        <v>0</v>
      </c>
      <c r="M9" s="138">
        <f>H9*'Sheet1 (2)'!C$83</f>
        <v>96.852000000000018</v>
      </c>
      <c r="N9" s="138">
        <f>I9*'Sheet1 (2)'!D$83</f>
        <v>35.618383685800602</v>
      </c>
      <c r="O9" s="138">
        <f>J9*'Sheet1 (2)'!E$83</f>
        <v>70.632000000000005</v>
      </c>
      <c r="P9" s="138">
        <f>K9*'Sheet1 (2)'!F$83</f>
        <v>229.8</v>
      </c>
      <c r="Q9" s="138">
        <f>L9*'Sheet1 (2)'!G$83</f>
        <v>0</v>
      </c>
    </row>
    <row r="10" spans="1:20" x14ac:dyDescent="0.25">
      <c r="A10" s="91">
        <v>7</v>
      </c>
      <c r="B10" s="88">
        <v>0</v>
      </c>
      <c r="C10" s="88">
        <f>1*12.42/6.62</f>
        <v>1.8761329305135952</v>
      </c>
      <c r="D10" s="88">
        <v>8</v>
      </c>
      <c r="E10" s="88">
        <f>4+8</f>
        <v>12</v>
      </c>
      <c r="F10" s="88">
        <v>0</v>
      </c>
      <c r="G10" s="91">
        <v>7</v>
      </c>
      <c r="H10" s="139">
        <f t="shared" si="0"/>
        <v>56</v>
      </c>
      <c r="I10" s="139">
        <f t="shared" si="1"/>
        <v>16.885196374622353</v>
      </c>
      <c r="J10" s="139">
        <f t="shared" si="2"/>
        <v>28</v>
      </c>
      <c r="K10" s="139">
        <f t="shared" si="3"/>
        <v>108</v>
      </c>
      <c r="L10" s="139">
        <f t="shared" si="4"/>
        <v>0</v>
      </c>
      <c r="M10" s="138">
        <f>H10*'Sheet1 (2)'!C$83</f>
        <v>96.852000000000018</v>
      </c>
      <c r="N10" s="138">
        <f>I10*'Sheet1 (2)'!D$83</f>
        <v>32.056545317220539</v>
      </c>
      <c r="O10" s="138">
        <f>J10*'Sheet1 (2)'!E$83</f>
        <v>54.936000000000007</v>
      </c>
      <c r="P10" s="138">
        <f>K10*'Sheet1 (2)'!F$83</f>
        <v>206.82</v>
      </c>
      <c r="Q10" s="138">
        <f>L10*'Sheet1 (2)'!G$83</f>
        <v>0</v>
      </c>
    </row>
    <row r="11" spans="1:20" x14ac:dyDescent="0.25">
      <c r="A11" s="91">
        <v>8</v>
      </c>
      <c r="B11" s="88">
        <v>12</v>
      </c>
      <c r="C11" s="88">
        <f>1*12.42/6.62</f>
        <v>1.8761329305135952</v>
      </c>
      <c r="D11" s="88">
        <v>4</v>
      </c>
      <c r="E11" s="88">
        <f>4+12</f>
        <v>16</v>
      </c>
      <c r="F11" s="88">
        <v>0</v>
      </c>
      <c r="G11" s="91">
        <v>8</v>
      </c>
      <c r="H11" s="139">
        <f t="shared" si="0"/>
        <v>44</v>
      </c>
      <c r="I11" s="139">
        <f t="shared" si="1"/>
        <v>15.009063444108758</v>
      </c>
      <c r="J11" s="139">
        <f t="shared" si="2"/>
        <v>24</v>
      </c>
      <c r="K11" s="139">
        <f t="shared" si="3"/>
        <v>92</v>
      </c>
      <c r="L11" s="139">
        <f t="shared" si="4"/>
        <v>0</v>
      </c>
      <c r="M11" s="138">
        <f>H11*'Sheet1 (2)'!C$83</f>
        <v>76.098000000000013</v>
      </c>
      <c r="N11" s="138">
        <f>I11*'Sheet1 (2)'!D$83</f>
        <v>28.494706948640477</v>
      </c>
      <c r="O11" s="138">
        <f>J11*'Sheet1 (2)'!E$83</f>
        <v>47.088000000000008</v>
      </c>
      <c r="P11" s="138">
        <f>K11*'Sheet1 (2)'!F$83</f>
        <v>176.18</v>
      </c>
      <c r="Q11" s="138">
        <f>L11*'Sheet1 (2)'!G$83</f>
        <v>0</v>
      </c>
    </row>
    <row r="12" spans="1:20" x14ac:dyDescent="0.25">
      <c r="A12" s="91">
        <v>9</v>
      </c>
      <c r="B12" s="88">
        <v>12</v>
      </c>
      <c r="C12" s="88">
        <f>3*12.42/6.62</f>
        <v>5.6283987915407847</v>
      </c>
      <c r="D12" s="88">
        <v>0</v>
      </c>
      <c r="E12" s="88">
        <v>4</v>
      </c>
      <c r="F12" s="88">
        <v>0</v>
      </c>
      <c r="G12" s="91">
        <v>9</v>
      </c>
      <c r="H12" s="139">
        <f t="shared" si="0"/>
        <v>32</v>
      </c>
      <c r="I12" s="139">
        <f t="shared" si="1"/>
        <v>9.3806646525679724</v>
      </c>
      <c r="J12" s="139">
        <f t="shared" si="2"/>
        <v>24</v>
      </c>
      <c r="K12" s="139">
        <f t="shared" si="3"/>
        <v>88</v>
      </c>
      <c r="L12" s="139">
        <f t="shared" si="4"/>
        <v>0</v>
      </c>
      <c r="M12" s="138">
        <f>H12*'Sheet1 (2)'!C$83</f>
        <v>55.344000000000008</v>
      </c>
      <c r="N12" s="138">
        <f>I12*'Sheet1 (2)'!D$83</f>
        <v>17.809191842900297</v>
      </c>
      <c r="O12" s="138">
        <f>J12*'Sheet1 (2)'!E$83</f>
        <v>47.088000000000008</v>
      </c>
      <c r="P12" s="138">
        <f>K12*'Sheet1 (2)'!F$83</f>
        <v>168.52</v>
      </c>
      <c r="Q12" s="138">
        <f>L12*'Sheet1 (2)'!G$83</f>
        <v>0</v>
      </c>
    </row>
    <row r="13" spans="1:20" x14ac:dyDescent="0.25">
      <c r="A13" s="91">
        <v>10</v>
      </c>
      <c r="B13" s="88">
        <v>0</v>
      </c>
      <c r="C13" s="88">
        <f>2*12.42/6.62</f>
        <v>3.7522658610271904</v>
      </c>
      <c r="D13" s="88">
        <v>0</v>
      </c>
      <c r="E13" s="88">
        <f>4+8</f>
        <v>12</v>
      </c>
      <c r="F13" s="88">
        <v>0</v>
      </c>
      <c r="G13" s="91">
        <v>10</v>
      </c>
      <c r="H13" s="139">
        <f t="shared" si="0"/>
        <v>32</v>
      </c>
      <c r="I13" s="139">
        <f t="shared" si="1"/>
        <v>5.628398791540782</v>
      </c>
      <c r="J13" s="139">
        <f t="shared" si="2"/>
        <v>24</v>
      </c>
      <c r="K13" s="139">
        <f t="shared" si="3"/>
        <v>76</v>
      </c>
      <c r="L13" s="139">
        <f t="shared" si="4"/>
        <v>0</v>
      </c>
      <c r="M13" s="138">
        <f>H13*'Sheet1 (2)'!C$83</f>
        <v>55.344000000000008</v>
      </c>
      <c r="N13" s="138">
        <f>I13*'Sheet1 (2)'!D$83</f>
        <v>10.685515105740174</v>
      </c>
      <c r="O13" s="138">
        <f>J13*'Sheet1 (2)'!E$83</f>
        <v>47.088000000000008</v>
      </c>
      <c r="P13" s="138">
        <f>K13*'Sheet1 (2)'!F$83</f>
        <v>145.54</v>
      </c>
      <c r="Q13" s="138">
        <f>L13*'Sheet1 (2)'!G$83</f>
        <v>0</v>
      </c>
    </row>
    <row r="14" spans="1:20" x14ac:dyDescent="0.25">
      <c r="A14" s="91">
        <v>11</v>
      </c>
      <c r="B14" s="88">
        <v>0</v>
      </c>
      <c r="C14" s="88">
        <v>0</v>
      </c>
      <c r="D14" s="88">
        <v>0</v>
      </c>
      <c r="E14" s="88">
        <f>8+8</f>
        <v>16</v>
      </c>
      <c r="F14" s="88">
        <v>0</v>
      </c>
      <c r="G14" s="91">
        <v>11</v>
      </c>
      <c r="H14" s="139">
        <f t="shared" si="0"/>
        <v>32</v>
      </c>
      <c r="I14" s="139">
        <f t="shared" si="1"/>
        <v>5.628398791540782</v>
      </c>
      <c r="J14" s="139">
        <f t="shared" si="2"/>
        <v>24</v>
      </c>
      <c r="K14" s="139">
        <f t="shared" si="3"/>
        <v>60</v>
      </c>
      <c r="L14" s="139">
        <f t="shared" si="4"/>
        <v>0</v>
      </c>
      <c r="M14" s="138">
        <f>H14*'Sheet1 (2)'!C$83</f>
        <v>55.344000000000008</v>
      </c>
      <c r="N14" s="138">
        <f>I14*'Sheet1 (2)'!D$83</f>
        <v>10.685515105740174</v>
      </c>
      <c r="O14" s="138">
        <f>J14*'Sheet1 (2)'!E$83</f>
        <v>47.088000000000008</v>
      </c>
      <c r="P14" s="138">
        <f>K14*'Sheet1 (2)'!F$83</f>
        <v>114.9</v>
      </c>
      <c r="Q14" s="138">
        <f>L14*'Sheet1 (2)'!G$83</f>
        <v>0</v>
      </c>
    </row>
    <row r="15" spans="1:20" x14ac:dyDescent="0.25">
      <c r="A15" s="91">
        <v>12</v>
      </c>
      <c r="B15" s="88">
        <v>0</v>
      </c>
      <c r="C15" s="88">
        <f>1*12.42/6.62</f>
        <v>1.8761329305135952</v>
      </c>
      <c r="D15" s="88">
        <f>4+12</f>
        <v>16</v>
      </c>
      <c r="E15" s="88">
        <f>4+4+16</f>
        <v>24</v>
      </c>
      <c r="F15" s="88">
        <v>0</v>
      </c>
      <c r="G15" s="91">
        <v>12</v>
      </c>
      <c r="H15" s="139">
        <f t="shared" si="0"/>
        <v>32</v>
      </c>
      <c r="I15" s="139">
        <f t="shared" si="1"/>
        <v>3.7522658610271868</v>
      </c>
      <c r="J15" s="139">
        <f t="shared" si="2"/>
        <v>8</v>
      </c>
      <c r="K15" s="139">
        <f t="shared" si="3"/>
        <v>36</v>
      </c>
      <c r="L15" s="139">
        <f t="shared" si="4"/>
        <v>0</v>
      </c>
      <c r="M15" s="138">
        <f>H15*'Sheet1 (2)'!C$83</f>
        <v>55.344000000000008</v>
      </c>
      <c r="N15" s="138">
        <f>I15*'Sheet1 (2)'!D$83</f>
        <v>7.1236767371601148</v>
      </c>
      <c r="O15" s="138">
        <f>J15*'Sheet1 (2)'!E$83</f>
        <v>15.696000000000002</v>
      </c>
      <c r="P15" s="138">
        <f>K15*'Sheet1 (2)'!F$83</f>
        <v>68.94</v>
      </c>
      <c r="Q15" s="138">
        <f>L15*'Sheet1 (2)'!G$83</f>
        <v>0</v>
      </c>
    </row>
    <row r="16" spans="1:20" x14ac:dyDescent="0.25">
      <c r="A16" s="91">
        <v>13</v>
      </c>
      <c r="B16" s="88">
        <v>12</v>
      </c>
      <c r="C16" s="88">
        <v>0</v>
      </c>
      <c r="D16" s="88">
        <v>0</v>
      </c>
      <c r="E16" s="88">
        <f>4+8</f>
        <v>12</v>
      </c>
      <c r="F16" s="88">
        <v>0</v>
      </c>
      <c r="G16" s="91">
        <v>13</v>
      </c>
      <c r="H16" s="139">
        <f t="shared" si="0"/>
        <v>20</v>
      </c>
      <c r="I16" s="139">
        <f t="shared" si="1"/>
        <v>3.7522658610271868</v>
      </c>
      <c r="J16" s="139">
        <f t="shared" si="2"/>
        <v>8</v>
      </c>
      <c r="K16" s="139">
        <f t="shared" si="3"/>
        <v>24</v>
      </c>
      <c r="L16" s="139">
        <f t="shared" si="4"/>
        <v>0</v>
      </c>
      <c r="M16" s="138">
        <f>H16*'Sheet1 (2)'!C$83</f>
        <v>34.590000000000003</v>
      </c>
      <c r="N16" s="138">
        <f>I16*'Sheet1 (2)'!D$83</f>
        <v>7.1236767371601148</v>
      </c>
      <c r="O16" s="138">
        <f>J16*'Sheet1 (2)'!E$83</f>
        <v>15.696000000000002</v>
      </c>
      <c r="P16" s="138">
        <f>K16*'Sheet1 (2)'!F$83</f>
        <v>45.96</v>
      </c>
      <c r="Q16" s="138">
        <f>L16*'Sheet1 (2)'!G$83</f>
        <v>0</v>
      </c>
    </row>
    <row r="17" spans="1:17" x14ac:dyDescent="0.25">
      <c r="A17" s="91">
        <v>14</v>
      </c>
      <c r="B17" s="88">
        <v>0</v>
      </c>
      <c r="C17" s="88">
        <v>0</v>
      </c>
      <c r="D17" s="88">
        <v>0</v>
      </c>
      <c r="E17" s="88">
        <v>0</v>
      </c>
      <c r="F17" s="88">
        <v>0</v>
      </c>
      <c r="G17" s="91">
        <v>14</v>
      </c>
      <c r="H17" s="139">
        <f t="shared" si="0"/>
        <v>20</v>
      </c>
      <c r="I17" s="139">
        <f t="shared" si="1"/>
        <v>3.7522658610271868</v>
      </c>
      <c r="J17" s="139">
        <f t="shared" si="2"/>
        <v>8</v>
      </c>
      <c r="K17" s="139">
        <f t="shared" si="3"/>
        <v>24</v>
      </c>
      <c r="L17" s="139">
        <f t="shared" si="4"/>
        <v>0</v>
      </c>
      <c r="M17" s="138">
        <f>H17*'Sheet1 (2)'!C$83</f>
        <v>34.590000000000003</v>
      </c>
      <c r="N17" s="138">
        <f>I17*'Sheet1 (2)'!D$83</f>
        <v>7.1236767371601148</v>
      </c>
      <c r="O17" s="138">
        <f>J17*'Sheet1 (2)'!E$83</f>
        <v>15.696000000000002</v>
      </c>
      <c r="P17" s="138">
        <f>K17*'Sheet1 (2)'!F$83</f>
        <v>45.96</v>
      </c>
      <c r="Q17" s="138">
        <f>L17*'Sheet1 (2)'!G$83</f>
        <v>0</v>
      </c>
    </row>
    <row r="18" spans="1:17" x14ac:dyDescent="0.25">
      <c r="A18" s="91">
        <v>15</v>
      </c>
      <c r="B18" s="88">
        <v>12</v>
      </c>
      <c r="C18" s="88">
        <f>1*12.42/6.62</f>
        <v>1.8761329305135952</v>
      </c>
      <c r="D18" s="88">
        <v>0</v>
      </c>
      <c r="E18" s="88">
        <v>4</v>
      </c>
      <c r="F18" s="88">
        <v>0</v>
      </c>
      <c r="G18" s="91">
        <v>15</v>
      </c>
      <c r="H18" s="139">
        <f t="shared" si="0"/>
        <v>8</v>
      </c>
      <c r="I18" s="139">
        <f t="shared" si="1"/>
        <v>1.8761329305135916</v>
      </c>
      <c r="J18" s="139">
        <f t="shared" si="2"/>
        <v>8</v>
      </c>
      <c r="K18" s="139">
        <f t="shared" si="3"/>
        <v>20</v>
      </c>
      <c r="L18" s="139">
        <f t="shared" si="4"/>
        <v>0</v>
      </c>
      <c r="M18" s="138">
        <f>H18*'Sheet1 (2)'!C$83</f>
        <v>13.836000000000002</v>
      </c>
      <c r="N18" s="138">
        <f>I18*'Sheet1 (2)'!D$83</f>
        <v>3.5618383685800539</v>
      </c>
      <c r="O18" s="138">
        <f>J18*'Sheet1 (2)'!E$83</f>
        <v>15.696000000000002</v>
      </c>
      <c r="P18" s="138">
        <f>K18*'Sheet1 (2)'!F$83</f>
        <v>38.299999999999997</v>
      </c>
      <c r="Q18" s="138">
        <f>L18*'Sheet1 (2)'!G$83</f>
        <v>0</v>
      </c>
    </row>
    <row r="19" spans="1:17" x14ac:dyDescent="0.25">
      <c r="A19" s="91">
        <v>16</v>
      </c>
      <c r="B19" s="88">
        <v>8</v>
      </c>
      <c r="C19" s="88">
        <f>1*12.42/6.62</f>
        <v>1.8761329305135952</v>
      </c>
      <c r="D19" s="88">
        <v>4</v>
      </c>
      <c r="E19" s="88">
        <f>4+8</f>
        <v>12</v>
      </c>
      <c r="F19" s="88">
        <v>0</v>
      </c>
      <c r="G19" s="91">
        <v>16</v>
      </c>
      <c r="H19" s="139">
        <f t="shared" si="0"/>
        <v>0</v>
      </c>
      <c r="I19" s="139">
        <f t="shared" si="1"/>
        <v>-3.5527136788005009E-15</v>
      </c>
      <c r="J19" s="139">
        <f t="shared" si="2"/>
        <v>4</v>
      </c>
      <c r="K19" s="139">
        <f t="shared" si="3"/>
        <v>8</v>
      </c>
      <c r="L19" s="139">
        <f t="shared" si="4"/>
        <v>0</v>
      </c>
      <c r="M19" s="138">
        <f>H19*'Sheet1 (2)'!C$83</f>
        <v>0</v>
      </c>
      <c r="N19" s="138">
        <f>I19*'Sheet1 (2)'!D$83</f>
        <v>-6.7448269192027513E-15</v>
      </c>
      <c r="O19" s="138">
        <f>J19*'Sheet1 (2)'!E$83</f>
        <v>7.8480000000000008</v>
      </c>
      <c r="P19" s="138">
        <f>K19*'Sheet1 (2)'!F$83</f>
        <v>15.32</v>
      </c>
      <c r="Q19" s="138">
        <f>L19*'Sheet1 (2)'!G$83</f>
        <v>0</v>
      </c>
    </row>
    <row r="20" spans="1:17" x14ac:dyDescent="0.25">
      <c r="A20" s="24">
        <v>17</v>
      </c>
      <c r="B20" s="89">
        <v>0</v>
      </c>
      <c r="C20" s="90">
        <v>0</v>
      </c>
      <c r="D20" s="90">
        <v>4</v>
      </c>
      <c r="E20" s="90">
        <f>4+4</f>
        <v>8</v>
      </c>
      <c r="F20" s="88">
        <v>0</v>
      </c>
      <c r="G20" s="24">
        <v>17</v>
      </c>
      <c r="H20" s="139">
        <f>H19-B20</f>
        <v>0</v>
      </c>
      <c r="I20" s="139">
        <f t="shared" si="1"/>
        <v>-3.5527136788005009E-15</v>
      </c>
      <c r="J20" s="139">
        <f t="shared" si="2"/>
        <v>0</v>
      </c>
      <c r="K20" s="139">
        <f t="shared" si="3"/>
        <v>0</v>
      </c>
      <c r="L20" s="139">
        <f t="shared" si="4"/>
        <v>0</v>
      </c>
      <c r="M20" s="138">
        <f>H20*'Sheet1 (2)'!C$83</f>
        <v>0</v>
      </c>
      <c r="N20" s="138">
        <f>I20*'Sheet1 (2)'!D$83</f>
        <v>-6.7448269192027513E-15</v>
      </c>
      <c r="O20" s="138">
        <f>J20*'Sheet1 (2)'!E$83</f>
        <v>0</v>
      </c>
      <c r="P20" s="138">
        <f>K20*'Sheet1 (2)'!F$83</f>
        <v>0</v>
      </c>
      <c r="Q20" s="138">
        <f>L20*'Sheet1 (2)'!G$83</f>
        <v>0</v>
      </c>
    </row>
    <row r="22" spans="1:17" x14ac:dyDescent="0.25">
      <c r="L22" t="s">
        <v>29</v>
      </c>
      <c r="M22" s="95">
        <f>SUM(M3:M20)</f>
        <v>1506.3945000000003</v>
      </c>
      <c r="N22" s="95">
        <f t="shared" ref="N22:Q22" si="5">SUM(N3:N20)</f>
        <v>493.54690785498479</v>
      </c>
      <c r="O22" s="95">
        <f t="shared" si="5"/>
        <v>871.12800000000004</v>
      </c>
      <c r="P22" s="95">
        <f t="shared" si="5"/>
        <v>3232.5200000000009</v>
      </c>
      <c r="Q22" s="95">
        <f t="shared" si="5"/>
        <v>123.21000000000001</v>
      </c>
    </row>
    <row r="24" spans="1:17" x14ac:dyDescent="0.25">
      <c r="F24" t="s">
        <v>35</v>
      </c>
      <c r="H24">
        <f>'Sheet1 (2)'!C84</f>
        <v>65.029200000000003</v>
      </c>
      <c r="I24">
        <f>'Sheet1 (2)'!D84</f>
        <v>71.383600000000001</v>
      </c>
      <c r="J24">
        <f>'Sheet1 (2)'!E84</f>
        <v>73.771200000000007</v>
      </c>
      <c r="K24">
        <f>'Sheet1 (2)'!F84</f>
        <v>72.003999999999991</v>
      </c>
      <c r="L24">
        <f>'Sheet1 (2)'!G84</f>
        <v>77.211600000000004</v>
      </c>
      <c r="N24" t="s">
        <v>38</v>
      </c>
      <c r="O24">
        <f>SUM(H24:L24)</f>
        <v>359.39959999999996</v>
      </c>
    </row>
    <row r="25" spans="1:17" x14ac:dyDescent="0.25">
      <c r="F25" t="s">
        <v>37</v>
      </c>
      <c r="H25" s="95">
        <f>'Semester 1 - txt (2)'!H3*'Sheet1 (2)'!C82</f>
        <v>164.19873000000001</v>
      </c>
      <c r="I25" s="95">
        <f>'Semester 1 - txt (2)'!I3*'Sheet1 (2)'!D82</f>
        <v>68.127127613293027</v>
      </c>
      <c r="J25" s="95">
        <f>'Semester 1 - txt (2)'!J3*'Sheet1 (2)'!E82</f>
        <v>81.148320000000012</v>
      </c>
      <c r="K25" s="95">
        <f>'Semester 1 - txt (2)'!K3*'Sheet1 (2)'!F82</f>
        <v>367.22039999999998</v>
      </c>
      <c r="L25">
        <f>'Semester 1 - txt (2)'!L3*'Sheet1 (2)'!G82</f>
        <v>38.605800000000002</v>
      </c>
      <c r="N25" t="s">
        <v>38</v>
      </c>
      <c r="O25">
        <f>SUM(H25:L25)</f>
        <v>719.30037761329299</v>
      </c>
    </row>
    <row r="29" spans="1:17" x14ac:dyDescent="0.25">
      <c r="I29" s="97"/>
      <c r="J29" s="97"/>
      <c r="K29" s="97"/>
    </row>
    <row r="30" spans="1:17" x14ac:dyDescent="0.25">
      <c r="H30" s="140" t="s">
        <v>28</v>
      </c>
      <c r="I30" s="141">
        <f>SUM(M22:Q22)</f>
        <v>6226.7994078549864</v>
      </c>
      <c r="J30" s="97" t="s">
        <v>28</v>
      </c>
      <c r="K30" s="96">
        <f>SUM(M22:Q22)</f>
        <v>6226.7994078549864</v>
      </c>
    </row>
    <row r="31" spans="1:17" x14ac:dyDescent="0.25">
      <c r="H31" s="140" t="s">
        <v>31</v>
      </c>
      <c r="I31" s="142">
        <f>O24</f>
        <v>359.39959999999996</v>
      </c>
      <c r="J31" s="97" t="s">
        <v>32</v>
      </c>
      <c r="K31" s="97">
        <f>O25</f>
        <v>719.30037761329299</v>
      </c>
    </row>
    <row r="32" spans="1:17" x14ac:dyDescent="0.25">
      <c r="F32">
        <f>I31+I32</f>
        <v>859.39959999999996</v>
      </c>
      <c r="H32" s="140" t="s">
        <v>30</v>
      </c>
      <c r="I32" s="142">
        <v>500</v>
      </c>
      <c r="J32" s="97" t="s">
        <v>30</v>
      </c>
      <c r="K32" s="97">
        <v>0</v>
      </c>
    </row>
    <row r="33" spans="8:11" x14ac:dyDescent="0.25">
      <c r="H33" s="140" t="s">
        <v>36</v>
      </c>
      <c r="I33" s="141">
        <f>SUM(I30:I32)</f>
        <v>7086.1990078549861</v>
      </c>
      <c r="J33" s="96"/>
      <c r="K33" s="96">
        <f t="shared" ref="K33" si="6">SUM(K30:K32)</f>
        <v>6946.0997854682792</v>
      </c>
    </row>
    <row r="34" spans="8:11" x14ac:dyDescent="0.25">
      <c r="H34" s="140"/>
      <c r="I34" s="142"/>
      <c r="J34" s="97"/>
      <c r="K34" s="97"/>
    </row>
    <row r="35" spans="8:11" x14ac:dyDescent="0.25">
      <c r="H35" s="140" t="s">
        <v>39</v>
      </c>
      <c r="I35" s="143">
        <v>4000</v>
      </c>
      <c r="J35" s="99"/>
      <c r="K35" s="99">
        <v>6000</v>
      </c>
    </row>
    <row r="36" spans="8:11" x14ac:dyDescent="0.25">
      <c r="H36" s="140"/>
      <c r="I36" s="143">
        <f>I35-I33</f>
        <v>-3086.1990078549861</v>
      </c>
      <c r="J36" s="99"/>
      <c r="K36" s="99">
        <f t="shared" ref="K36" si="7">K35-K33</f>
        <v>-946.09978546827915</v>
      </c>
    </row>
    <row r="37" spans="8:11" x14ac:dyDescent="0.25">
      <c r="H37" s="140"/>
      <c r="I37" s="144">
        <f>(I35-I33)/I33</f>
        <v>-0.43552248595247789</v>
      </c>
      <c r="J37" s="98"/>
      <c r="K37" s="98">
        <f>(K35-K33)/K33</f>
        <v>-0.13620590182818643</v>
      </c>
    </row>
    <row r="38" spans="8:11" x14ac:dyDescent="0.25">
      <c r="H38" s="140"/>
      <c r="I38" s="140"/>
    </row>
  </sheetData>
  <mergeCells count="2">
    <mergeCell ref="H1:L1"/>
    <mergeCell ref="M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tabSelected="1" topLeftCell="E88" zoomScale="145" zoomScaleNormal="145" workbookViewId="0">
      <selection activeCell="T110" sqref="T110"/>
    </sheetView>
  </sheetViews>
  <sheetFormatPr defaultRowHeight="15" x14ac:dyDescent="0.25"/>
  <cols>
    <col min="1" max="7" width="6" customWidth="1"/>
    <col min="8" max="8" width="7.5703125" customWidth="1"/>
    <col min="9" max="9" width="6.140625" customWidth="1"/>
    <col min="10" max="10" width="6.7109375" customWidth="1"/>
    <col min="11" max="11" width="6.140625" customWidth="1"/>
    <col min="12" max="12" width="6" customWidth="1"/>
    <col min="13" max="13" width="6.5703125" customWidth="1"/>
    <col min="16" max="16" width="6" customWidth="1"/>
    <col min="17" max="17" width="7" customWidth="1"/>
    <col min="18" max="18" width="7.140625" customWidth="1"/>
    <col min="19" max="19" width="7.28515625" customWidth="1"/>
    <col min="20" max="20" width="6.5703125" customWidth="1"/>
    <col min="30" max="30" width="13.5703125" customWidth="1"/>
    <col min="31" max="31" width="13.7109375" customWidth="1"/>
    <col min="32" max="32" width="11.85546875" customWidth="1"/>
  </cols>
  <sheetData>
    <row r="1" spans="1:37" x14ac:dyDescent="0.25">
      <c r="D1" t="s">
        <v>40</v>
      </c>
      <c r="J1" t="s">
        <v>25</v>
      </c>
      <c r="R1" t="s">
        <v>41</v>
      </c>
      <c r="W1" s="91" t="s">
        <v>42</v>
      </c>
      <c r="X1" s="91" t="s">
        <v>44</v>
      </c>
      <c r="Y1" s="91" t="s">
        <v>43</v>
      </c>
      <c r="AE1" s="1" t="s">
        <v>47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</row>
    <row r="2" spans="1:37" ht="15.75" thickBot="1" x14ac:dyDescent="0.3">
      <c r="A2" s="116"/>
      <c r="B2" s="117">
        <v>1</v>
      </c>
      <c r="C2" s="117">
        <v>2</v>
      </c>
      <c r="D2" s="117">
        <v>3</v>
      </c>
      <c r="E2" s="117">
        <v>4</v>
      </c>
      <c r="F2" s="117">
        <v>5</v>
      </c>
      <c r="I2" s="117">
        <v>1</v>
      </c>
      <c r="J2" s="117">
        <v>2</v>
      </c>
      <c r="K2" s="117">
        <v>3</v>
      </c>
      <c r="L2" s="117">
        <v>4</v>
      </c>
      <c r="M2" s="117">
        <v>5</v>
      </c>
      <c r="P2" s="117">
        <v>1</v>
      </c>
      <c r="Q2" s="117">
        <v>2</v>
      </c>
      <c r="R2" s="117">
        <v>3</v>
      </c>
      <c r="S2" s="117">
        <v>4</v>
      </c>
      <c r="T2" s="117">
        <v>5</v>
      </c>
      <c r="W2" s="130">
        <v>0.01</v>
      </c>
      <c r="X2" s="123">
        <v>1</v>
      </c>
      <c r="Y2" s="132">
        <v>1956.3427999999999</v>
      </c>
      <c r="AE2" s="1" t="s">
        <v>48</v>
      </c>
      <c r="AF2" s="91">
        <v>1</v>
      </c>
      <c r="AG2" s="91">
        <v>2</v>
      </c>
      <c r="AH2" s="91">
        <v>3</v>
      </c>
      <c r="AI2" s="91">
        <v>4</v>
      </c>
      <c r="AJ2" s="91">
        <v>5</v>
      </c>
    </row>
    <row r="3" spans="1:37" x14ac:dyDescent="0.25">
      <c r="A3" s="118">
        <v>1</v>
      </c>
      <c r="B3" s="119">
        <v>33</v>
      </c>
      <c r="C3" s="120">
        <v>16</v>
      </c>
      <c r="D3" s="120">
        <v>4</v>
      </c>
      <c r="E3" s="120">
        <v>72</v>
      </c>
      <c r="F3" s="121">
        <v>20</v>
      </c>
      <c r="H3" s="118">
        <v>1</v>
      </c>
      <c r="I3" s="128"/>
      <c r="J3" s="91">
        <v>6</v>
      </c>
      <c r="K3" s="129"/>
      <c r="L3" s="129">
        <f>12+7+1</f>
        <v>20</v>
      </c>
      <c r="M3" s="129"/>
      <c r="O3" s="115">
        <v>0</v>
      </c>
      <c r="P3" s="91">
        <v>0</v>
      </c>
      <c r="Q3" s="91">
        <v>0</v>
      </c>
      <c r="R3" s="91">
        <v>0</v>
      </c>
      <c r="S3" s="91">
        <v>0</v>
      </c>
      <c r="T3" s="91">
        <v>0</v>
      </c>
      <c r="W3" s="130">
        <v>0.05</v>
      </c>
      <c r="X3" s="91">
        <v>3</v>
      </c>
      <c r="Y3" s="133">
        <v>4060.9920000000002</v>
      </c>
      <c r="AE3" s="1" t="s">
        <v>4</v>
      </c>
      <c r="AF3" s="183">
        <v>500</v>
      </c>
      <c r="AG3" s="183"/>
      <c r="AH3" s="183"/>
      <c r="AI3" s="183"/>
      <c r="AJ3" s="183"/>
      <c r="AK3" s="67"/>
    </row>
    <row r="4" spans="1:37" x14ac:dyDescent="0.25">
      <c r="A4" s="118">
        <v>2</v>
      </c>
      <c r="B4" s="122">
        <v>0</v>
      </c>
      <c r="C4" s="123">
        <v>0</v>
      </c>
      <c r="D4" s="123">
        <v>0</v>
      </c>
      <c r="E4" s="123">
        <v>0</v>
      </c>
      <c r="F4" s="124">
        <v>0</v>
      </c>
      <c r="H4" s="118">
        <v>2</v>
      </c>
      <c r="I4" s="128"/>
      <c r="J4" s="91"/>
      <c r="K4" s="129">
        <v>4</v>
      </c>
      <c r="L4" s="129"/>
      <c r="M4" s="129">
        <v>8</v>
      </c>
      <c r="O4" s="118">
        <v>1</v>
      </c>
      <c r="P4" s="129">
        <f>B3-I3+P3</f>
        <v>33</v>
      </c>
      <c r="Q4" s="129">
        <f t="shared" ref="Q4:T4" si="0">C3-J3+Q3</f>
        <v>10</v>
      </c>
      <c r="R4" s="129">
        <f t="shared" si="0"/>
        <v>4</v>
      </c>
      <c r="S4" s="129">
        <f t="shared" si="0"/>
        <v>52</v>
      </c>
      <c r="T4" s="129">
        <f t="shared" si="0"/>
        <v>20</v>
      </c>
      <c r="W4" s="131">
        <v>0.1</v>
      </c>
      <c r="X4" s="91">
        <v>4</v>
      </c>
      <c r="Y4" s="133">
        <v>5395.4260000000004</v>
      </c>
      <c r="AE4" s="1" t="s">
        <v>49</v>
      </c>
      <c r="AF4" s="137">
        <v>34.590000000000003</v>
      </c>
      <c r="AG4" s="137">
        <v>37.97</v>
      </c>
      <c r="AH4" s="137">
        <v>39.24</v>
      </c>
      <c r="AI4" s="137">
        <v>38.299999999999997</v>
      </c>
      <c r="AJ4" s="137">
        <v>41.07</v>
      </c>
      <c r="AK4" s="136"/>
    </row>
    <row r="5" spans="1:37" x14ac:dyDescent="0.25">
      <c r="A5" s="118">
        <v>3</v>
      </c>
      <c r="B5" s="122">
        <v>0</v>
      </c>
      <c r="C5" s="123">
        <v>0</v>
      </c>
      <c r="D5" s="123">
        <v>0</v>
      </c>
      <c r="E5" s="123">
        <v>0</v>
      </c>
      <c r="F5" s="124">
        <v>0</v>
      </c>
      <c r="H5" s="118">
        <v>3</v>
      </c>
      <c r="I5" s="128">
        <f>5+12</f>
        <v>17</v>
      </c>
      <c r="J5" s="91">
        <v>6</v>
      </c>
      <c r="K5" s="129"/>
      <c r="L5" s="129"/>
      <c r="M5" s="129">
        <v>4</v>
      </c>
      <c r="O5" s="118">
        <v>2</v>
      </c>
      <c r="P5" s="129">
        <f t="shared" ref="P5:P20" si="1">B4-I4+P4</f>
        <v>33</v>
      </c>
      <c r="Q5" s="129">
        <f t="shared" ref="Q5:Q20" si="2">C4-J4+Q4</f>
        <v>10</v>
      </c>
      <c r="R5" s="129">
        <f t="shared" ref="R5:R20" si="3">D4-K4+R4</f>
        <v>0</v>
      </c>
      <c r="S5" s="129">
        <f t="shared" ref="S5:S20" si="4">E4-L4+S4</f>
        <v>52</v>
      </c>
      <c r="T5" s="129">
        <f t="shared" ref="T5:T20" si="5">F4-M4+T4</f>
        <v>12</v>
      </c>
      <c r="W5" s="131">
        <v>0.15</v>
      </c>
      <c r="X5" s="91">
        <v>5</v>
      </c>
      <c r="Y5" s="133">
        <v>6289.8519999999999</v>
      </c>
      <c r="AE5" s="1" t="s">
        <v>4</v>
      </c>
      <c r="AF5" s="137">
        <v>65.029200000000003</v>
      </c>
      <c r="AG5" s="137">
        <v>71.383600000000001</v>
      </c>
      <c r="AH5" s="137">
        <v>73.771200000000007</v>
      </c>
      <c r="AI5" s="137">
        <v>72.003999999999991</v>
      </c>
      <c r="AJ5" s="137">
        <v>77.211600000000004</v>
      </c>
      <c r="AK5" s="136"/>
    </row>
    <row r="6" spans="1:37" x14ac:dyDescent="0.25">
      <c r="A6" s="118">
        <v>4</v>
      </c>
      <c r="B6" s="122">
        <v>0</v>
      </c>
      <c r="C6" s="123">
        <v>0</v>
      </c>
      <c r="D6" s="123">
        <v>0</v>
      </c>
      <c r="E6" s="123">
        <v>0</v>
      </c>
      <c r="F6" s="124">
        <v>0</v>
      </c>
      <c r="H6" s="118">
        <v>4</v>
      </c>
      <c r="I6" s="128"/>
      <c r="J6" s="91">
        <v>4</v>
      </c>
      <c r="K6" s="129"/>
      <c r="L6" s="129">
        <f>4+28+8</f>
        <v>40</v>
      </c>
      <c r="M6" s="129">
        <v>8</v>
      </c>
      <c r="O6" s="118">
        <v>3</v>
      </c>
      <c r="P6" s="129">
        <f t="shared" si="1"/>
        <v>16</v>
      </c>
      <c r="Q6" s="129">
        <f t="shared" si="2"/>
        <v>4</v>
      </c>
      <c r="R6" s="129">
        <f t="shared" si="3"/>
        <v>0</v>
      </c>
      <c r="S6" s="129">
        <f t="shared" si="4"/>
        <v>52</v>
      </c>
      <c r="T6" s="129">
        <f t="shared" si="5"/>
        <v>8</v>
      </c>
      <c r="W6" s="131">
        <v>0.2</v>
      </c>
      <c r="X6" s="91">
        <v>6</v>
      </c>
      <c r="Y6" s="133">
        <v>6939.3879999999999</v>
      </c>
      <c r="AE6" s="1" t="s">
        <v>50</v>
      </c>
      <c r="AF6" s="131">
        <v>0.05</v>
      </c>
      <c r="AG6" s="131">
        <v>0.05</v>
      </c>
      <c r="AH6" s="131">
        <v>0.05</v>
      </c>
      <c r="AI6" s="131">
        <v>0.05</v>
      </c>
      <c r="AJ6" s="131">
        <v>0.05</v>
      </c>
      <c r="AK6" s="136"/>
    </row>
    <row r="7" spans="1:37" x14ac:dyDescent="0.25">
      <c r="A7" s="118">
        <v>5</v>
      </c>
      <c r="B7" s="122">
        <v>0</v>
      </c>
      <c r="C7" s="123">
        <v>0</v>
      </c>
      <c r="D7" s="123">
        <v>0</v>
      </c>
      <c r="E7" s="123">
        <v>0</v>
      </c>
      <c r="F7" s="124">
        <v>0</v>
      </c>
      <c r="H7" s="118">
        <v>5</v>
      </c>
      <c r="I7" s="128">
        <v>16</v>
      </c>
      <c r="J7" s="91"/>
      <c r="K7" s="129"/>
      <c r="L7" s="129">
        <v>12</v>
      </c>
      <c r="M7" s="129"/>
      <c r="O7" s="118">
        <v>4</v>
      </c>
      <c r="P7" s="129">
        <f t="shared" si="1"/>
        <v>16</v>
      </c>
      <c r="Q7" s="129">
        <f t="shared" si="2"/>
        <v>0</v>
      </c>
      <c r="R7" s="129">
        <f t="shared" si="3"/>
        <v>0</v>
      </c>
      <c r="S7" s="129">
        <f t="shared" si="4"/>
        <v>12</v>
      </c>
      <c r="T7" s="129">
        <f t="shared" si="5"/>
        <v>0</v>
      </c>
      <c r="W7" s="131">
        <v>0.25</v>
      </c>
      <c r="X7" s="91">
        <v>7</v>
      </c>
      <c r="Y7" s="133">
        <v>7505.65</v>
      </c>
      <c r="AE7" s="1" t="s">
        <v>51</v>
      </c>
      <c r="AF7" s="137">
        <v>1.7295000000000003</v>
      </c>
      <c r="AG7" s="137">
        <v>1.8985000000000001</v>
      </c>
      <c r="AH7" s="137">
        <v>1.9620000000000002</v>
      </c>
      <c r="AI7" s="137">
        <v>1.915</v>
      </c>
      <c r="AJ7" s="137">
        <v>2.0535000000000001</v>
      </c>
      <c r="AK7" s="136"/>
    </row>
    <row r="8" spans="1:37" x14ac:dyDescent="0.25">
      <c r="A8" s="118">
        <v>6</v>
      </c>
      <c r="B8" s="122">
        <v>36</v>
      </c>
      <c r="C8" s="123">
        <v>24</v>
      </c>
      <c r="D8" s="123">
        <v>16</v>
      </c>
      <c r="E8" s="123">
        <v>72</v>
      </c>
      <c r="F8" s="124">
        <v>0</v>
      </c>
      <c r="H8" s="118">
        <v>6</v>
      </c>
      <c r="I8" s="128">
        <v>12</v>
      </c>
      <c r="J8" s="91">
        <v>4</v>
      </c>
      <c r="K8" s="129">
        <v>4</v>
      </c>
      <c r="L8" s="129">
        <f>8+4</f>
        <v>12</v>
      </c>
      <c r="M8" s="129"/>
      <c r="O8" s="118">
        <v>5</v>
      </c>
      <c r="P8" s="129">
        <f t="shared" si="1"/>
        <v>0</v>
      </c>
      <c r="Q8" s="129">
        <f t="shared" si="2"/>
        <v>0</v>
      </c>
      <c r="R8" s="129">
        <f t="shared" si="3"/>
        <v>0</v>
      </c>
      <c r="S8" s="129">
        <f t="shared" si="4"/>
        <v>0</v>
      </c>
      <c r="T8" s="129">
        <f t="shared" si="5"/>
        <v>0</v>
      </c>
      <c r="AK8" s="136"/>
    </row>
    <row r="9" spans="1:37" ht="15.75" thickBot="1" x14ac:dyDescent="0.3">
      <c r="A9" s="118">
        <v>7</v>
      </c>
      <c r="B9" s="122">
        <v>0</v>
      </c>
      <c r="C9" s="123">
        <v>0</v>
      </c>
      <c r="D9" s="123">
        <v>0</v>
      </c>
      <c r="E9" s="123">
        <v>0</v>
      </c>
      <c r="F9" s="124">
        <v>0</v>
      </c>
      <c r="H9" s="118">
        <v>7</v>
      </c>
      <c r="I9" s="128"/>
      <c r="J9" s="91">
        <v>2</v>
      </c>
      <c r="K9" s="129">
        <v>8</v>
      </c>
      <c r="L9" s="129">
        <f>4+8</f>
        <v>12</v>
      </c>
      <c r="M9" s="129"/>
      <c r="O9" s="118">
        <v>6</v>
      </c>
      <c r="P9" s="129">
        <f t="shared" si="1"/>
        <v>24</v>
      </c>
      <c r="Q9" s="129">
        <f t="shared" si="2"/>
        <v>20</v>
      </c>
      <c r="R9" s="129">
        <f t="shared" si="3"/>
        <v>12</v>
      </c>
      <c r="S9" s="129">
        <f t="shared" si="4"/>
        <v>60</v>
      </c>
      <c r="T9" s="129">
        <f t="shared" si="5"/>
        <v>0</v>
      </c>
      <c r="AK9" s="136"/>
    </row>
    <row r="10" spans="1:37" ht="15.75" thickBot="1" x14ac:dyDescent="0.3">
      <c r="A10" s="118">
        <v>8</v>
      </c>
      <c r="B10" s="122">
        <v>0</v>
      </c>
      <c r="C10" s="123">
        <v>0</v>
      </c>
      <c r="D10" s="123">
        <v>0</v>
      </c>
      <c r="E10" s="123">
        <v>0</v>
      </c>
      <c r="F10" s="124">
        <v>0</v>
      </c>
      <c r="H10" s="118">
        <v>8</v>
      </c>
      <c r="I10" s="128">
        <v>12</v>
      </c>
      <c r="J10" s="91">
        <v>2</v>
      </c>
      <c r="K10" s="129">
        <v>4</v>
      </c>
      <c r="L10" s="129">
        <f>4+12</f>
        <v>16</v>
      </c>
      <c r="M10" s="129"/>
      <c r="O10" s="118">
        <v>7</v>
      </c>
      <c r="P10" s="129">
        <f t="shared" si="1"/>
        <v>24</v>
      </c>
      <c r="Q10" s="129">
        <f t="shared" si="2"/>
        <v>18</v>
      </c>
      <c r="R10" s="129">
        <f t="shared" si="3"/>
        <v>4</v>
      </c>
      <c r="S10" s="129">
        <f t="shared" si="4"/>
        <v>48</v>
      </c>
      <c r="T10" s="129">
        <f t="shared" si="5"/>
        <v>0</v>
      </c>
      <c r="AE10" s="134" t="s">
        <v>0</v>
      </c>
      <c r="AF10" s="135" t="s">
        <v>13</v>
      </c>
      <c r="AG10" s="135">
        <v>1</v>
      </c>
      <c r="AH10" s="135">
        <v>2</v>
      </c>
      <c r="AI10" s="135">
        <v>3</v>
      </c>
      <c r="AJ10" s="135">
        <v>4</v>
      </c>
      <c r="AK10" s="170">
        <v>5</v>
      </c>
    </row>
    <row r="11" spans="1:37" x14ac:dyDescent="0.25">
      <c r="A11" s="118">
        <v>9</v>
      </c>
      <c r="B11" s="122">
        <v>0</v>
      </c>
      <c r="C11" s="123">
        <v>0</v>
      </c>
      <c r="D11" s="123">
        <v>0</v>
      </c>
      <c r="E11" s="123">
        <v>0</v>
      </c>
      <c r="F11" s="124">
        <v>0</v>
      </c>
      <c r="H11" s="118">
        <v>9</v>
      </c>
      <c r="I11" s="128">
        <v>12</v>
      </c>
      <c r="J11" s="91">
        <v>6</v>
      </c>
      <c r="K11" s="129"/>
      <c r="L11" s="129">
        <v>4</v>
      </c>
      <c r="M11" s="129"/>
      <c r="O11" s="118">
        <v>8</v>
      </c>
      <c r="P11" s="129">
        <f t="shared" si="1"/>
        <v>12</v>
      </c>
      <c r="Q11" s="129">
        <f t="shared" si="2"/>
        <v>16</v>
      </c>
      <c r="R11" s="129">
        <f t="shared" si="3"/>
        <v>0</v>
      </c>
      <c r="S11" s="129">
        <f t="shared" si="4"/>
        <v>32</v>
      </c>
      <c r="T11" s="129">
        <f t="shared" si="5"/>
        <v>0</v>
      </c>
      <c r="AE11" s="155">
        <v>1</v>
      </c>
      <c r="AF11" s="167">
        <v>40782</v>
      </c>
      <c r="AG11" s="156"/>
      <c r="AH11" s="157">
        <v>5.6283987915407847</v>
      </c>
      <c r="AI11" s="156"/>
      <c r="AJ11" s="156">
        <v>20</v>
      </c>
      <c r="AK11" s="169"/>
    </row>
    <row r="12" spans="1:37" x14ac:dyDescent="0.25">
      <c r="A12" s="118">
        <v>10</v>
      </c>
      <c r="B12" s="122">
        <v>0</v>
      </c>
      <c r="C12" s="123">
        <v>0</v>
      </c>
      <c r="D12" s="123">
        <v>0</v>
      </c>
      <c r="E12" s="123">
        <v>0</v>
      </c>
      <c r="F12" s="124">
        <v>0</v>
      </c>
      <c r="H12" s="118">
        <v>10</v>
      </c>
      <c r="I12" s="128"/>
      <c r="J12" s="91">
        <v>4</v>
      </c>
      <c r="K12" s="129"/>
      <c r="L12" s="129">
        <f>4+8</f>
        <v>12</v>
      </c>
      <c r="M12" s="129"/>
      <c r="O12" s="118">
        <v>9</v>
      </c>
      <c r="P12" s="129">
        <f t="shared" si="1"/>
        <v>0</v>
      </c>
      <c r="Q12" s="129">
        <f t="shared" si="2"/>
        <v>10</v>
      </c>
      <c r="R12" s="129">
        <f t="shared" si="3"/>
        <v>0</v>
      </c>
      <c r="S12" s="129">
        <f t="shared" si="4"/>
        <v>28</v>
      </c>
      <c r="T12" s="129">
        <f t="shared" si="5"/>
        <v>0</v>
      </c>
      <c r="AE12" s="148">
        <v>2</v>
      </c>
      <c r="AF12" s="165">
        <v>40789</v>
      </c>
      <c r="AG12" s="91"/>
      <c r="AH12" s="139"/>
      <c r="AI12" s="91">
        <v>4</v>
      </c>
      <c r="AJ12" s="91"/>
      <c r="AK12" s="149">
        <v>8</v>
      </c>
    </row>
    <row r="13" spans="1:37" x14ac:dyDescent="0.25">
      <c r="A13" s="118">
        <v>11</v>
      </c>
      <c r="B13" s="122">
        <v>0</v>
      </c>
      <c r="C13" s="123">
        <v>0</v>
      </c>
      <c r="D13" s="123">
        <v>0</v>
      </c>
      <c r="E13" s="123">
        <v>0</v>
      </c>
      <c r="F13" s="124">
        <v>0</v>
      </c>
      <c r="H13" s="118">
        <v>11</v>
      </c>
      <c r="I13" s="128"/>
      <c r="J13" s="91"/>
      <c r="K13" s="129"/>
      <c r="L13" s="129">
        <f>8+8</f>
        <v>16</v>
      </c>
      <c r="M13" s="129"/>
      <c r="O13" s="118">
        <v>10</v>
      </c>
      <c r="P13" s="129">
        <f t="shared" si="1"/>
        <v>0</v>
      </c>
      <c r="Q13" s="129">
        <f t="shared" si="2"/>
        <v>6</v>
      </c>
      <c r="R13" s="129">
        <f t="shared" si="3"/>
        <v>0</v>
      </c>
      <c r="S13" s="129">
        <f t="shared" si="4"/>
        <v>16</v>
      </c>
      <c r="T13" s="129">
        <f t="shared" si="5"/>
        <v>0</v>
      </c>
      <c r="AE13" s="148">
        <v>3</v>
      </c>
      <c r="AF13" s="165">
        <v>40796</v>
      </c>
      <c r="AG13" s="91">
        <v>17</v>
      </c>
      <c r="AH13" s="139">
        <v>5.954682779456193</v>
      </c>
      <c r="AI13" s="91"/>
      <c r="AJ13" s="91"/>
      <c r="AK13" s="149">
        <v>4</v>
      </c>
    </row>
    <row r="14" spans="1:37" x14ac:dyDescent="0.25">
      <c r="A14" s="118">
        <v>12</v>
      </c>
      <c r="B14" s="122">
        <v>32</v>
      </c>
      <c r="C14" s="123">
        <v>0</v>
      </c>
      <c r="D14" s="123">
        <v>24</v>
      </c>
      <c r="E14" s="123">
        <v>60</v>
      </c>
      <c r="F14" s="124">
        <v>0</v>
      </c>
      <c r="H14" s="118">
        <v>12</v>
      </c>
      <c r="I14" s="128"/>
      <c r="J14" s="91">
        <v>2</v>
      </c>
      <c r="K14" s="129">
        <f>4+12</f>
        <v>16</v>
      </c>
      <c r="L14" s="129">
        <f>4+4+16</f>
        <v>24</v>
      </c>
      <c r="M14" s="129"/>
      <c r="O14" s="118">
        <v>11</v>
      </c>
      <c r="P14" s="129">
        <f t="shared" si="1"/>
        <v>0</v>
      </c>
      <c r="Q14" s="129">
        <f t="shared" si="2"/>
        <v>6</v>
      </c>
      <c r="R14" s="129">
        <f t="shared" si="3"/>
        <v>0</v>
      </c>
      <c r="S14" s="129">
        <f t="shared" si="4"/>
        <v>0</v>
      </c>
      <c r="T14" s="129">
        <f t="shared" si="5"/>
        <v>0</v>
      </c>
      <c r="AE14" s="148">
        <v>4</v>
      </c>
      <c r="AF14" s="165">
        <v>40803</v>
      </c>
      <c r="AG14" s="91"/>
      <c r="AH14" s="139">
        <v>3.7522658610271904</v>
      </c>
      <c r="AI14" s="91"/>
      <c r="AJ14" s="91">
        <v>40</v>
      </c>
      <c r="AK14" s="149">
        <v>8</v>
      </c>
    </row>
    <row r="15" spans="1:37" x14ac:dyDescent="0.25">
      <c r="A15" s="118">
        <v>13</v>
      </c>
      <c r="B15" s="122">
        <v>0</v>
      </c>
      <c r="C15" s="123">
        <v>0</v>
      </c>
      <c r="D15" s="123">
        <v>0</v>
      </c>
      <c r="E15" s="123">
        <v>0</v>
      </c>
      <c r="F15" s="124">
        <v>0</v>
      </c>
      <c r="H15" s="118">
        <v>13</v>
      </c>
      <c r="I15" s="128">
        <v>12</v>
      </c>
      <c r="J15" s="91"/>
      <c r="K15" s="129"/>
      <c r="L15" s="129">
        <f>4+8</f>
        <v>12</v>
      </c>
      <c r="M15" s="129"/>
      <c r="O15" s="118">
        <v>12</v>
      </c>
      <c r="P15" s="129">
        <f t="shared" si="1"/>
        <v>32</v>
      </c>
      <c r="Q15" s="129">
        <f t="shared" si="2"/>
        <v>4</v>
      </c>
      <c r="R15" s="129">
        <f t="shared" si="3"/>
        <v>8</v>
      </c>
      <c r="S15" s="129">
        <f t="shared" si="4"/>
        <v>36</v>
      </c>
      <c r="T15" s="129">
        <f t="shared" si="5"/>
        <v>0</v>
      </c>
      <c r="AE15" s="148">
        <v>5</v>
      </c>
      <c r="AF15" s="165">
        <v>40810</v>
      </c>
      <c r="AG15" s="91">
        <v>16</v>
      </c>
      <c r="AH15" s="139"/>
      <c r="AI15" s="91"/>
      <c r="AJ15" s="91">
        <v>12</v>
      </c>
      <c r="AK15" s="149"/>
    </row>
    <row r="16" spans="1:37" x14ac:dyDescent="0.25">
      <c r="A16" s="118">
        <v>14</v>
      </c>
      <c r="B16" s="122">
        <v>0</v>
      </c>
      <c r="C16" s="123">
        <v>0</v>
      </c>
      <c r="D16" s="123">
        <v>0</v>
      </c>
      <c r="E16" s="123">
        <v>0</v>
      </c>
      <c r="F16" s="124">
        <v>0</v>
      </c>
      <c r="H16" s="118">
        <v>14</v>
      </c>
      <c r="I16" s="128"/>
      <c r="J16" s="91"/>
      <c r="K16" s="129"/>
      <c r="L16" s="129"/>
      <c r="M16" s="129"/>
      <c r="O16" s="118">
        <v>13</v>
      </c>
      <c r="P16" s="129">
        <f t="shared" si="1"/>
        <v>20</v>
      </c>
      <c r="Q16" s="129">
        <f t="shared" si="2"/>
        <v>4</v>
      </c>
      <c r="R16" s="129">
        <f t="shared" si="3"/>
        <v>8</v>
      </c>
      <c r="S16" s="129">
        <f t="shared" si="4"/>
        <v>24</v>
      </c>
      <c r="T16" s="129">
        <f t="shared" si="5"/>
        <v>0</v>
      </c>
      <c r="AE16" s="148">
        <v>6</v>
      </c>
      <c r="AF16" s="165">
        <v>40817</v>
      </c>
      <c r="AG16" s="91">
        <v>12</v>
      </c>
      <c r="AH16" s="139">
        <v>4.0785498489425978</v>
      </c>
      <c r="AI16" s="91">
        <v>4</v>
      </c>
      <c r="AJ16" s="91">
        <v>12</v>
      </c>
      <c r="AK16" s="149"/>
    </row>
    <row r="17" spans="1:37" x14ac:dyDescent="0.25">
      <c r="A17" s="118">
        <v>15</v>
      </c>
      <c r="B17" s="122">
        <v>0</v>
      </c>
      <c r="C17" s="123">
        <v>0</v>
      </c>
      <c r="D17" s="123">
        <v>0</v>
      </c>
      <c r="E17" s="123">
        <v>0</v>
      </c>
      <c r="F17" s="124">
        <v>0</v>
      </c>
      <c r="H17" s="118">
        <v>15</v>
      </c>
      <c r="I17" s="128">
        <v>12</v>
      </c>
      <c r="J17" s="91">
        <v>2</v>
      </c>
      <c r="K17" s="129"/>
      <c r="L17" s="129">
        <v>4</v>
      </c>
      <c r="M17" s="129"/>
      <c r="O17" s="118">
        <v>14</v>
      </c>
      <c r="P17" s="129">
        <f t="shared" si="1"/>
        <v>20</v>
      </c>
      <c r="Q17" s="129">
        <f t="shared" si="2"/>
        <v>4</v>
      </c>
      <c r="R17" s="129">
        <f t="shared" si="3"/>
        <v>8</v>
      </c>
      <c r="S17" s="129">
        <f t="shared" si="4"/>
        <v>24</v>
      </c>
      <c r="T17" s="129">
        <f t="shared" si="5"/>
        <v>0</v>
      </c>
      <c r="AE17" s="148">
        <v>7</v>
      </c>
      <c r="AF17" s="165">
        <v>40824</v>
      </c>
      <c r="AG17" s="91"/>
      <c r="AH17" s="139">
        <v>1.8761329305135952</v>
      </c>
      <c r="AI17" s="91">
        <v>8</v>
      </c>
      <c r="AJ17" s="91">
        <v>12</v>
      </c>
      <c r="AK17" s="149"/>
    </row>
    <row r="18" spans="1:37" x14ac:dyDescent="0.25">
      <c r="A18" s="118">
        <v>16</v>
      </c>
      <c r="B18" s="122">
        <v>0</v>
      </c>
      <c r="C18" s="123">
        <v>0</v>
      </c>
      <c r="D18" s="123">
        <v>0</v>
      </c>
      <c r="E18" s="123">
        <v>0</v>
      </c>
      <c r="F18" s="124">
        <v>0</v>
      </c>
      <c r="H18" s="118">
        <v>16</v>
      </c>
      <c r="I18" s="128">
        <v>8</v>
      </c>
      <c r="J18" s="91">
        <v>2</v>
      </c>
      <c r="K18" s="129">
        <v>4</v>
      </c>
      <c r="L18" s="129">
        <f>4+8</f>
        <v>12</v>
      </c>
      <c r="M18" s="129"/>
      <c r="O18" s="118">
        <v>15</v>
      </c>
      <c r="P18" s="129">
        <f t="shared" si="1"/>
        <v>8</v>
      </c>
      <c r="Q18" s="129">
        <f t="shared" si="2"/>
        <v>2</v>
      </c>
      <c r="R18" s="129">
        <f t="shared" si="3"/>
        <v>8</v>
      </c>
      <c r="S18" s="129">
        <f t="shared" si="4"/>
        <v>20</v>
      </c>
      <c r="T18" s="129">
        <f t="shared" si="5"/>
        <v>0</v>
      </c>
      <c r="AE18" s="148">
        <v>8</v>
      </c>
      <c r="AF18" s="165">
        <v>40831</v>
      </c>
      <c r="AG18" s="91">
        <v>12</v>
      </c>
      <c r="AH18" s="139">
        <v>1.8761329305135952</v>
      </c>
      <c r="AI18" s="91">
        <v>4</v>
      </c>
      <c r="AJ18" s="91">
        <v>16</v>
      </c>
      <c r="AK18" s="149"/>
    </row>
    <row r="19" spans="1:37" ht="15.75" thickBot="1" x14ac:dyDescent="0.3">
      <c r="A19" s="118">
        <v>17</v>
      </c>
      <c r="B19" s="125">
        <v>0</v>
      </c>
      <c r="C19" s="126">
        <v>0</v>
      </c>
      <c r="D19" s="126">
        <v>0</v>
      </c>
      <c r="E19" s="126">
        <v>0</v>
      </c>
      <c r="F19" s="127">
        <v>0</v>
      </c>
      <c r="H19" s="118">
        <v>17</v>
      </c>
      <c r="I19" s="128"/>
      <c r="J19" s="129"/>
      <c r="K19" s="129">
        <v>4</v>
      </c>
      <c r="L19" s="129">
        <f>4+4</f>
        <v>8</v>
      </c>
      <c r="M19" s="129"/>
      <c r="O19" s="118">
        <v>16</v>
      </c>
      <c r="P19" s="129">
        <f t="shared" si="1"/>
        <v>0</v>
      </c>
      <c r="Q19" s="129">
        <f t="shared" si="2"/>
        <v>0</v>
      </c>
      <c r="R19" s="129">
        <f t="shared" si="3"/>
        <v>4</v>
      </c>
      <c r="S19" s="129">
        <f t="shared" si="4"/>
        <v>8</v>
      </c>
      <c r="T19" s="129">
        <f t="shared" si="5"/>
        <v>0</v>
      </c>
      <c r="AE19" s="148">
        <v>9</v>
      </c>
      <c r="AF19" s="165">
        <v>40838</v>
      </c>
      <c r="AG19" s="91">
        <v>12</v>
      </c>
      <c r="AH19" s="139">
        <v>5.6283987915407847</v>
      </c>
      <c r="AI19" s="91"/>
      <c r="AJ19" s="91">
        <v>4</v>
      </c>
      <c r="AK19" s="149"/>
    </row>
    <row r="20" spans="1:37" x14ac:dyDescent="0.25">
      <c r="O20" s="118">
        <v>17</v>
      </c>
      <c r="P20" s="129">
        <f t="shared" si="1"/>
        <v>0</v>
      </c>
      <c r="Q20" s="129">
        <f t="shared" si="2"/>
        <v>0</v>
      </c>
      <c r="R20" s="129">
        <f t="shared" si="3"/>
        <v>0</v>
      </c>
      <c r="S20" s="129">
        <f t="shared" si="4"/>
        <v>0</v>
      </c>
      <c r="T20" s="129">
        <f t="shared" si="5"/>
        <v>0</v>
      </c>
      <c r="AE20" s="148">
        <v>10</v>
      </c>
      <c r="AF20" s="165">
        <v>40845</v>
      </c>
      <c r="AG20" s="91"/>
      <c r="AH20" s="139">
        <v>3.7522658610271904</v>
      </c>
      <c r="AI20" s="91"/>
      <c r="AJ20" s="91">
        <v>12</v>
      </c>
      <c r="AK20" s="150"/>
    </row>
    <row r="21" spans="1:37" x14ac:dyDescent="0.25">
      <c r="B21">
        <f>SUM(B3:B19)</f>
        <v>101</v>
      </c>
      <c r="C21">
        <f t="shared" ref="C21:F21" si="6">SUM(C3:C19)</f>
        <v>40</v>
      </c>
      <c r="D21">
        <f t="shared" si="6"/>
        <v>44</v>
      </c>
      <c r="E21">
        <f t="shared" si="6"/>
        <v>204</v>
      </c>
      <c r="F21">
        <f t="shared" si="6"/>
        <v>20</v>
      </c>
      <c r="H21" t="s">
        <v>45</v>
      </c>
      <c r="I21" s="67">
        <f>SUM(I3:I19)</f>
        <v>101</v>
      </c>
      <c r="J21" s="67">
        <f t="shared" ref="J21:M21" si="7">SUM(J3:J19)</f>
        <v>40</v>
      </c>
      <c r="K21" s="67">
        <f t="shared" si="7"/>
        <v>44</v>
      </c>
      <c r="L21" s="67">
        <f t="shared" si="7"/>
        <v>204</v>
      </c>
      <c r="M21" s="67">
        <f t="shared" si="7"/>
        <v>20</v>
      </c>
      <c r="AE21" s="148">
        <v>11</v>
      </c>
      <c r="AF21" s="165">
        <v>40852</v>
      </c>
      <c r="AG21" s="91"/>
      <c r="AH21" s="139"/>
      <c r="AI21" s="91"/>
      <c r="AJ21" s="91">
        <v>16</v>
      </c>
      <c r="AK21" s="150"/>
    </row>
    <row r="22" spans="1:37" x14ac:dyDescent="0.25">
      <c r="H22" t="s">
        <v>46</v>
      </c>
      <c r="I22" s="97">
        <f>COUNTA(I3:I19)</f>
        <v>8</v>
      </c>
      <c r="J22" s="97">
        <f t="shared" ref="J22:M22" si="8">COUNTA(J3:J19)</f>
        <v>11</v>
      </c>
      <c r="K22" s="97">
        <f t="shared" si="8"/>
        <v>7</v>
      </c>
      <c r="L22" s="97">
        <f t="shared" si="8"/>
        <v>14</v>
      </c>
      <c r="M22" s="97">
        <f t="shared" si="8"/>
        <v>3</v>
      </c>
      <c r="AE22" s="148">
        <v>12</v>
      </c>
      <c r="AF22" s="165">
        <v>40859</v>
      </c>
      <c r="AG22" s="91"/>
      <c r="AH22" s="139">
        <v>1.8761329305135952</v>
      </c>
      <c r="AI22" s="91">
        <v>16</v>
      </c>
      <c r="AJ22" s="91">
        <v>24</v>
      </c>
      <c r="AK22" s="150"/>
    </row>
    <row r="23" spans="1:37" x14ac:dyDescent="0.25">
      <c r="C23" t="s">
        <v>25</v>
      </c>
      <c r="AE23" s="148">
        <v>13</v>
      </c>
      <c r="AF23" s="165">
        <v>40866</v>
      </c>
      <c r="AG23" s="91">
        <v>12</v>
      </c>
      <c r="AH23" s="139"/>
      <c r="AI23" s="91"/>
      <c r="AJ23" s="91">
        <v>12</v>
      </c>
      <c r="AK23" s="150"/>
    </row>
    <row r="24" spans="1:37" x14ac:dyDescent="0.25">
      <c r="B24" s="117">
        <v>1</v>
      </c>
      <c r="C24" s="117">
        <v>2</v>
      </c>
      <c r="D24" s="117">
        <v>3</v>
      </c>
      <c r="E24" s="117">
        <v>4</v>
      </c>
      <c r="F24" s="117">
        <v>5</v>
      </c>
      <c r="AE24" s="148">
        <v>14</v>
      </c>
      <c r="AF24" s="165">
        <v>40873</v>
      </c>
      <c r="AG24" s="91"/>
      <c r="AH24" s="139"/>
      <c r="AI24" s="91"/>
      <c r="AJ24" s="91"/>
      <c r="AK24" s="150"/>
    </row>
    <row r="25" spans="1:37" x14ac:dyDescent="0.25">
      <c r="A25" s="118">
        <v>1</v>
      </c>
      <c r="B25" s="128">
        <v>0</v>
      </c>
      <c r="C25" s="91">
        <v>6</v>
      </c>
      <c r="D25" s="129">
        <v>0</v>
      </c>
      <c r="E25" s="129">
        <f>12+7+1</f>
        <v>20</v>
      </c>
      <c r="F25" s="129">
        <v>0</v>
      </c>
      <c r="AE25" s="148">
        <v>15</v>
      </c>
      <c r="AF25" s="165">
        <v>40880</v>
      </c>
      <c r="AG25" s="91">
        <v>12</v>
      </c>
      <c r="AH25" s="139">
        <v>1.8761329305135952</v>
      </c>
      <c r="AI25" s="91"/>
      <c r="AJ25" s="91">
        <v>4</v>
      </c>
      <c r="AK25" s="150"/>
    </row>
    <row r="26" spans="1:37" x14ac:dyDescent="0.25">
      <c r="A26" s="118">
        <v>2</v>
      </c>
      <c r="B26" s="128">
        <v>0</v>
      </c>
      <c r="C26" s="91">
        <v>0</v>
      </c>
      <c r="D26" s="129">
        <v>4</v>
      </c>
      <c r="E26" s="129">
        <v>0</v>
      </c>
      <c r="F26" s="129">
        <v>8</v>
      </c>
      <c r="AE26" s="148">
        <v>16</v>
      </c>
      <c r="AF26" s="165">
        <v>40887</v>
      </c>
      <c r="AG26" s="91">
        <v>8</v>
      </c>
      <c r="AH26" s="139">
        <v>1.8761329305135952</v>
      </c>
      <c r="AI26" s="91">
        <v>4</v>
      </c>
      <c r="AJ26" s="91">
        <v>12</v>
      </c>
      <c r="AK26" s="150"/>
    </row>
    <row r="27" spans="1:37" ht="15.75" thickBot="1" x14ac:dyDescent="0.3">
      <c r="A27" s="118">
        <v>3</v>
      </c>
      <c r="B27" s="128">
        <f>5+12</f>
        <v>17</v>
      </c>
      <c r="C27" s="91">
        <v>6</v>
      </c>
      <c r="D27" s="129">
        <v>0</v>
      </c>
      <c r="E27" s="129">
        <v>0</v>
      </c>
      <c r="F27" s="129">
        <v>4</v>
      </c>
      <c r="AE27" s="151">
        <v>17</v>
      </c>
      <c r="AF27" s="166">
        <v>40894</v>
      </c>
      <c r="AG27" s="152"/>
      <c r="AH27" s="153"/>
      <c r="AI27" s="152">
        <v>4</v>
      </c>
      <c r="AJ27" s="152">
        <v>8</v>
      </c>
      <c r="AK27" s="154"/>
    </row>
    <row r="28" spans="1:37" x14ac:dyDescent="0.25">
      <c r="A28" s="118">
        <v>4</v>
      </c>
      <c r="B28" s="128">
        <v>0</v>
      </c>
      <c r="C28" s="91">
        <v>4</v>
      </c>
      <c r="D28" s="129">
        <v>0</v>
      </c>
      <c r="E28" s="129">
        <f>4+28+8</f>
        <v>40</v>
      </c>
      <c r="F28" s="129">
        <v>8</v>
      </c>
      <c r="AE28" s="155">
        <v>18</v>
      </c>
      <c r="AF28" s="167">
        <v>40901</v>
      </c>
      <c r="AG28" s="156"/>
      <c r="AH28" s="157"/>
      <c r="AI28" s="156"/>
      <c r="AJ28" s="156"/>
      <c r="AK28" s="158"/>
    </row>
    <row r="29" spans="1:37" x14ac:dyDescent="0.25">
      <c r="A29" s="118">
        <v>5</v>
      </c>
      <c r="B29" s="128">
        <v>16</v>
      </c>
      <c r="C29" s="91">
        <v>0</v>
      </c>
      <c r="D29" s="129">
        <v>0</v>
      </c>
      <c r="E29" s="129">
        <v>12</v>
      </c>
      <c r="F29" s="129">
        <v>0</v>
      </c>
      <c r="AE29" s="148">
        <v>19</v>
      </c>
      <c r="AF29" s="165">
        <v>40908</v>
      </c>
      <c r="AG29" s="91"/>
      <c r="AH29" s="139"/>
      <c r="AI29" s="91"/>
      <c r="AJ29" s="91"/>
      <c r="AK29" s="150"/>
    </row>
    <row r="30" spans="1:37" x14ac:dyDescent="0.25">
      <c r="A30" s="118">
        <v>6</v>
      </c>
      <c r="B30" s="128">
        <v>12</v>
      </c>
      <c r="C30" s="91">
        <v>4</v>
      </c>
      <c r="D30" s="129">
        <v>4</v>
      </c>
      <c r="E30" s="129">
        <f>8+4</f>
        <v>12</v>
      </c>
      <c r="F30" s="129">
        <v>0</v>
      </c>
      <c r="AE30" s="148">
        <v>20</v>
      </c>
      <c r="AF30" s="165">
        <v>40915</v>
      </c>
      <c r="AG30" s="91"/>
      <c r="AH30" s="139"/>
      <c r="AI30" s="91"/>
      <c r="AJ30" s="91"/>
      <c r="AK30" s="150"/>
    </row>
    <row r="31" spans="1:37" ht="15.75" thickBot="1" x14ac:dyDescent="0.3">
      <c r="A31" s="118">
        <v>7</v>
      </c>
      <c r="B31" s="128">
        <v>0</v>
      </c>
      <c r="C31" s="91">
        <v>2</v>
      </c>
      <c r="D31" s="129">
        <v>8</v>
      </c>
      <c r="E31" s="129">
        <f>4+8</f>
        <v>12</v>
      </c>
      <c r="F31" s="129">
        <v>0</v>
      </c>
      <c r="AE31" s="159">
        <v>21</v>
      </c>
      <c r="AF31" s="168">
        <v>40922</v>
      </c>
      <c r="AG31" s="160"/>
      <c r="AH31" s="161"/>
      <c r="AI31" s="160"/>
      <c r="AJ31" s="160"/>
      <c r="AK31" s="162"/>
    </row>
    <row r="32" spans="1:37" x14ac:dyDescent="0.25">
      <c r="A32" s="118">
        <v>8</v>
      </c>
      <c r="B32" s="128">
        <v>12</v>
      </c>
      <c r="C32" s="91">
        <v>2</v>
      </c>
      <c r="D32" s="129">
        <v>4</v>
      </c>
      <c r="E32" s="129">
        <f>4+12</f>
        <v>16</v>
      </c>
      <c r="F32" s="129">
        <v>0</v>
      </c>
      <c r="AE32" s="145">
        <v>22</v>
      </c>
      <c r="AF32" s="164">
        <v>40929</v>
      </c>
      <c r="AG32" s="146"/>
      <c r="AH32" s="147"/>
      <c r="AI32" s="146"/>
      <c r="AJ32" s="146">
        <v>16</v>
      </c>
      <c r="AK32" s="163"/>
    </row>
    <row r="33" spans="1:37" x14ac:dyDescent="0.25">
      <c r="A33" s="118">
        <v>9</v>
      </c>
      <c r="B33" s="128">
        <v>12</v>
      </c>
      <c r="C33" s="91">
        <v>6</v>
      </c>
      <c r="D33" s="129">
        <v>0</v>
      </c>
      <c r="E33" s="129">
        <v>4</v>
      </c>
      <c r="F33" s="129">
        <v>0</v>
      </c>
      <c r="AE33" s="148">
        <v>23</v>
      </c>
      <c r="AF33" s="165">
        <v>40936</v>
      </c>
      <c r="AG33" s="91">
        <v>4</v>
      </c>
      <c r="AH33" s="139">
        <v>1.8761329305135952</v>
      </c>
      <c r="AI33" s="91">
        <v>4</v>
      </c>
      <c r="AJ33" s="91">
        <v>16</v>
      </c>
      <c r="AK33" s="150"/>
    </row>
    <row r="34" spans="1:37" x14ac:dyDescent="0.25">
      <c r="A34" s="118">
        <v>10</v>
      </c>
      <c r="B34" s="128">
        <v>0</v>
      </c>
      <c r="C34" s="91">
        <v>4</v>
      </c>
      <c r="D34" s="129">
        <v>0</v>
      </c>
      <c r="E34" s="129">
        <f>4+8</f>
        <v>12</v>
      </c>
      <c r="F34" s="129">
        <v>0</v>
      </c>
      <c r="AE34" s="148">
        <v>24</v>
      </c>
      <c r="AF34" s="165">
        <v>40943</v>
      </c>
      <c r="AG34" s="91"/>
      <c r="AH34" s="139">
        <v>3.7522658610271904</v>
      </c>
      <c r="AI34" s="91">
        <v>4</v>
      </c>
      <c r="AJ34" s="91">
        <v>4</v>
      </c>
      <c r="AK34" s="150">
        <v>4</v>
      </c>
    </row>
    <row r="35" spans="1:37" x14ac:dyDescent="0.25">
      <c r="A35" s="118">
        <v>11</v>
      </c>
      <c r="B35" s="128">
        <v>0</v>
      </c>
      <c r="C35" s="91">
        <v>0</v>
      </c>
      <c r="D35" s="129">
        <v>0</v>
      </c>
      <c r="E35" s="129">
        <f>8+8</f>
        <v>16</v>
      </c>
      <c r="F35" s="129">
        <v>0</v>
      </c>
      <c r="AE35" s="148">
        <v>25</v>
      </c>
      <c r="AF35" s="165">
        <v>40950</v>
      </c>
      <c r="AG35" s="91"/>
      <c r="AH35" s="139">
        <v>1.8761329305135952</v>
      </c>
      <c r="AI35" s="91"/>
      <c r="AJ35" s="91">
        <v>8</v>
      </c>
      <c r="AK35" s="150"/>
    </row>
    <row r="36" spans="1:37" x14ac:dyDescent="0.25">
      <c r="A36" s="118">
        <v>12</v>
      </c>
      <c r="B36" s="128">
        <v>0</v>
      </c>
      <c r="C36" s="91">
        <v>2</v>
      </c>
      <c r="D36" s="129">
        <f>4+12</f>
        <v>16</v>
      </c>
      <c r="E36" s="129">
        <f>4+4+16</f>
        <v>24</v>
      </c>
      <c r="F36" s="129">
        <v>0</v>
      </c>
      <c r="AE36" s="148">
        <v>26</v>
      </c>
      <c r="AF36" s="165">
        <v>40957</v>
      </c>
      <c r="AG36" s="91">
        <v>8</v>
      </c>
      <c r="AH36" s="139"/>
      <c r="AI36" s="91"/>
      <c r="AJ36" s="91">
        <v>16</v>
      </c>
      <c r="AK36" s="150"/>
    </row>
    <row r="37" spans="1:37" x14ac:dyDescent="0.25">
      <c r="A37" s="118">
        <v>13</v>
      </c>
      <c r="B37" s="128">
        <v>12</v>
      </c>
      <c r="C37" s="91">
        <v>0</v>
      </c>
      <c r="D37" s="129">
        <v>0</v>
      </c>
      <c r="E37" s="129">
        <f>4+8</f>
        <v>12</v>
      </c>
      <c r="F37" s="129">
        <v>0</v>
      </c>
      <c r="AE37" s="148">
        <v>27</v>
      </c>
      <c r="AF37" s="165">
        <v>40964</v>
      </c>
      <c r="AG37" s="91">
        <v>16</v>
      </c>
      <c r="AH37" s="139">
        <v>1.8761329305135952</v>
      </c>
      <c r="AI37" s="91">
        <v>4</v>
      </c>
      <c r="AJ37" s="91">
        <v>8</v>
      </c>
      <c r="AK37" s="150"/>
    </row>
    <row r="38" spans="1:37" x14ac:dyDescent="0.25">
      <c r="A38" s="118">
        <v>14</v>
      </c>
      <c r="B38" s="128">
        <v>0</v>
      </c>
      <c r="C38" s="91">
        <v>0</v>
      </c>
      <c r="D38" s="129">
        <v>0</v>
      </c>
      <c r="E38" s="129">
        <v>0</v>
      </c>
      <c r="F38" s="129">
        <v>0</v>
      </c>
      <c r="AE38" s="148">
        <v>28</v>
      </c>
      <c r="AF38" s="165">
        <v>40971</v>
      </c>
      <c r="AG38" s="91">
        <v>8</v>
      </c>
      <c r="AH38" s="139"/>
      <c r="AI38" s="91">
        <v>8</v>
      </c>
      <c r="AJ38" s="91"/>
      <c r="AK38" s="150"/>
    </row>
    <row r="39" spans="1:37" x14ac:dyDescent="0.25">
      <c r="A39" s="118">
        <v>15</v>
      </c>
      <c r="B39" s="128">
        <v>12</v>
      </c>
      <c r="C39" s="91">
        <v>2</v>
      </c>
      <c r="D39" s="129">
        <v>0</v>
      </c>
      <c r="E39" s="129">
        <v>4</v>
      </c>
      <c r="F39" s="129">
        <v>0</v>
      </c>
      <c r="AE39" s="148">
        <v>29</v>
      </c>
      <c r="AF39" s="165">
        <v>40978</v>
      </c>
      <c r="AG39" s="91">
        <v>8</v>
      </c>
      <c r="AH39" s="139">
        <v>1.8761329305135952</v>
      </c>
      <c r="AI39" s="91">
        <v>12</v>
      </c>
      <c r="AJ39" s="91"/>
      <c r="AK39" s="150"/>
    </row>
    <row r="40" spans="1:37" x14ac:dyDescent="0.25">
      <c r="A40" s="118">
        <v>16</v>
      </c>
      <c r="B40" s="128">
        <v>8</v>
      </c>
      <c r="C40" s="91">
        <v>2</v>
      </c>
      <c r="D40" s="129">
        <v>4</v>
      </c>
      <c r="E40" s="129">
        <f>4+8</f>
        <v>12</v>
      </c>
      <c r="F40" s="129">
        <v>0</v>
      </c>
      <c r="AE40" s="148">
        <v>30</v>
      </c>
      <c r="AF40" s="165">
        <v>40985</v>
      </c>
      <c r="AG40" s="91">
        <v>20</v>
      </c>
      <c r="AH40" s="139"/>
      <c r="AI40" s="91">
        <v>20</v>
      </c>
      <c r="AJ40" s="91"/>
      <c r="AK40" s="150"/>
    </row>
    <row r="41" spans="1:37" x14ac:dyDescent="0.25">
      <c r="A41" s="118">
        <v>17</v>
      </c>
      <c r="B41" s="128">
        <v>0</v>
      </c>
      <c r="C41" s="129">
        <v>0</v>
      </c>
      <c r="D41" s="129">
        <v>4</v>
      </c>
      <c r="E41" s="129">
        <f>4+4</f>
        <v>8</v>
      </c>
      <c r="F41" s="129">
        <v>0</v>
      </c>
      <c r="AE41" s="148">
        <v>31</v>
      </c>
      <c r="AF41" s="165">
        <v>40992</v>
      </c>
      <c r="AG41" s="91"/>
      <c r="AH41" s="139"/>
      <c r="AI41" s="91"/>
      <c r="AJ41" s="91"/>
      <c r="AK41" s="150"/>
    </row>
    <row r="42" spans="1:37" x14ac:dyDescent="0.25">
      <c r="AE42" s="148">
        <v>32</v>
      </c>
      <c r="AF42" s="165">
        <v>40999</v>
      </c>
      <c r="AG42" s="91">
        <v>8</v>
      </c>
      <c r="AH42" s="139">
        <v>1.8761329305135952</v>
      </c>
      <c r="AI42" s="91">
        <v>8</v>
      </c>
      <c r="AJ42" s="91"/>
      <c r="AK42" s="150"/>
    </row>
    <row r="43" spans="1:37" x14ac:dyDescent="0.25">
      <c r="B43" s="67">
        <f>SUM(B25:B41)</f>
        <v>101</v>
      </c>
      <c r="C43" s="67">
        <f t="shared" ref="C43:F43" si="9">SUM(C25:C41)</f>
        <v>40</v>
      </c>
      <c r="D43" s="67">
        <f t="shared" si="9"/>
        <v>44</v>
      </c>
      <c r="E43" s="67">
        <f t="shared" si="9"/>
        <v>204</v>
      </c>
      <c r="F43" s="67">
        <f t="shared" si="9"/>
        <v>20</v>
      </c>
      <c r="AE43" s="148">
        <v>33</v>
      </c>
      <c r="AF43" s="165">
        <v>41006</v>
      </c>
      <c r="AG43" s="91"/>
      <c r="AH43" s="139"/>
      <c r="AI43" s="91">
        <v>12</v>
      </c>
      <c r="AJ43" s="91"/>
      <c r="AK43" s="150"/>
    </row>
    <row r="44" spans="1:37" x14ac:dyDescent="0.25">
      <c r="AE44" s="148">
        <v>34</v>
      </c>
      <c r="AF44" s="165">
        <v>41013</v>
      </c>
      <c r="AG44" s="91"/>
      <c r="AH44" s="139">
        <v>3.7522658610271904</v>
      </c>
      <c r="AI44" s="91"/>
      <c r="AJ44" s="91"/>
      <c r="AK44" s="150"/>
    </row>
    <row r="45" spans="1:37" x14ac:dyDescent="0.25">
      <c r="AE45" s="148">
        <v>35</v>
      </c>
      <c r="AF45" s="165">
        <v>41020</v>
      </c>
      <c r="AG45" s="91"/>
      <c r="AH45" s="139"/>
      <c r="AI45" s="91"/>
      <c r="AJ45" s="91"/>
      <c r="AK45" s="150"/>
    </row>
    <row r="46" spans="1:37" ht="15.75" thickBot="1" x14ac:dyDescent="0.3">
      <c r="AE46" s="151">
        <v>36</v>
      </c>
      <c r="AF46" s="166">
        <v>41027</v>
      </c>
      <c r="AG46" s="152"/>
      <c r="AH46" s="153"/>
      <c r="AI46" s="152"/>
      <c r="AJ46" s="152"/>
      <c r="AK46" s="154"/>
    </row>
    <row r="69" spans="1:5" x14ac:dyDescent="0.25">
      <c r="B69">
        <v>1</v>
      </c>
      <c r="C69">
        <v>101</v>
      </c>
    </row>
    <row r="70" spans="1:5" x14ac:dyDescent="0.25">
      <c r="B70">
        <v>2</v>
      </c>
      <c r="C70">
        <v>40</v>
      </c>
    </row>
    <row r="71" spans="1:5" x14ac:dyDescent="0.25">
      <c r="B71">
        <v>3</v>
      </c>
      <c r="C71">
        <v>44</v>
      </c>
    </row>
    <row r="72" spans="1:5" x14ac:dyDescent="0.25">
      <c r="B72">
        <v>4</v>
      </c>
      <c r="C72">
        <v>204</v>
      </c>
    </row>
    <row r="73" spans="1:5" x14ac:dyDescent="0.25">
      <c r="B73">
        <v>5</v>
      </c>
      <c r="C73">
        <v>20</v>
      </c>
    </row>
    <row r="75" spans="1:5" x14ac:dyDescent="0.25">
      <c r="A75">
        <v>1</v>
      </c>
      <c r="B75">
        <v>2</v>
      </c>
      <c r="C75">
        <v>3</v>
      </c>
      <c r="D75">
        <v>4</v>
      </c>
      <c r="E75">
        <v>5</v>
      </c>
    </row>
  </sheetData>
  <mergeCells count="1">
    <mergeCell ref="AF3:AJ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I39" sqref="I39"/>
    </sheetView>
  </sheetViews>
  <sheetFormatPr defaultRowHeight="15" x14ac:dyDescent="0.25"/>
  <sheetData>
    <row r="1" spans="1:6" ht="15.75" thickBot="1" x14ac:dyDescent="0.3">
      <c r="A1" s="171" t="s">
        <v>0</v>
      </c>
      <c r="B1" s="172">
        <v>1</v>
      </c>
      <c r="C1" s="172">
        <v>2</v>
      </c>
      <c r="D1" s="172">
        <v>3</v>
      </c>
      <c r="E1" s="172">
        <v>4</v>
      </c>
      <c r="F1" s="170">
        <v>5</v>
      </c>
    </row>
    <row r="2" spans="1:6" x14ac:dyDescent="0.25">
      <c r="A2" s="155">
        <v>1</v>
      </c>
      <c r="B2" s="156">
        <v>0</v>
      </c>
      <c r="C2" s="157">
        <v>5.6283987915407847</v>
      </c>
      <c r="D2" s="156">
        <v>0</v>
      </c>
      <c r="E2" s="156">
        <v>20</v>
      </c>
      <c r="F2" s="169">
        <v>0</v>
      </c>
    </row>
    <row r="3" spans="1:6" x14ac:dyDescent="0.25">
      <c r="A3" s="148">
        <v>2</v>
      </c>
      <c r="B3" s="173">
        <v>0</v>
      </c>
      <c r="C3" s="139">
        <v>0</v>
      </c>
      <c r="D3" s="173">
        <v>4</v>
      </c>
      <c r="E3" s="173">
        <v>0</v>
      </c>
      <c r="F3" s="149">
        <v>8</v>
      </c>
    </row>
    <row r="4" spans="1:6" x14ac:dyDescent="0.25">
      <c r="A4" s="148">
        <v>3</v>
      </c>
      <c r="B4" s="173">
        <v>17</v>
      </c>
      <c r="C4" s="139">
        <v>5.954682779456193</v>
      </c>
      <c r="D4" s="173">
        <v>0</v>
      </c>
      <c r="E4" s="173">
        <v>0</v>
      </c>
      <c r="F4" s="149">
        <v>4</v>
      </c>
    </row>
    <row r="5" spans="1:6" x14ac:dyDescent="0.25">
      <c r="A5" s="148">
        <v>4</v>
      </c>
      <c r="B5" s="173">
        <v>0</v>
      </c>
      <c r="C5" s="139">
        <v>3.7522658610271904</v>
      </c>
      <c r="D5" s="173">
        <v>0</v>
      </c>
      <c r="E5" s="173">
        <v>40</v>
      </c>
      <c r="F5" s="149">
        <v>8</v>
      </c>
    </row>
    <row r="6" spans="1:6" x14ac:dyDescent="0.25">
      <c r="A6" s="148">
        <v>5</v>
      </c>
      <c r="B6" s="173">
        <v>16</v>
      </c>
      <c r="C6" s="139">
        <v>0</v>
      </c>
      <c r="D6" s="173">
        <v>0</v>
      </c>
      <c r="E6" s="173">
        <v>12</v>
      </c>
      <c r="F6" s="149">
        <v>0</v>
      </c>
    </row>
    <row r="7" spans="1:6" x14ac:dyDescent="0.25">
      <c r="A7" s="148">
        <v>6</v>
      </c>
      <c r="B7" s="173">
        <v>12</v>
      </c>
      <c r="C7" s="139">
        <v>4.0785498489425978</v>
      </c>
      <c r="D7" s="173">
        <v>4</v>
      </c>
      <c r="E7" s="173">
        <v>12</v>
      </c>
      <c r="F7" s="149">
        <v>0</v>
      </c>
    </row>
    <row r="8" spans="1:6" x14ac:dyDescent="0.25">
      <c r="A8" s="148">
        <v>7</v>
      </c>
      <c r="B8" s="173">
        <v>0</v>
      </c>
      <c r="C8" s="139">
        <v>1.8761329305135952</v>
      </c>
      <c r="D8" s="173">
        <v>8</v>
      </c>
      <c r="E8" s="173">
        <v>12</v>
      </c>
      <c r="F8" s="149">
        <v>0</v>
      </c>
    </row>
    <row r="9" spans="1:6" x14ac:dyDescent="0.25">
      <c r="A9" s="148">
        <v>8</v>
      </c>
      <c r="B9" s="173">
        <v>12</v>
      </c>
      <c r="C9" s="139">
        <v>1.8761329305135952</v>
      </c>
      <c r="D9" s="173">
        <v>4</v>
      </c>
      <c r="E9" s="173">
        <v>16</v>
      </c>
      <c r="F9" s="149">
        <v>0</v>
      </c>
    </row>
    <row r="10" spans="1:6" x14ac:dyDescent="0.25">
      <c r="A10" s="148">
        <v>9</v>
      </c>
      <c r="B10" s="173">
        <v>12</v>
      </c>
      <c r="C10" s="139">
        <v>5.6283987915407847</v>
      </c>
      <c r="D10" s="173">
        <v>0</v>
      </c>
      <c r="E10" s="173">
        <v>4</v>
      </c>
      <c r="F10" s="149">
        <v>0</v>
      </c>
    </row>
    <row r="11" spans="1:6" x14ac:dyDescent="0.25">
      <c r="A11" s="148">
        <v>10</v>
      </c>
      <c r="B11" s="173">
        <v>0</v>
      </c>
      <c r="C11" s="139">
        <v>3.7522658610271904</v>
      </c>
      <c r="D11" s="173">
        <v>0</v>
      </c>
      <c r="E11" s="173">
        <v>12</v>
      </c>
      <c r="F11" s="149">
        <v>0</v>
      </c>
    </row>
    <row r="12" spans="1:6" x14ac:dyDescent="0.25">
      <c r="A12" s="148">
        <v>11</v>
      </c>
      <c r="B12" s="173">
        <v>0</v>
      </c>
      <c r="C12" s="139">
        <v>0</v>
      </c>
      <c r="D12" s="173">
        <v>0</v>
      </c>
      <c r="E12" s="173">
        <v>16</v>
      </c>
      <c r="F12" s="149">
        <v>0</v>
      </c>
    </row>
    <row r="13" spans="1:6" x14ac:dyDescent="0.25">
      <c r="A13" s="148">
        <v>12</v>
      </c>
      <c r="B13" s="173">
        <v>0</v>
      </c>
      <c r="C13" s="139">
        <v>1.8761329305135952</v>
      </c>
      <c r="D13" s="173">
        <v>16</v>
      </c>
      <c r="E13" s="173">
        <v>24</v>
      </c>
      <c r="F13" s="149">
        <v>0</v>
      </c>
    </row>
    <row r="14" spans="1:6" x14ac:dyDescent="0.25">
      <c r="A14" s="148">
        <v>13</v>
      </c>
      <c r="B14" s="173">
        <v>12</v>
      </c>
      <c r="C14" s="139">
        <v>0</v>
      </c>
      <c r="D14" s="173">
        <v>0</v>
      </c>
      <c r="E14" s="173">
        <v>12</v>
      </c>
      <c r="F14" s="149">
        <v>0</v>
      </c>
    </row>
    <row r="15" spans="1:6" x14ac:dyDescent="0.25">
      <c r="A15" s="148">
        <v>14</v>
      </c>
      <c r="B15" s="173">
        <v>0</v>
      </c>
      <c r="C15" s="139">
        <v>0</v>
      </c>
      <c r="D15" s="173">
        <v>0</v>
      </c>
      <c r="E15" s="173">
        <v>0</v>
      </c>
      <c r="F15" s="149">
        <v>0</v>
      </c>
    </row>
    <row r="16" spans="1:6" x14ac:dyDescent="0.25">
      <c r="A16" s="148">
        <v>15</v>
      </c>
      <c r="B16" s="173">
        <v>12</v>
      </c>
      <c r="C16" s="139">
        <v>1.8761329305135952</v>
      </c>
      <c r="D16" s="173">
        <v>0</v>
      </c>
      <c r="E16" s="173">
        <v>4</v>
      </c>
      <c r="F16" s="149">
        <v>0</v>
      </c>
    </row>
    <row r="17" spans="1:6" x14ac:dyDescent="0.25">
      <c r="A17" s="148">
        <v>16</v>
      </c>
      <c r="B17" s="173">
        <v>8</v>
      </c>
      <c r="C17" s="139">
        <v>1.8761329305135952</v>
      </c>
      <c r="D17" s="173">
        <v>4</v>
      </c>
      <c r="E17" s="173">
        <v>12</v>
      </c>
      <c r="F17" s="149">
        <v>0</v>
      </c>
    </row>
    <row r="18" spans="1:6" ht="15.75" thickBot="1" x14ac:dyDescent="0.3">
      <c r="A18" s="151">
        <v>17</v>
      </c>
      <c r="B18" s="152">
        <v>0</v>
      </c>
      <c r="C18" s="153">
        <v>0</v>
      </c>
      <c r="D18" s="152">
        <v>4</v>
      </c>
      <c r="E18" s="152">
        <v>8</v>
      </c>
      <c r="F18" s="149">
        <v>0</v>
      </c>
    </row>
    <row r="19" spans="1:6" x14ac:dyDescent="0.25">
      <c r="A19" s="155">
        <v>18</v>
      </c>
      <c r="B19" s="156">
        <v>0</v>
      </c>
      <c r="C19" s="156">
        <v>0</v>
      </c>
      <c r="D19" s="156">
        <v>0</v>
      </c>
      <c r="E19" s="156">
        <v>0</v>
      </c>
      <c r="F19" s="156">
        <v>0</v>
      </c>
    </row>
    <row r="20" spans="1:6" x14ac:dyDescent="0.25">
      <c r="A20" s="148">
        <v>19</v>
      </c>
      <c r="B20" s="156">
        <v>0</v>
      </c>
      <c r="C20" s="156">
        <v>0</v>
      </c>
      <c r="D20" s="156">
        <v>0</v>
      </c>
      <c r="E20" s="156">
        <v>0</v>
      </c>
      <c r="F20" s="156">
        <v>0</v>
      </c>
    </row>
    <row r="21" spans="1:6" x14ac:dyDescent="0.25">
      <c r="A21" s="148">
        <v>20</v>
      </c>
      <c r="B21" s="156">
        <v>0</v>
      </c>
      <c r="C21" s="156">
        <v>0</v>
      </c>
      <c r="D21" s="156">
        <v>0</v>
      </c>
      <c r="E21" s="156">
        <v>0</v>
      </c>
      <c r="F21" s="156">
        <v>0</v>
      </c>
    </row>
    <row r="22" spans="1:6" ht="15.75" thickBot="1" x14ac:dyDescent="0.3">
      <c r="A22" s="159">
        <v>21</v>
      </c>
      <c r="B22" s="156">
        <v>0</v>
      </c>
      <c r="C22" s="156">
        <v>0</v>
      </c>
      <c r="D22" s="156">
        <v>0</v>
      </c>
      <c r="E22" s="156">
        <v>0</v>
      </c>
      <c r="F22" s="156">
        <v>0</v>
      </c>
    </row>
    <row r="23" spans="1:6" x14ac:dyDescent="0.25">
      <c r="A23" s="145">
        <v>22</v>
      </c>
      <c r="B23" s="146">
        <v>0</v>
      </c>
      <c r="C23" s="147">
        <v>0</v>
      </c>
      <c r="D23" s="146">
        <v>0</v>
      </c>
      <c r="E23" s="146">
        <v>16</v>
      </c>
      <c r="F23" s="163">
        <v>0</v>
      </c>
    </row>
    <row r="24" spans="1:6" x14ac:dyDescent="0.25">
      <c r="A24" s="148">
        <v>23</v>
      </c>
      <c r="B24" s="173">
        <v>4</v>
      </c>
      <c r="C24" s="139">
        <v>1.8761329305135952</v>
      </c>
      <c r="D24" s="173">
        <v>4</v>
      </c>
      <c r="E24" s="173">
        <v>16</v>
      </c>
      <c r="F24" s="150">
        <v>0</v>
      </c>
    </row>
    <row r="25" spans="1:6" x14ac:dyDescent="0.25">
      <c r="A25" s="148">
        <v>24</v>
      </c>
      <c r="B25" s="173">
        <v>0</v>
      </c>
      <c r="C25" s="139">
        <v>3.7522658610271904</v>
      </c>
      <c r="D25" s="173">
        <v>4</v>
      </c>
      <c r="E25" s="173">
        <v>4</v>
      </c>
      <c r="F25" s="150">
        <v>4</v>
      </c>
    </row>
    <row r="26" spans="1:6" ht="15.75" thickBot="1" x14ac:dyDescent="0.3">
      <c r="A26" s="148">
        <v>25</v>
      </c>
      <c r="B26" s="173">
        <v>0</v>
      </c>
      <c r="C26" s="139">
        <v>1.8761329305135952</v>
      </c>
      <c r="D26" s="173">
        <v>0</v>
      </c>
      <c r="E26" s="173">
        <v>8</v>
      </c>
      <c r="F26" s="154">
        <v>0</v>
      </c>
    </row>
    <row r="27" spans="1:6" ht="15.75" thickBot="1" x14ac:dyDescent="0.3">
      <c r="A27" s="148">
        <v>26</v>
      </c>
      <c r="B27" s="173">
        <v>8</v>
      </c>
      <c r="C27" s="139">
        <v>0</v>
      </c>
      <c r="D27" s="173">
        <v>0</v>
      </c>
      <c r="E27" s="173">
        <v>16</v>
      </c>
      <c r="F27" s="154">
        <v>0</v>
      </c>
    </row>
    <row r="28" spans="1:6" ht="15.75" thickBot="1" x14ac:dyDescent="0.3">
      <c r="A28" s="148">
        <v>27</v>
      </c>
      <c r="B28" s="173">
        <v>16</v>
      </c>
      <c r="C28" s="139">
        <v>1.8761329305135952</v>
      </c>
      <c r="D28" s="173">
        <v>4</v>
      </c>
      <c r="E28" s="173">
        <v>8</v>
      </c>
      <c r="F28" s="154">
        <v>0</v>
      </c>
    </row>
    <row r="29" spans="1:6" ht="15.75" thickBot="1" x14ac:dyDescent="0.3">
      <c r="A29" s="148">
        <v>28</v>
      </c>
      <c r="B29" s="173">
        <v>8</v>
      </c>
      <c r="C29" s="139">
        <v>0</v>
      </c>
      <c r="D29" s="173">
        <v>8</v>
      </c>
      <c r="E29" s="173">
        <v>0</v>
      </c>
      <c r="F29" s="154">
        <v>0</v>
      </c>
    </row>
    <row r="30" spans="1:6" ht="15.75" thickBot="1" x14ac:dyDescent="0.3">
      <c r="A30" s="148">
        <v>29</v>
      </c>
      <c r="B30" s="173">
        <v>8</v>
      </c>
      <c r="C30" s="139">
        <v>1.8761329305135952</v>
      </c>
      <c r="D30" s="173">
        <v>12</v>
      </c>
      <c r="E30" s="173">
        <v>0</v>
      </c>
      <c r="F30" s="154">
        <v>0</v>
      </c>
    </row>
    <row r="31" spans="1:6" ht="15.75" thickBot="1" x14ac:dyDescent="0.3">
      <c r="A31" s="148">
        <v>30</v>
      </c>
      <c r="B31" s="173">
        <v>20</v>
      </c>
      <c r="C31" s="139">
        <v>0</v>
      </c>
      <c r="D31" s="173">
        <v>20</v>
      </c>
      <c r="E31" s="173">
        <v>0</v>
      </c>
      <c r="F31" s="154">
        <v>0</v>
      </c>
    </row>
    <row r="32" spans="1:6" ht="15.75" thickBot="1" x14ac:dyDescent="0.3">
      <c r="A32" s="148">
        <v>31</v>
      </c>
      <c r="B32" s="173">
        <v>0</v>
      </c>
      <c r="C32" s="139">
        <v>0</v>
      </c>
      <c r="D32" s="173">
        <v>0</v>
      </c>
      <c r="E32" s="173">
        <v>0</v>
      </c>
      <c r="F32" s="154">
        <v>0</v>
      </c>
    </row>
    <row r="33" spans="1:6" ht="15.75" thickBot="1" x14ac:dyDescent="0.3">
      <c r="A33" s="148">
        <v>32</v>
      </c>
      <c r="B33" s="173">
        <v>8</v>
      </c>
      <c r="C33" s="139">
        <v>1.8761329305135952</v>
      </c>
      <c r="D33" s="173">
        <v>8</v>
      </c>
      <c r="E33" s="173">
        <v>0</v>
      </c>
      <c r="F33" s="154">
        <v>0</v>
      </c>
    </row>
    <row r="34" spans="1:6" ht="15.75" thickBot="1" x14ac:dyDescent="0.3">
      <c r="A34" s="148">
        <v>33</v>
      </c>
      <c r="B34" s="173">
        <v>0</v>
      </c>
      <c r="C34" s="139">
        <v>0</v>
      </c>
      <c r="D34" s="173">
        <v>12</v>
      </c>
      <c r="E34" s="173">
        <v>0</v>
      </c>
      <c r="F34" s="154">
        <v>0</v>
      </c>
    </row>
    <row r="35" spans="1:6" ht="15.75" thickBot="1" x14ac:dyDescent="0.3">
      <c r="A35" s="148">
        <v>34</v>
      </c>
      <c r="B35" s="173">
        <v>0</v>
      </c>
      <c r="C35" s="139">
        <v>3.7522658610271904</v>
      </c>
      <c r="D35" s="173">
        <v>0</v>
      </c>
      <c r="E35" s="173">
        <v>0</v>
      </c>
      <c r="F35" s="154">
        <v>0</v>
      </c>
    </row>
    <row r="36" spans="1:6" ht="15.75" thickBot="1" x14ac:dyDescent="0.3">
      <c r="A36" s="148">
        <v>35</v>
      </c>
      <c r="B36" s="173">
        <v>0</v>
      </c>
      <c r="C36" s="139">
        <v>0</v>
      </c>
      <c r="D36" s="173">
        <v>0</v>
      </c>
      <c r="E36" s="173">
        <v>0</v>
      </c>
      <c r="F36" s="154">
        <v>0</v>
      </c>
    </row>
    <row r="37" spans="1:6" ht="15.75" thickBot="1" x14ac:dyDescent="0.3">
      <c r="A37" s="151">
        <v>36</v>
      </c>
      <c r="B37" s="152">
        <v>0</v>
      </c>
      <c r="C37" s="153">
        <v>0</v>
      </c>
      <c r="D37" s="152">
        <v>0</v>
      </c>
      <c r="E37" s="152">
        <v>0</v>
      </c>
      <c r="F37" s="1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Sheet7</vt:lpstr>
      <vt:lpstr>Sheet1 (2)</vt:lpstr>
      <vt:lpstr>Semester 1 - txt</vt:lpstr>
      <vt:lpstr>Semester 1 - txt (2)</vt:lpstr>
      <vt:lpstr>AMPL output1</vt:lpstr>
      <vt:lpstr>Mathematica</vt:lpstr>
      <vt:lpstr>'AMPL output1'!x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Lin</dc:creator>
  <cp:lastModifiedBy>College of Engineering</cp:lastModifiedBy>
  <dcterms:created xsi:type="dcterms:W3CDTF">2012-04-08T06:12:35Z</dcterms:created>
  <dcterms:modified xsi:type="dcterms:W3CDTF">2012-04-28T17:29:31Z</dcterms:modified>
</cp:coreProperties>
</file>