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B40" i="1"/>
  <c r="B38" i="1"/>
  <c r="F185" i="1" l="1"/>
  <c r="F186" i="1" s="1"/>
  <c r="G225" i="1"/>
  <c r="G226" i="1" s="1"/>
  <c r="F205" i="1"/>
  <c r="F206" i="1" s="1"/>
  <c r="E255" i="1"/>
  <c r="E254" i="1"/>
  <c r="E253" i="1"/>
  <c r="C258" i="1" s="1"/>
  <c r="E252" i="1"/>
  <c r="B258" i="1" s="1"/>
  <c r="E251" i="1"/>
  <c r="E250" i="1"/>
  <c r="E249" i="1"/>
  <c r="E248" i="1"/>
  <c r="E247" i="1"/>
  <c r="E246" i="1"/>
  <c r="E245" i="1"/>
  <c r="G244" i="1"/>
  <c r="G245" i="1" s="1"/>
  <c r="A243" i="1"/>
  <c r="C243" i="1"/>
  <c r="D243" i="1"/>
  <c r="B243" i="1"/>
  <c r="E236" i="1"/>
  <c r="E235" i="1"/>
  <c r="C240" i="1" s="1"/>
  <c r="E234" i="1"/>
  <c r="B240" i="1" s="1"/>
  <c r="E233" i="1"/>
  <c r="E232" i="1"/>
  <c r="E231" i="1"/>
  <c r="E230" i="1"/>
  <c r="E229" i="1"/>
  <c r="C239" i="1" s="1"/>
  <c r="E228" i="1"/>
  <c r="B239" i="1" s="1"/>
  <c r="E227" i="1"/>
  <c r="E226" i="1"/>
  <c r="D224" i="1"/>
  <c r="C224" i="1"/>
  <c r="B224" i="1"/>
  <c r="E216" i="1"/>
  <c r="E215" i="1"/>
  <c r="E214" i="1"/>
  <c r="E213" i="1"/>
  <c r="E212" i="1"/>
  <c r="C221" i="1" s="1"/>
  <c r="E211" i="1"/>
  <c r="B221" i="1" s="1"/>
  <c r="E210" i="1"/>
  <c r="E209" i="1"/>
  <c r="E208" i="1"/>
  <c r="E207" i="1"/>
  <c r="C220" i="1" s="1"/>
  <c r="E206" i="1"/>
  <c r="B220" i="1" s="1"/>
  <c r="E187" i="1"/>
  <c r="E188" i="1"/>
  <c r="E189" i="1"/>
  <c r="E190" i="1"/>
  <c r="E191" i="1"/>
  <c r="E192" i="1"/>
  <c r="E193" i="1"/>
  <c r="E194" i="1"/>
  <c r="E195" i="1"/>
  <c r="E196" i="1"/>
  <c r="E186" i="1"/>
  <c r="C204" i="1"/>
  <c r="D204" i="1"/>
  <c r="B204" i="1"/>
  <c r="D184" i="1"/>
  <c r="C184" i="1"/>
  <c r="B184" i="1"/>
  <c r="C24" i="1"/>
  <c r="O84" i="1"/>
  <c r="N84" i="1"/>
  <c r="J84" i="1"/>
  <c r="J81" i="1" s="1"/>
  <c r="O80" i="1"/>
  <c r="N80" i="1"/>
  <c r="I77" i="1"/>
  <c r="I82" i="1" s="1"/>
  <c r="O76" i="1"/>
  <c r="N76" i="1"/>
  <c r="O72" i="1"/>
  <c r="N72" i="1"/>
  <c r="O68" i="1"/>
  <c r="N68" i="1"/>
  <c r="I68" i="1"/>
  <c r="L68" i="1" s="1"/>
  <c r="O64" i="1"/>
  <c r="N64" i="1"/>
  <c r="O60" i="1"/>
  <c r="N60" i="1"/>
  <c r="O56" i="1"/>
  <c r="N56" i="1"/>
  <c r="J56" i="1"/>
  <c r="J53" i="1" s="1"/>
  <c r="O52" i="1"/>
  <c r="N52" i="1"/>
  <c r="I49" i="1"/>
  <c r="I54" i="1" s="1"/>
  <c r="O48" i="1"/>
  <c r="N48" i="1"/>
  <c r="O44" i="1"/>
  <c r="N44" i="1"/>
  <c r="O40" i="1"/>
  <c r="N40" i="1"/>
  <c r="I40" i="1"/>
  <c r="L40" i="1" s="1"/>
  <c r="O36" i="1"/>
  <c r="N36" i="1"/>
  <c r="O32" i="1"/>
  <c r="N32" i="1"/>
  <c r="C14" i="1"/>
  <c r="B14" i="1"/>
  <c r="C13" i="1"/>
  <c r="B13" i="1"/>
  <c r="I147" i="1"/>
  <c r="I140" i="1"/>
  <c r="I133" i="1"/>
  <c r="I108" i="1"/>
  <c r="I111" i="1" s="1"/>
  <c r="I122" i="1"/>
  <c r="F124" i="1" s="1"/>
  <c r="I115" i="1"/>
  <c r="I118" i="1" s="1"/>
  <c r="O27" i="1"/>
  <c r="O23" i="1"/>
  <c r="O19" i="1"/>
  <c r="O15" i="1"/>
  <c r="O11" i="1"/>
  <c r="O7" i="1"/>
  <c r="O3" i="1"/>
  <c r="N27" i="1"/>
  <c r="N23" i="1"/>
  <c r="N19" i="1"/>
  <c r="N15" i="1"/>
  <c r="N11" i="1"/>
  <c r="N7" i="1"/>
  <c r="N3" i="1"/>
  <c r="C29" i="1"/>
  <c r="M56" i="1" s="1"/>
  <c r="C25" i="1"/>
  <c r="M68" i="1" s="1"/>
  <c r="D18" i="1"/>
  <c r="D19" i="1"/>
  <c r="D17" i="1"/>
  <c r="C23" i="1" s="1"/>
  <c r="M32" i="1" s="1"/>
  <c r="L76" i="1" l="1"/>
  <c r="C28" i="1"/>
  <c r="I63" i="1"/>
  <c r="I35" i="1"/>
  <c r="L48" i="1"/>
  <c r="G140" i="1"/>
  <c r="G141" i="1" s="1"/>
  <c r="B33" i="1" s="1"/>
  <c r="D33" i="1" s="1"/>
  <c r="G139" i="1"/>
  <c r="G146" i="1"/>
  <c r="G147" i="1" s="1"/>
  <c r="G148" i="1" s="1"/>
  <c r="B34" i="1" s="1"/>
  <c r="M40" i="1"/>
  <c r="M84" i="1"/>
  <c r="M27" i="1"/>
  <c r="M7" i="1"/>
  <c r="M36" i="1"/>
  <c r="M64" i="1"/>
  <c r="M60" i="1"/>
  <c r="L84" i="1"/>
  <c r="L80" i="1"/>
  <c r="L56" i="1"/>
  <c r="L52" i="1"/>
  <c r="C26" i="1"/>
  <c r="C27" i="1"/>
  <c r="M11" i="1"/>
  <c r="M3" i="1"/>
  <c r="I125" i="1"/>
  <c r="F117" i="1"/>
  <c r="F110" i="1"/>
  <c r="J102" i="1"/>
  <c r="J99" i="1" s="1"/>
  <c r="J91" i="1"/>
  <c r="J94" i="1" s="1"/>
  <c r="I100" i="1"/>
  <c r="J27" i="1"/>
  <c r="J24" i="1" s="1"/>
  <c r="I20" i="1"/>
  <c r="I25" i="1" s="1"/>
  <c r="J7" i="1"/>
  <c r="J4" i="1" s="1"/>
  <c r="I11" i="1"/>
  <c r="I6" i="1" s="1"/>
  <c r="L3" i="1" l="1"/>
  <c r="L27" i="1"/>
  <c r="L19" i="1"/>
  <c r="C33" i="1"/>
  <c r="Q84" i="1" s="1"/>
  <c r="D34" i="1"/>
  <c r="R48" i="1" s="1"/>
  <c r="C34" i="1"/>
  <c r="L23" i="1"/>
  <c r="L11" i="1"/>
  <c r="K102" i="1"/>
  <c r="O102" i="1" s="1"/>
  <c r="M19" i="1"/>
  <c r="M48" i="1"/>
  <c r="M76" i="1"/>
  <c r="L7" i="1"/>
  <c r="R32" i="1"/>
  <c r="Q80" i="1"/>
  <c r="M15" i="1"/>
  <c r="M44" i="1"/>
  <c r="M72" i="1"/>
  <c r="B12" i="1"/>
  <c r="J133" i="1" s="1"/>
  <c r="M23" i="1"/>
  <c r="M52" i="1"/>
  <c r="M80" i="1"/>
  <c r="C12" i="1"/>
  <c r="J129" i="1" s="1"/>
  <c r="G132" i="1" s="1"/>
  <c r="G133" i="1" s="1"/>
  <c r="G134" i="1" s="1"/>
  <c r="B32" i="1" s="1"/>
  <c r="D32" i="1" s="1"/>
  <c r="Q56" i="1"/>
  <c r="B43" i="1"/>
  <c r="B42" i="1"/>
  <c r="Q3" i="1"/>
  <c r="R11" i="1"/>
  <c r="K98" i="1"/>
  <c r="O94" i="1" s="1"/>
  <c r="I93" i="1"/>
  <c r="K90" i="1" s="1"/>
  <c r="O90" i="1" s="1"/>
  <c r="Q15" i="1" l="1"/>
  <c r="Q68" i="1"/>
  <c r="Q23" i="1"/>
  <c r="Q32" i="1"/>
  <c r="Q72" i="1"/>
  <c r="R68" i="1"/>
  <c r="Q7" i="1"/>
  <c r="Q48" i="1"/>
  <c r="Q76" i="1"/>
  <c r="R7" i="1"/>
  <c r="R40" i="1"/>
  <c r="R44" i="1"/>
  <c r="R19" i="1"/>
  <c r="Q27" i="1"/>
  <c r="Q19" i="1"/>
  <c r="Q36" i="1"/>
  <c r="Q44" i="1"/>
  <c r="Q64" i="1"/>
  <c r="Q60" i="1"/>
  <c r="R56" i="1"/>
  <c r="R52" i="1"/>
  <c r="R27" i="1"/>
  <c r="R3" i="1"/>
  <c r="Q11" i="1"/>
  <c r="Q52" i="1"/>
  <c r="Q40" i="1"/>
  <c r="R36" i="1"/>
  <c r="R60" i="1"/>
  <c r="R80" i="1"/>
  <c r="R23" i="1"/>
  <c r="R15" i="1"/>
  <c r="R76" i="1"/>
  <c r="R72" i="1"/>
  <c r="R84" i="1"/>
  <c r="R64" i="1"/>
  <c r="C32" i="1"/>
  <c r="P64" i="1" s="1"/>
  <c r="S64" i="1" s="1"/>
  <c r="J66" i="1" s="1"/>
  <c r="K94" i="1"/>
  <c r="O98" i="1" s="1"/>
  <c r="P3" i="1" l="1"/>
  <c r="S3" i="1" s="1"/>
  <c r="J2" i="1" s="1"/>
  <c r="P72" i="1"/>
  <c r="S72" i="1" s="1"/>
  <c r="H73" i="1" s="1"/>
  <c r="I174" i="1" s="1"/>
  <c r="P32" i="1"/>
  <c r="S32" i="1" s="1"/>
  <c r="J31" i="1" s="1"/>
  <c r="P36" i="1"/>
  <c r="S36" i="1" s="1"/>
  <c r="J38" i="1" s="1"/>
  <c r="P84" i="1"/>
  <c r="S84" i="1" s="1"/>
  <c r="J86" i="1" s="1"/>
  <c r="P68" i="1"/>
  <c r="S68" i="1" s="1"/>
  <c r="I70" i="1" s="1"/>
  <c r="P27" i="1"/>
  <c r="S27" i="1" s="1"/>
  <c r="J29" i="1" s="1"/>
  <c r="P19" i="1"/>
  <c r="S19" i="1" s="1"/>
  <c r="I18" i="1" s="1"/>
  <c r="P44" i="1"/>
  <c r="S44" i="1" s="1"/>
  <c r="H45" i="1" s="1"/>
  <c r="I165" i="1" s="1"/>
  <c r="P80" i="1"/>
  <c r="S80" i="1" s="1"/>
  <c r="J79" i="1" s="1"/>
  <c r="P11" i="1"/>
  <c r="S11" i="1" s="1"/>
  <c r="I13" i="1" s="1"/>
  <c r="P48" i="1"/>
  <c r="S48" i="1" s="1"/>
  <c r="I47" i="1" s="1"/>
  <c r="P60" i="1"/>
  <c r="S60" i="1" s="1"/>
  <c r="J59" i="1" s="1"/>
  <c r="P52" i="1"/>
  <c r="S52" i="1" s="1"/>
  <c r="J51" i="1" s="1"/>
  <c r="P56" i="1"/>
  <c r="S56" i="1" s="1"/>
  <c r="J58" i="1" s="1"/>
  <c r="P7" i="1"/>
  <c r="S7" i="1" s="1"/>
  <c r="J9" i="1" s="1"/>
  <c r="P76" i="1"/>
  <c r="S76" i="1" s="1"/>
  <c r="I75" i="1" s="1"/>
  <c r="P40" i="1"/>
  <c r="S40" i="1" s="1"/>
  <c r="I42" i="1" s="1"/>
  <c r="P23" i="1"/>
  <c r="S23" i="1" s="1"/>
  <c r="J22" i="1" s="1"/>
  <c r="P15" i="1"/>
  <c r="S15" i="1" s="1"/>
  <c r="H16" i="1" s="1"/>
  <c r="C244" i="1" s="1"/>
  <c r="M93" i="1"/>
  <c r="M100" i="1"/>
  <c r="C205" i="1" l="1"/>
  <c r="C225" i="1"/>
  <c r="I27" i="1"/>
  <c r="H23" i="1" s="1"/>
  <c r="D244" i="1" s="1"/>
  <c r="I156" i="1"/>
  <c r="C185" i="1"/>
  <c r="N94" i="1"/>
  <c r="J36" i="1" s="1"/>
  <c r="L36" i="1" s="1"/>
  <c r="G45" i="1"/>
  <c r="H165" i="1" s="1"/>
  <c r="N102" i="1"/>
  <c r="J64" i="1" s="1"/>
  <c r="L64" i="1" s="1"/>
  <c r="G72" i="1"/>
  <c r="H173" i="1" s="1"/>
  <c r="I4" i="1"/>
  <c r="H7" i="1" s="1"/>
  <c r="B244" i="1" s="1"/>
  <c r="I84" i="1"/>
  <c r="H80" i="1" s="1"/>
  <c r="I177" i="1" s="1"/>
  <c r="I56" i="1"/>
  <c r="H52" i="1" s="1"/>
  <c r="I168" i="1" s="1"/>
  <c r="N91" i="1"/>
  <c r="N99" i="1"/>
  <c r="J61" i="1" s="1"/>
  <c r="L60" i="1" s="1"/>
  <c r="D205" i="1" l="1"/>
  <c r="D225" i="1"/>
  <c r="B205" i="1"/>
  <c r="B225" i="1"/>
  <c r="I159" i="1"/>
  <c r="D185" i="1"/>
  <c r="I153" i="1"/>
  <c r="B185" i="1"/>
  <c r="J33" i="1"/>
  <c r="L32" i="1" s="1"/>
  <c r="I61" i="1"/>
  <c r="H64" i="1" s="1"/>
  <c r="G16" i="1"/>
  <c r="G15" i="1" s="1"/>
  <c r="G154" i="1" l="1"/>
  <c r="G74" i="1"/>
  <c r="I171" i="1"/>
  <c r="H175" i="1" s="1"/>
  <c r="I33" i="1"/>
  <c r="H36" i="1" s="1"/>
  <c r="G43" i="1" l="1"/>
  <c r="F59" i="1" s="1"/>
  <c r="I162" i="1"/>
  <c r="H163" i="1" s="1"/>
  <c r="G170" i="1" s="1"/>
  <c r="E162" i="1" s="1"/>
  <c r="D162" i="1" s="1"/>
</calcChain>
</file>

<file path=xl/sharedStrings.xml><?xml version="1.0" encoding="utf-8"?>
<sst xmlns="http://schemas.openxmlformats.org/spreadsheetml/2006/main" count="218" uniqueCount="97">
  <si>
    <t>Success</t>
  </si>
  <si>
    <t>Rejection</t>
  </si>
  <si>
    <t>Operative Death</t>
  </si>
  <si>
    <t>Survive</t>
  </si>
  <si>
    <t>Death</t>
  </si>
  <si>
    <t>No Death</t>
  </si>
  <si>
    <t>Outcome</t>
  </si>
  <si>
    <t>Transplantation</t>
  </si>
  <si>
    <t>Fails</t>
  </si>
  <si>
    <t>Treatment</t>
  </si>
  <si>
    <t>Test</t>
  </si>
  <si>
    <t>No Test</t>
  </si>
  <si>
    <t>Length of Life</t>
  </si>
  <si>
    <t>Cost</t>
  </si>
  <si>
    <t>Length of life</t>
  </si>
  <si>
    <t>Quality of Life</t>
  </si>
  <si>
    <t>Parameters</t>
  </si>
  <si>
    <t>P(Transplantation Rejection)</t>
  </si>
  <si>
    <t>P(Treatment Success)</t>
  </si>
  <si>
    <t>P(Surgery Death)</t>
  </si>
  <si>
    <t>P(Death| Treatment Failure)</t>
  </si>
  <si>
    <t>Probabilities</t>
  </si>
  <si>
    <t>P("Transp Success" | Transp Success)</t>
  </si>
  <si>
    <t>P("Transp Reject" | Transp Reject)</t>
  </si>
  <si>
    <t>Transp "success"</t>
  </si>
  <si>
    <t>Transp "Reject"</t>
  </si>
  <si>
    <t>"Success"</t>
  </si>
  <si>
    <t>"Rejection"</t>
  </si>
  <si>
    <t>Risk Tolerance</t>
  </si>
  <si>
    <t>Attribute Ranges</t>
  </si>
  <si>
    <t>Cost ($)</t>
  </si>
  <si>
    <t>Length of Life (0%=Death, 100% = Full)</t>
  </si>
  <si>
    <t>Attributes</t>
  </si>
  <si>
    <t xml:space="preserve">Cost </t>
  </si>
  <si>
    <t>Alternatives</t>
  </si>
  <si>
    <t>Amputation</t>
  </si>
  <si>
    <t>Transplant</t>
  </si>
  <si>
    <t>Costs ($ thousands)</t>
  </si>
  <si>
    <t>Operation</t>
  </si>
  <si>
    <t>Followup</t>
  </si>
  <si>
    <t>Total</t>
  </si>
  <si>
    <t>Foot transplant</t>
  </si>
  <si>
    <t>Foot amputated</t>
  </si>
  <si>
    <t>Foot saved</t>
  </si>
  <si>
    <t>Let amputated</t>
  </si>
  <si>
    <t>Leg amputated</t>
  </si>
  <si>
    <t>Quality of Life (0 = worst, 10 = best)</t>
  </si>
  <si>
    <t>p</t>
  </si>
  <si>
    <t>1-p</t>
  </si>
  <si>
    <t>Scaling constant</t>
  </si>
  <si>
    <t>k1</t>
  </si>
  <si>
    <t>k2</t>
  </si>
  <si>
    <t>k3</t>
  </si>
  <si>
    <t>odds ratio</t>
  </si>
  <si>
    <t>a</t>
  </si>
  <si>
    <t>b</t>
  </si>
  <si>
    <t>Single Attribute Utility</t>
  </si>
  <si>
    <t>Multiattribute Utility</t>
  </si>
  <si>
    <t>Normalizing Constant (K)</t>
  </si>
  <si>
    <t>Scaling Constants (k)</t>
  </si>
  <si>
    <t>CE</t>
  </si>
  <si>
    <t>Mean</t>
  </si>
  <si>
    <t>Var</t>
  </si>
  <si>
    <t>R</t>
  </si>
  <si>
    <t>(x1,50%,5)</t>
  </si>
  <si>
    <t>Best</t>
  </si>
  <si>
    <t>Worst</t>
  </si>
  <si>
    <t>(-100,100%,10)</t>
  </si>
  <si>
    <t>(-100,0%,0)</t>
  </si>
  <si>
    <t>(-500,0%,0)</t>
  </si>
  <si>
    <t>(-500,100%,0)</t>
  </si>
  <si>
    <t>(-500,0%,10)</t>
  </si>
  <si>
    <t>(-100,50%,5)</t>
  </si>
  <si>
    <t>(-500,50%,5)</t>
  </si>
  <si>
    <t>(-300,100%,5)</t>
  </si>
  <si>
    <t>(-300,0%,5)</t>
  </si>
  <si>
    <t>(-300,50%,10)</t>
  </si>
  <si>
    <t>(-300,50%,x3)</t>
  </si>
  <si>
    <t>U(x1,x2,x3)</t>
  </si>
  <si>
    <t>Transp "Success"</t>
  </si>
  <si>
    <t>Sensitivity Analysis</t>
  </si>
  <si>
    <t>Scaling and Risk tolerance</t>
  </si>
  <si>
    <t>Summary of testing</t>
  </si>
  <si>
    <t>Testing probabilities</t>
  </si>
  <si>
    <t>Reference</t>
  </si>
  <si>
    <t>Indifferent Points</t>
  </si>
  <si>
    <t>Change From</t>
  </si>
  <si>
    <t>To as Parameter Increases</t>
  </si>
  <si>
    <t>Prob</t>
  </si>
  <si>
    <t>x1</t>
  </si>
  <si>
    <t>x2</t>
  </si>
  <si>
    <t>x3</t>
  </si>
  <si>
    <t>U(x1)</t>
  </si>
  <si>
    <t>U(x2)</t>
  </si>
  <si>
    <t>U(x3)</t>
  </si>
  <si>
    <t>(-300,x2,5)</t>
  </si>
  <si>
    <t>(-300,50%,0)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</si>
</sst>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2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5" xfId="0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2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2" xfId="0" applyNumberFormat="1" applyFill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3" borderId="8" xfId="0" applyFont="1" applyFill="1" applyBorder="1"/>
    <xf numFmtId="0" fontId="0" fillId="3" borderId="8" xfId="0" applyFill="1" applyBorder="1"/>
    <xf numFmtId="0" fontId="2" fillId="3" borderId="8" xfId="0" applyFont="1" applyFill="1" applyBorder="1"/>
    <xf numFmtId="0" fontId="0" fillId="2" borderId="0" xfId="0" applyFill="1" applyBorder="1" applyAlignment="1">
      <alignment horizontal="center"/>
    </xf>
    <xf numFmtId="0" fontId="4" fillId="2" borderId="0" xfId="0" applyFont="1" applyFill="1" applyBorder="1"/>
    <xf numFmtId="0" fontId="1" fillId="2" borderId="0" xfId="0" applyFont="1" applyFill="1" applyBorder="1"/>
    <xf numFmtId="0" fontId="5" fillId="2" borderId="0" xfId="0" applyFont="1" applyFill="1" applyBorder="1"/>
    <xf numFmtId="165" fontId="0" fillId="0" borderId="0" xfId="0" applyNumberFormat="1"/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164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9418197725284"/>
          <c:y val="5.1400554097404488E-2"/>
          <c:w val="0.50737839020122488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Sheet1!$B$184</c:f>
              <c:strCache>
                <c:ptCount val="1"/>
                <c:pt idx="0">
                  <c:v>Transplantation</c:v>
                </c:pt>
              </c:strCache>
            </c:strRef>
          </c:tx>
          <c:marker>
            <c:symbol val="none"/>
          </c:marker>
          <c:xVal>
            <c:numRef>
              <c:f>Sheet1!$A$186:$A$196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Sheet1!$B$186:$B$196</c:f>
              <c:numCache>
                <c:formatCode>0.000</c:formatCode>
                <c:ptCount val="11"/>
                <c:pt idx="0">
                  <c:v>0.9369795072578132</c:v>
                </c:pt>
                <c:pt idx="1">
                  <c:v>0.93282174363280146</c:v>
                </c:pt>
                <c:pt idx="2">
                  <c:v>0.92957307558070668</c:v>
                </c:pt>
                <c:pt idx="3">
                  <c:v>0.92705401872414506</c:v>
                </c:pt>
                <c:pt idx="4">
                  <c:v>0.92510872529977994</c:v>
                </c:pt>
                <c:pt idx="5">
                  <c:v>0.92362572765003093</c:v>
                </c:pt>
                <c:pt idx="6">
                  <c:v>0.92252259464593922</c:v>
                </c:pt>
                <c:pt idx="7">
                  <c:v>0.92173669299155803</c:v>
                </c:pt>
                <c:pt idx="8">
                  <c:v>0.92121935052271786</c:v>
                </c:pt>
                <c:pt idx="9">
                  <c:v>0.92093202041563804</c:v>
                </c:pt>
                <c:pt idx="10">
                  <c:v>0.92084367579501114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Sheet1!$C$184</c:f>
              <c:strCache>
                <c:ptCount val="1"/>
                <c:pt idx="0">
                  <c:v>Amputation</c:v>
                </c:pt>
              </c:strCache>
            </c:strRef>
          </c:tx>
          <c:marker>
            <c:symbol val="none"/>
          </c:marker>
          <c:xVal>
            <c:numRef>
              <c:f>Sheet1!$A$186:$A$196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Sheet1!$C$186:$C$196</c:f>
              <c:numCache>
                <c:formatCode>0.000</c:formatCode>
                <c:ptCount val="11"/>
                <c:pt idx="0">
                  <c:v>0.93744848607519649</c:v>
                </c:pt>
                <c:pt idx="1">
                  <c:v>0.93680160539644963</c:v>
                </c:pt>
                <c:pt idx="2">
                  <c:v>0.93655676143981836</c:v>
                </c:pt>
                <c:pt idx="3">
                  <c:v>0.93661900395782061</c:v>
                </c:pt>
                <c:pt idx="4">
                  <c:v>0.93691795033126046</c:v>
                </c:pt>
                <c:pt idx="5">
                  <c:v>0.93740390756528968</c:v>
                </c:pt>
                <c:pt idx="6">
                  <c:v>0.93804059145391994</c:v>
                </c:pt>
                <c:pt idx="7">
                  <c:v>0.93880077543944429</c:v>
                </c:pt>
                <c:pt idx="8">
                  <c:v>0.93966356190718059</c:v>
                </c:pt>
                <c:pt idx="9">
                  <c:v>0.94061260189936746</c:v>
                </c:pt>
                <c:pt idx="10">
                  <c:v>0.94163489452454285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Sheet1!$D$184</c:f>
              <c:strCache>
                <c:ptCount val="1"/>
                <c:pt idx="0">
                  <c:v>Treatment</c:v>
                </c:pt>
              </c:strCache>
            </c:strRef>
          </c:tx>
          <c:marker>
            <c:symbol val="none"/>
          </c:marker>
          <c:xVal>
            <c:numRef>
              <c:f>Sheet1!$A$186:$A$196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Sheet1!$D$186:$D$196</c:f>
              <c:numCache>
                <c:formatCode>0.000</c:formatCode>
                <c:ptCount val="11"/>
                <c:pt idx="0">
                  <c:v>0.89684406954178597</c:v>
                </c:pt>
                <c:pt idx="1">
                  <c:v>0.89993081398627606</c:v>
                </c:pt>
                <c:pt idx="2">
                  <c:v>0.9033215492829394</c:v>
                </c:pt>
                <c:pt idx="3">
                  <c:v>0.90692201120877269</c:v>
                </c:pt>
                <c:pt idx="4">
                  <c:v>0.91068773733023334</c:v>
                </c:pt>
                <c:pt idx="5">
                  <c:v>0.91458688118421438</c:v>
                </c:pt>
                <c:pt idx="6">
                  <c:v>0.91859585951412148</c:v>
                </c:pt>
                <c:pt idx="7">
                  <c:v>0.92269672907554534</c:v>
                </c:pt>
                <c:pt idx="8">
                  <c:v>0.92687552797154615</c:v>
                </c:pt>
                <c:pt idx="9">
                  <c:v>0.93112118469269922</c:v>
                </c:pt>
                <c:pt idx="10">
                  <c:v>0.93542477649620914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sysDash"/>
            </a:ln>
          </c:spPr>
          <c:marker>
            <c:symbol val="none"/>
          </c:marker>
          <c:xVal>
            <c:numRef>
              <c:f>Sheet1!$F$185:$F$186</c:f>
              <c:numCache>
                <c:formatCode>0.00</c:formatCode>
                <c:ptCount val="2"/>
                <c:pt idx="0">
                  <c:v>0.16666666666666669</c:v>
                </c:pt>
                <c:pt idx="1">
                  <c:v>0.16666666666666669</c:v>
                </c:pt>
              </c:numCache>
            </c:numRef>
          </c:xVal>
          <c:yVal>
            <c:numRef>
              <c:f>Sheet1!$G$185:$G$186</c:f>
              <c:numCache>
                <c:formatCode>General</c:formatCode>
                <c:ptCount val="2"/>
                <c:pt idx="0" formatCode="0.000">
                  <c:v>0.88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3136"/>
        <c:axId val="188821888"/>
      </c:scatterChart>
      <c:valAx>
        <c:axId val="1882831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k1</a:t>
                </a:r>
                <a:r>
                  <a:rPr lang="en-US" baseline="0"/>
                  <a:t> (Cost)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8821888"/>
        <c:crosses val="autoZero"/>
        <c:crossBetween val="midCat"/>
        <c:majorUnit val="0.2"/>
      </c:valAx>
      <c:valAx>
        <c:axId val="188821888"/>
        <c:scaling>
          <c:orientation val="minMax"/>
          <c:max val="1"/>
          <c:min val="0.880000000000000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 U(x1,x2,x3)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173775153105861"/>
            </c:manualLayout>
          </c:layout>
          <c:overlay val="0"/>
        </c:title>
        <c:numFmt formatCode="0.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8283136"/>
        <c:crosses val="autoZero"/>
        <c:crossBetween val="midCat"/>
      </c:valAx>
      <c:spPr>
        <a:gradFill>
          <a:gsLst>
            <a:gs pos="0">
              <a:schemeClr val="bg1">
                <a:lumMod val="52000"/>
                <a:alpha val="40000"/>
              </a:schemeClr>
            </a:gs>
            <a:gs pos="50000">
              <a:schemeClr val="bg1">
                <a:lumMod val="65000"/>
                <a:alpha val="26000"/>
              </a:schemeClr>
            </a:gs>
            <a:gs pos="100000">
              <a:schemeClr val="bg1">
                <a:lumMod val="85000"/>
                <a:alpha val="25000"/>
              </a:schemeClr>
            </a:gs>
          </a:gsLst>
          <a:lin ang="2700000" scaled="1"/>
        </a:gra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9418197725284"/>
          <c:y val="5.1400554097404488E-2"/>
          <c:w val="0.50737839020122488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Sheet1!$B$184</c:f>
              <c:strCache>
                <c:ptCount val="1"/>
                <c:pt idx="0">
                  <c:v>Transplantation</c:v>
                </c:pt>
              </c:strCache>
            </c:strRef>
          </c:tx>
          <c:marker>
            <c:symbol val="none"/>
          </c:marker>
          <c:xVal>
            <c:numRef>
              <c:f>Sheet1!$A$206:$A$216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Sheet1!$B$206:$B$216</c:f>
              <c:numCache>
                <c:formatCode>0.000</c:formatCode>
                <c:ptCount val="11"/>
                <c:pt idx="0">
                  <c:v>0.79223079257329354</c:v>
                </c:pt>
                <c:pt idx="1">
                  <c:v>0.84281588876754698</c:v>
                </c:pt>
                <c:pt idx="2">
                  <c:v>0.87055668350285142</c:v>
                </c:pt>
                <c:pt idx="3">
                  <c:v>0.88931277619237181</c:v>
                </c:pt>
                <c:pt idx="4">
                  <c:v>0.90349271775892559</c:v>
                </c:pt>
                <c:pt idx="5">
                  <c:v>0.91498165231860018</c:v>
                </c:pt>
                <c:pt idx="6">
                  <c:v>0.92474058355381095</c:v>
                </c:pt>
                <c:pt idx="7">
                  <c:v>0.93331646406953794</c:v>
                </c:pt>
                <c:pt idx="8">
                  <c:v>0.94104545839154907</c:v>
                </c:pt>
                <c:pt idx="9">
                  <c:v>0.94814634302072776</c:v>
                </c:pt>
                <c:pt idx="10">
                  <c:v>0.95476797773553435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Sheet1!$C$184</c:f>
              <c:strCache>
                <c:ptCount val="1"/>
                <c:pt idx="0">
                  <c:v>Amputation</c:v>
                </c:pt>
              </c:strCache>
            </c:strRef>
          </c:tx>
          <c:marker>
            <c:symbol val="none"/>
          </c:marker>
          <c:xVal>
            <c:numRef>
              <c:f>Sheet1!$A$206:$A$216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Sheet1!$C$206:$C$216</c:f>
              <c:numCache>
                <c:formatCode>0.000</c:formatCode>
                <c:ptCount val="11"/>
                <c:pt idx="0">
                  <c:v>0.79351876360466067</c:v>
                </c:pt>
                <c:pt idx="1">
                  <c:v>0.83203801892315754</c:v>
                </c:pt>
                <c:pt idx="2">
                  <c:v>0.85756454869384291</c:v>
                </c:pt>
                <c:pt idx="3">
                  <c:v>0.87791272306771229</c:v>
                </c:pt>
                <c:pt idx="4">
                  <c:v>0.89561555938709969</c:v>
                </c:pt>
                <c:pt idx="5">
                  <c:v>0.91175992972060127</c:v>
                </c:pt>
                <c:pt idx="6">
                  <c:v>0.9269011151575226</c:v>
                </c:pt>
                <c:pt idx="7">
                  <c:v>0.94135564023195584</c:v>
                </c:pt>
                <c:pt idx="8">
                  <c:v>0.95531826866575087</c:v>
                </c:pt>
                <c:pt idx="9">
                  <c:v>0.96891586585792189</c:v>
                </c:pt>
                <c:pt idx="10">
                  <c:v>0.98223481484871256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Sheet1!$D$184</c:f>
              <c:strCache>
                <c:ptCount val="1"/>
                <c:pt idx="0">
                  <c:v>Treatment</c:v>
                </c:pt>
              </c:strCache>
            </c:strRef>
          </c:tx>
          <c:marker>
            <c:symbol val="none"/>
          </c:marker>
          <c:xVal>
            <c:numRef>
              <c:f>Sheet1!$A$206:$A$216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Sheet1!$D$206:$D$216</c:f>
              <c:numCache>
                <c:formatCode>0.000</c:formatCode>
                <c:ptCount val="11"/>
                <c:pt idx="0">
                  <c:v>0.80765686690915317</c:v>
                </c:pt>
                <c:pt idx="1">
                  <c:v>0.83006757525685337</c:v>
                </c:pt>
                <c:pt idx="2">
                  <c:v>0.84619851579171879</c:v>
                </c:pt>
                <c:pt idx="3">
                  <c:v>0.85983019760937252</c:v>
                </c:pt>
                <c:pt idx="4">
                  <c:v>0.87218987900266609</c:v>
                </c:pt>
                <c:pt idx="5">
                  <c:v>0.88380190362133493</c:v>
                </c:pt>
                <c:pt idx="6">
                  <c:v>0.89493342436739409</c:v>
                </c:pt>
                <c:pt idx="7">
                  <c:v>0.90573643228815737</c:v>
                </c:pt>
                <c:pt idx="8">
                  <c:v>0.91630431645435317</c:v>
                </c:pt>
                <c:pt idx="9">
                  <c:v>0.92669784116794007</c:v>
                </c:pt>
                <c:pt idx="10">
                  <c:v>0.93695834430747504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sysDash"/>
            </a:ln>
          </c:spPr>
          <c:marker>
            <c:symbol val="none"/>
          </c:marker>
          <c:xVal>
            <c:numRef>
              <c:f>Sheet1!$F$205:$F$206</c:f>
              <c:numCache>
                <c:formatCode>0.00</c:formatCode>
                <c:ptCount val="2"/>
                <c:pt idx="0">
                  <c:v>0.66666666666666663</c:v>
                </c:pt>
                <c:pt idx="1">
                  <c:v>0.66666666666666663</c:v>
                </c:pt>
              </c:numCache>
            </c:numRef>
          </c:xVal>
          <c:yVal>
            <c:numRef>
              <c:f>Sheet1!$G$205:$G$206</c:f>
              <c:numCache>
                <c:formatCode>General</c:formatCode>
                <c:ptCount val="2"/>
                <c:pt idx="0" formatCode="0.000">
                  <c:v>0.75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9632"/>
        <c:axId val="189142144"/>
      </c:scatterChart>
      <c:valAx>
        <c:axId val="188869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k2</a:t>
                </a:r>
                <a:r>
                  <a:rPr lang="en-US" baseline="0"/>
                  <a:t> (Length of Life)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142144"/>
        <c:crosses val="autoZero"/>
        <c:crossBetween val="midCat"/>
        <c:majorUnit val="0.2"/>
      </c:valAx>
      <c:valAx>
        <c:axId val="189142144"/>
        <c:scaling>
          <c:orientation val="minMax"/>
          <c:max val="1"/>
          <c:min val="0.750000000000000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 U(x1,x2,x3)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173775153105861"/>
            </c:manualLayout>
          </c:layout>
          <c:overlay val="0"/>
        </c:title>
        <c:numFmt formatCode="0.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8869632"/>
        <c:crosses val="autoZero"/>
        <c:crossBetween val="midCat"/>
      </c:valAx>
      <c:spPr>
        <a:gradFill>
          <a:gsLst>
            <a:gs pos="0">
              <a:schemeClr val="bg1">
                <a:lumMod val="52000"/>
                <a:alpha val="40000"/>
              </a:schemeClr>
            </a:gs>
            <a:gs pos="50000">
              <a:schemeClr val="bg1">
                <a:lumMod val="65000"/>
                <a:alpha val="26000"/>
              </a:schemeClr>
            </a:gs>
            <a:gs pos="100000">
              <a:schemeClr val="bg1">
                <a:lumMod val="85000"/>
                <a:alpha val="25000"/>
              </a:schemeClr>
            </a:gs>
          </a:gsLst>
          <a:lin ang="2700000" scaled="1"/>
        </a:gra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9418197725284"/>
          <c:y val="5.1400554097404488E-2"/>
          <c:w val="0.50737839020122488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Sheet1!$B$184</c:f>
              <c:strCache>
                <c:ptCount val="1"/>
                <c:pt idx="0">
                  <c:v>Transplantation</c:v>
                </c:pt>
              </c:strCache>
            </c:strRef>
          </c:tx>
          <c:marker>
            <c:symbol val="none"/>
          </c:marker>
          <c:xVal>
            <c:numRef>
              <c:f>Sheet1!$A$226:$A$236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Sheet1!$B$226:$B$236</c:f>
              <c:numCache>
                <c:formatCode>0.000</c:formatCode>
                <c:ptCount val="11"/>
                <c:pt idx="0">
                  <c:v>0.58890371503972394</c:v>
                </c:pt>
                <c:pt idx="1">
                  <c:v>0.6904103859053734</c:v>
                </c:pt>
                <c:pt idx="2">
                  <c:v>0.74870940471525849</c:v>
                </c:pt>
                <c:pt idx="3">
                  <c:v>0.79093697737468549</c:v>
                </c:pt>
                <c:pt idx="4">
                  <c:v>0.82482833840514136</c:v>
                </c:pt>
                <c:pt idx="5">
                  <c:v>0.85367133987374388</c:v>
                </c:pt>
                <c:pt idx="6">
                  <c:v>0.87916976012884784</c:v>
                </c:pt>
                <c:pt idx="7">
                  <c:v>0.90231570662922433</c:v>
                </c:pt>
                <c:pt idx="8">
                  <c:v>0.92373389618605151</c:v>
                </c:pt>
                <c:pt idx="9">
                  <c:v>0.9438406533724949</c:v>
                </c:pt>
                <c:pt idx="10">
                  <c:v>0.96292569225722302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Sheet1!$C$184</c:f>
              <c:strCache>
                <c:ptCount val="1"/>
                <c:pt idx="0">
                  <c:v>Amputation</c:v>
                </c:pt>
              </c:strCache>
            </c:strRef>
          </c:tx>
          <c:marker>
            <c:symbol val="none"/>
          </c:marker>
          <c:xVal>
            <c:numRef>
              <c:f>Sheet1!$A$226:$A$236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Sheet1!$C$226:$C$236</c:f>
              <c:numCache>
                <c:formatCode>0.000</c:formatCode>
                <c:ptCount val="11"/>
                <c:pt idx="0">
                  <c:v>0.7686773382258103</c:v>
                </c:pt>
                <c:pt idx="1">
                  <c:v>0.81975393286471965</c:v>
                </c:pt>
                <c:pt idx="2">
                  <c:v>0.84918396534783513</c:v>
                </c:pt>
                <c:pt idx="3">
                  <c:v>0.87022307341905003</c:v>
                </c:pt>
                <c:pt idx="4">
                  <c:v>0.88683079119402597</c:v>
                </c:pt>
                <c:pt idx="5">
                  <c:v>0.90072622568073568</c:v>
                </c:pt>
                <c:pt idx="6">
                  <c:v>0.91281190181597649</c:v>
                </c:pt>
                <c:pt idx="7">
                  <c:v>0.92361808374855814</c:v>
                </c:pt>
                <c:pt idx="8">
                  <c:v>0.9334808739711451</c:v>
                </c:pt>
                <c:pt idx="9">
                  <c:v>0.94262539188683858</c:v>
                </c:pt>
                <c:pt idx="10">
                  <c:v>0.95120892335100771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Sheet1!$D$184</c:f>
              <c:strCache>
                <c:ptCount val="1"/>
                <c:pt idx="0">
                  <c:v>Treatment</c:v>
                </c:pt>
              </c:strCache>
            </c:strRef>
          </c:tx>
          <c:marker>
            <c:symbol val="none"/>
          </c:marker>
          <c:xVal>
            <c:numRef>
              <c:f>Sheet1!$A$226:$A$236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Sheet1!$D$226:$D$236</c:f>
              <c:numCache>
                <c:formatCode>0.000</c:formatCode>
                <c:ptCount val="11"/>
                <c:pt idx="0">
                  <c:v>0.8090723661941337</c:v>
                </c:pt>
                <c:pt idx="1">
                  <c:v>0.83711218210517868</c:v>
                </c:pt>
                <c:pt idx="2">
                  <c:v>0.85308503268375002</c:v>
                </c:pt>
                <c:pt idx="3">
                  <c:v>0.86458618270953713</c:v>
                </c:pt>
                <c:pt idx="4">
                  <c:v>0.87377151175852874</c:v>
                </c:pt>
                <c:pt idx="5">
                  <c:v>0.88155571226647833</c:v>
                </c:pt>
                <c:pt idx="6">
                  <c:v>0.88841224431951171</c:v>
                </c:pt>
                <c:pt idx="7">
                  <c:v>0.89461658556389301</c:v>
                </c:pt>
                <c:pt idx="8">
                  <c:v>0.90034209926378994</c:v>
                </c:pt>
                <c:pt idx="9">
                  <c:v>0.90570426622989042</c:v>
                </c:pt>
                <c:pt idx="10">
                  <c:v>0.91078341891436665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sysDash"/>
            </a:ln>
          </c:spPr>
          <c:marker>
            <c:symbol val="none"/>
          </c:marker>
          <c:xVal>
            <c:numRef>
              <c:f>Sheet1!$G$225:$G$226</c:f>
              <c:numCache>
                <c:formatCode>0.00</c:formatCode>
                <c:ptCount val="2"/>
                <c:pt idx="0">
                  <c:v>0.83333333333333337</c:v>
                </c:pt>
                <c:pt idx="1">
                  <c:v>0.83333333333333337</c:v>
                </c:pt>
              </c:numCache>
            </c:numRef>
          </c:xVal>
          <c:yVal>
            <c:numRef>
              <c:f>Sheet1!$H$225:$H$226</c:f>
              <c:numCache>
                <c:formatCode>General</c:formatCode>
                <c:ptCount val="2"/>
                <c:pt idx="0" formatCode="0.000">
                  <c:v>0.5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1952"/>
        <c:axId val="189183872"/>
      </c:scatterChart>
      <c:valAx>
        <c:axId val="18918195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k3</a:t>
                </a:r>
                <a:r>
                  <a:rPr lang="en-US" baseline="0"/>
                  <a:t> (Quality of Life)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183872"/>
        <c:crosses val="autoZero"/>
        <c:crossBetween val="midCat"/>
        <c:majorUnit val="0.2"/>
      </c:valAx>
      <c:valAx>
        <c:axId val="189183872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 U(x1,x2,x3)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173775153105861"/>
            </c:manualLayout>
          </c:layout>
          <c:overlay val="0"/>
        </c:title>
        <c:numFmt formatCode="0.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181952"/>
        <c:crosses val="autoZero"/>
        <c:crossBetween val="midCat"/>
      </c:valAx>
      <c:spPr>
        <a:gradFill>
          <a:gsLst>
            <a:gs pos="0">
              <a:schemeClr val="bg1">
                <a:lumMod val="52000"/>
                <a:alpha val="40000"/>
              </a:schemeClr>
            </a:gs>
            <a:gs pos="50000">
              <a:schemeClr val="bg1">
                <a:lumMod val="65000"/>
                <a:alpha val="26000"/>
              </a:schemeClr>
            </a:gs>
            <a:gs pos="100000">
              <a:schemeClr val="bg1">
                <a:lumMod val="85000"/>
                <a:alpha val="25000"/>
              </a:schemeClr>
            </a:gs>
          </a:gsLst>
          <a:lin ang="2700000" scaled="1"/>
        </a:gra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9418197725284"/>
          <c:y val="5.1400554097404488E-2"/>
          <c:w val="0.50737839020122488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Sheet1!$B$184</c:f>
              <c:strCache>
                <c:ptCount val="1"/>
                <c:pt idx="0">
                  <c:v>Transplantation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Sheet1!$B$245:$B$255</c:f>
              <c:numCache>
                <c:formatCode>0.000</c:formatCode>
                <c:ptCount val="11"/>
                <c:pt idx="0">
                  <c:v>0.93056549474336459</c:v>
                </c:pt>
                <c:pt idx="1">
                  <c:v>0.93056549474336459</c:v>
                </c:pt>
                <c:pt idx="2">
                  <c:v>0.93056549474336459</c:v>
                </c:pt>
                <c:pt idx="3">
                  <c:v>0.93056549474336459</c:v>
                </c:pt>
                <c:pt idx="4">
                  <c:v>0.93056549474336459</c:v>
                </c:pt>
                <c:pt idx="5">
                  <c:v>0.93056549474336459</c:v>
                </c:pt>
                <c:pt idx="6">
                  <c:v>0.93056549474336459</c:v>
                </c:pt>
                <c:pt idx="7">
                  <c:v>0.93056549474336459</c:v>
                </c:pt>
                <c:pt idx="8">
                  <c:v>0.93056549474336459</c:v>
                </c:pt>
                <c:pt idx="9">
                  <c:v>0.93056549474336459</c:v>
                </c:pt>
                <c:pt idx="10">
                  <c:v>0.93056549474336459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Sheet1!$C$184</c:f>
              <c:strCache>
                <c:ptCount val="1"/>
                <c:pt idx="0">
                  <c:v>Amputation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Sheet1!$C$245:$C$255</c:f>
              <c:numCache>
                <c:formatCode>0.000</c:formatCode>
                <c:ptCount val="11"/>
                <c:pt idx="0">
                  <c:v>0.93659997977720622</c:v>
                </c:pt>
                <c:pt idx="1">
                  <c:v>0.93659997977720622</c:v>
                </c:pt>
                <c:pt idx="2">
                  <c:v>0.93659997977720622</c:v>
                </c:pt>
                <c:pt idx="3">
                  <c:v>0.93659997977720622</c:v>
                </c:pt>
                <c:pt idx="4">
                  <c:v>0.93659997977720622</c:v>
                </c:pt>
                <c:pt idx="5">
                  <c:v>0.93659997977720622</c:v>
                </c:pt>
                <c:pt idx="6">
                  <c:v>0.93659997977720622</c:v>
                </c:pt>
                <c:pt idx="7">
                  <c:v>0.93659997977720622</c:v>
                </c:pt>
                <c:pt idx="8">
                  <c:v>0.93659997977720622</c:v>
                </c:pt>
                <c:pt idx="9">
                  <c:v>0.93659997977720622</c:v>
                </c:pt>
                <c:pt idx="10">
                  <c:v>0.93659997977720622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Sheet1!$D$184</c:f>
              <c:strCache>
                <c:ptCount val="1"/>
                <c:pt idx="0">
                  <c:v>Treatment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Sheet1!$D$245:$D$255</c:f>
              <c:numCache>
                <c:formatCode>0.000</c:formatCode>
                <c:ptCount val="11"/>
                <c:pt idx="0">
                  <c:v>0.75565788888876884</c:v>
                </c:pt>
                <c:pt idx="1">
                  <c:v>0.77987197197186386</c:v>
                </c:pt>
                <c:pt idx="2">
                  <c:v>0.80433064175276781</c:v>
                </c:pt>
                <c:pt idx="3">
                  <c:v>0.82878931153367175</c:v>
                </c:pt>
                <c:pt idx="4">
                  <c:v>0.85324798131457591</c:v>
                </c:pt>
                <c:pt idx="5">
                  <c:v>0.87770665109547985</c:v>
                </c:pt>
                <c:pt idx="6">
                  <c:v>0.90216532087638379</c:v>
                </c:pt>
                <c:pt idx="7">
                  <c:v>0.92662399065728784</c:v>
                </c:pt>
                <c:pt idx="8">
                  <c:v>0.9510826604381919</c:v>
                </c:pt>
                <c:pt idx="9">
                  <c:v>0.97554133021909584</c:v>
                </c:pt>
                <c:pt idx="10">
                  <c:v>0.99999999999999989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sysDash"/>
            </a:ln>
          </c:spPr>
          <c:marker>
            <c:symbol val="none"/>
          </c:marker>
          <c:xVal>
            <c:numRef>
              <c:f>Sheet1!$G$244:$G$245</c:f>
              <c:numCache>
                <c:formatCode>0.00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Sheet1!$H$244:$H$245</c:f>
              <c:numCache>
                <c:formatCode>General</c:formatCode>
                <c:ptCount val="2"/>
                <c:pt idx="0" formatCode="0.000">
                  <c:v>0.88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23680"/>
        <c:axId val="189225600"/>
      </c:scatterChart>
      <c:valAx>
        <c:axId val="1892236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P(</a:t>
                </a:r>
                <a:r>
                  <a:rPr lang="en-US" baseline="0"/>
                  <a:t>Treatment Success)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225600"/>
        <c:crosses val="autoZero"/>
        <c:crossBetween val="midCat"/>
        <c:majorUnit val="0.2"/>
      </c:valAx>
      <c:valAx>
        <c:axId val="189225600"/>
        <c:scaling>
          <c:orientation val="minMax"/>
          <c:max val="1"/>
          <c:min val="0.880000000000000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 U(x1,x2,x3)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173775153105861"/>
            </c:manualLayout>
          </c:layout>
          <c:overlay val="0"/>
        </c:title>
        <c:numFmt formatCode="0.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223680"/>
        <c:crosses val="autoZero"/>
        <c:crossBetween val="midCat"/>
      </c:valAx>
      <c:spPr>
        <a:gradFill>
          <a:gsLst>
            <a:gs pos="0">
              <a:schemeClr val="bg1">
                <a:lumMod val="52000"/>
                <a:alpha val="40000"/>
              </a:schemeClr>
            </a:gs>
            <a:gs pos="50000">
              <a:schemeClr val="bg1">
                <a:lumMod val="65000"/>
                <a:alpha val="26000"/>
              </a:schemeClr>
            </a:gs>
            <a:gs pos="100000">
              <a:schemeClr val="bg1">
                <a:lumMod val="85000"/>
                <a:alpha val="25000"/>
              </a:schemeClr>
            </a:gs>
          </a:gsLst>
          <a:lin ang="2700000" scaled="1"/>
        </a:gra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9418197725284"/>
          <c:y val="5.1400554097404488E-2"/>
          <c:w val="0.50737839020122488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Sheet1!$B$184</c:f>
              <c:strCache>
                <c:ptCount val="1"/>
                <c:pt idx="0">
                  <c:v>Transplantation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Sheet1!$B$245:$B$255</c:f>
              <c:numCache>
                <c:formatCode>0.000</c:formatCode>
                <c:ptCount val="11"/>
                <c:pt idx="0">
                  <c:v>0.93056549474336459</c:v>
                </c:pt>
                <c:pt idx="1">
                  <c:v>0.93056549474336459</c:v>
                </c:pt>
                <c:pt idx="2">
                  <c:v>0.93056549474336459</c:v>
                </c:pt>
                <c:pt idx="3">
                  <c:v>0.93056549474336459</c:v>
                </c:pt>
                <c:pt idx="4">
                  <c:v>0.93056549474336459</c:v>
                </c:pt>
                <c:pt idx="5">
                  <c:v>0.93056549474336459</c:v>
                </c:pt>
                <c:pt idx="6">
                  <c:v>0.93056549474336459</c:v>
                </c:pt>
                <c:pt idx="7">
                  <c:v>0.93056549474336459</c:v>
                </c:pt>
                <c:pt idx="8">
                  <c:v>0.93056549474336459</c:v>
                </c:pt>
                <c:pt idx="9">
                  <c:v>0.93056549474336459</c:v>
                </c:pt>
                <c:pt idx="10">
                  <c:v>0.93056549474336459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Sheet1!$C$184</c:f>
              <c:strCache>
                <c:ptCount val="1"/>
                <c:pt idx="0">
                  <c:v>Amputation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Sheet1!$C$245:$C$255</c:f>
              <c:numCache>
                <c:formatCode>0.000</c:formatCode>
                <c:ptCount val="11"/>
                <c:pt idx="0">
                  <c:v>0.93659997977720622</c:v>
                </c:pt>
                <c:pt idx="1">
                  <c:v>0.93659997977720622</c:v>
                </c:pt>
                <c:pt idx="2">
                  <c:v>0.93659997977720622</c:v>
                </c:pt>
                <c:pt idx="3">
                  <c:v>0.93659997977720622</c:v>
                </c:pt>
                <c:pt idx="4">
                  <c:v>0.93659997977720622</c:v>
                </c:pt>
                <c:pt idx="5">
                  <c:v>0.93659997977720622</c:v>
                </c:pt>
                <c:pt idx="6">
                  <c:v>0.93659997977720622</c:v>
                </c:pt>
                <c:pt idx="7">
                  <c:v>0.93659997977720622</c:v>
                </c:pt>
                <c:pt idx="8">
                  <c:v>0.93659997977720622</c:v>
                </c:pt>
                <c:pt idx="9">
                  <c:v>0.93659997977720622</c:v>
                </c:pt>
                <c:pt idx="10">
                  <c:v>0.93659997977720622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Sheet1!$D$184</c:f>
              <c:strCache>
                <c:ptCount val="1"/>
                <c:pt idx="0">
                  <c:v>Treatment</c:v>
                </c:pt>
              </c:strCache>
            </c:strRef>
          </c:tx>
          <c:marker>
            <c:symbol val="none"/>
          </c:marker>
          <c:xVal>
            <c:numRef>
              <c:f>Sheet1!$A$245:$A$255</c:f>
              <c:numCache>
                <c:formatCode>General</c:formatCode>
                <c:ptCount val="11"/>
                <c:pt idx="0" formatCode="0.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Sheet1!$D$245:$D$255</c:f>
              <c:numCache>
                <c:formatCode>0.000</c:formatCode>
                <c:ptCount val="11"/>
                <c:pt idx="0">
                  <c:v>0.75565788888876884</c:v>
                </c:pt>
                <c:pt idx="1">
                  <c:v>0.77987197197186386</c:v>
                </c:pt>
                <c:pt idx="2">
                  <c:v>0.80433064175276781</c:v>
                </c:pt>
                <c:pt idx="3">
                  <c:v>0.82878931153367175</c:v>
                </c:pt>
                <c:pt idx="4">
                  <c:v>0.85324798131457591</c:v>
                </c:pt>
                <c:pt idx="5">
                  <c:v>0.87770665109547985</c:v>
                </c:pt>
                <c:pt idx="6">
                  <c:v>0.90216532087638379</c:v>
                </c:pt>
                <c:pt idx="7">
                  <c:v>0.92662399065728784</c:v>
                </c:pt>
                <c:pt idx="8">
                  <c:v>0.9510826604381919</c:v>
                </c:pt>
                <c:pt idx="9">
                  <c:v>0.97554133021909584</c:v>
                </c:pt>
                <c:pt idx="10">
                  <c:v>0.99999999999999989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sysDash"/>
            </a:ln>
          </c:spPr>
          <c:marker>
            <c:symbol val="none"/>
          </c:marker>
          <c:xVal>
            <c:numRef>
              <c:f>Sheet1!$G$244:$G$245</c:f>
              <c:numCache>
                <c:formatCode>0.00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Sheet1!$H$244:$H$245</c:f>
              <c:numCache>
                <c:formatCode>General</c:formatCode>
                <c:ptCount val="2"/>
                <c:pt idx="0" formatCode="0.000">
                  <c:v>0.88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9648"/>
        <c:axId val="189021568"/>
      </c:scatterChart>
      <c:valAx>
        <c:axId val="1890196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P(</a:t>
                </a:r>
                <a:r>
                  <a:rPr lang="en-US" baseline="0"/>
                  <a:t>Treatment Success)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021568"/>
        <c:crosses val="autoZero"/>
        <c:crossBetween val="midCat"/>
        <c:majorUnit val="0.2"/>
      </c:valAx>
      <c:valAx>
        <c:axId val="189021568"/>
        <c:scaling>
          <c:orientation val="minMax"/>
          <c:max val="1"/>
          <c:min val="0.880000000000000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 U(x1,x2,x3)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173775153105861"/>
            </c:manualLayout>
          </c:layout>
          <c:overlay val="0"/>
        </c:title>
        <c:numFmt formatCode="0.0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89019648"/>
        <c:crosses val="autoZero"/>
        <c:crossBetween val="midCat"/>
      </c:valAx>
      <c:spPr>
        <a:gradFill>
          <a:gsLst>
            <a:gs pos="0">
              <a:schemeClr val="bg1">
                <a:lumMod val="52000"/>
                <a:alpha val="40000"/>
              </a:schemeClr>
            </a:gs>
            <a:gs pos="50000">
              <a:schemeClr val="bg1">
                <a:lumMod val="65000"/>
                <a:alpha val="26000"/>
              </a:schemeClr>
            </a:gs>
            <a:gs pos="100000">
              <a:schemeClr val="bg1">
                <a:lumMod val="85000"/>
                <a:alpha val="25000"/>
              </a:schemeClr>
            </a:gs>
          </a:gsLst>
          <a:lin ang="2700000" scaled="1"/>
        </a:gra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1223683</xdr:colOff>
      <xdr:row>186</xdr:row>
      <xdr:rowOff>174251</xdr:rowOff>
    </xdr:from>
    <xdr:to>
      <xdr:col>9</xdr:col>
      <xdr:colOff>179854</xdr:colOff>
      <xdr:row>201</xdr:row>
      <xdr:rowOff>21851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268940</xdr:colOff>
      <xdr:row>206</xdr:row>
      <xdr:rowOff>132229</xdr:rowOff>
    </xdr:from>
    <xdr:to>
      <xdr:col>9</xdr:col>
      <xdr:colOff>491376</xdr:colOff>
      <xdr:row>220</xdr:row>
      <xdr:rowOff>170329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394696</xdr:colOff>
      <xdr:row>226</xdr:row>
      <xdr:rowOff>147545</xdr:rowOff>
    </xdr:from>
    <xdr:to>
      <xdr:col>9</xdr:col>
      <xdr:colOff>617132</xdr:colOff>
      <xdr:row>240</xdr:row>
      <xdr:rowOff>185645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481853</xdr:colOff>
      <xdr:row>245</xdr:row>
      <xdr:rowOff>179293</xdr:rowOff>
    </xdr:from>
    <xdr:to>
      <xdr:col>9</xdr:col>
      <xdr:colOff>704289</xdr:colOff>
      <xdr:row>260</xdr:row>
      <xdr:rowOff>26893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1221441</xdr:colOff>
      <xdr:row>271</xdr:row>
      <xdr:rowOff>145677</xdr:rowOff>
    </xdr:from>
    <xdr:to>
      <xdr:col>11</xdr:col>
      <xdr:colOff>9524</xdr:colOff>
      <xdr:row>285</xdr:row>
      <xdr:rowOff>183777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1165412</xdr:colOff>
      <xdr:row>4</xdr:row>
      <xdr:rowOff>134471</xdr:rowOff>
    </xdr:from>
    <xdr:to>
      <xdr:col>9</xdr:col>
      <xdr:colOff>67235</xdr:colOff>
      <xdr:row>5</xdr:row>
      <xdr:rowOff>89647</xdr:rowOff>
    </xdr:to>
    <xdr:sp macro="" textlink="">
      <xdr:nvSpPr>
        <xdr:cNvPr id="2" name="Oval 1"/>
        <xdr:cNvSpPr/>
      </xdr:nvSpPr>
      <xdr:spPr>
        <a:xfrm>
          <a:off x="11710147" y="896471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1131794</xdr:colOff>
      <xdr:row>7</xdr:row>
      <xdr:rowOff>100853</xdr:rowOff>
    </xdr:from>
    <xdr:to>
      <xdr:col>8</xdr:col>
      <xdr:colOff>67235</xdr:colOff>
      <xdr:row>8</xdr:row>
      <xdr:rowOff>56029</xdr:rowOff>
    </xdr:to>
    <xdr:sp macro="" textlink="">
      <xdr:nvSpPr>
        <xdr:cNvPr id="10" name="Oval 9"/>
        <xdr:cNvSpPr/>
      </xdr:nvSpPr>
      <xdr:spPr>
        <a:xfrm>
          <a:off x="10477500" y="1434353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1120588</xdr:colOff>
      <xdr:row>21</xdr:row>
      <xdr:rowOff>123265</xdr:rowOff>
    </xdr:from>
    <xdr:to>
      <xdr:col>8</xdr:col>
      <xdr:colOff>56029</xdr:colOff>
      <xdr:row>22</xdr:row>
      <xdr:rowOff>78441</xdr:rowOff>
    </xdr:to>
    <xdr:sp macro="" textlink="">
      <xdr:nvSpPr>
        <xdr:cNvPr id="12" name="Oval 11"/>
        <xdr:cNvSpPr/>
      </xdr:nvSpPr>
      <xdr:spPr>
        <a:xfrm>
          <a:off x="10466294" y="4123765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1143000</xdr:colOff>
      <xdr:row>24</xdr:row>
      <xdr:rowOff>112059</xdr:rowOff>
    </xdr:from>
    <xdr:to>
      <xdr:col>9</xdr:col>
      <xdr:colOff>44823</xdr:colOff>
      <xdr:row>25</xdr:row>
      <xdr:rowOff>67235</xdr:rowOff>
    </xdr:to>
    <xdr:sp macro="" textlink="">
      <xdr:nvSpPr>
        <xdr:cNvPr id="13" name="Oval 12"/>
        <xdr:cNvSpPr/>
      </xdr:nvSpPr>
      <xdr:spPr>
        <a:xfrm>
          <a:off x="11687735" y="4684059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1333500</xdr:colOff>
      <xdr:row>14</xdr:row>
      <xdr:rowOff>123264</xdr:rowOff>
    </xdr:from>
    <xdr:to>
      <xdr:col>7</xdr:col>
      <xdr:colOff>44824</xdr:colOff>
      <xdr:row>15</xdr:row>
      <xdr:rowOff>67235</xdr:rowOff>
    </xdr:to>
    <xdr:sp macro="" textlink="">
      <xdr:nvSpPr>
        <xdr:cNvPr id="3" name="Rectangle 2"/>
        <xdr:cNvSpPr/>
      </xdr:nvSpPr>
      <xdr:spPr>
        <a:xfrm>
          <a:off x="9256059" y="2790264"/>
          <a:ext cx="134471" cy="134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1131794</xdr:colOff>
      <xdr:row>95</xdr:row>
      <xdr:rowOff>134471</xdr:rowOff>
    </xdr:from>
    <xdr:to>
      <xdr:col>8</xdr:col>
      <xdr:colOff>67235</xdr:colOff>
      <xdr:row>96</xdr:row>
      <xdr:rowOff>89647</xdr:rowOff>
    </xdr:to>
    <xdr:sp macro="" textlink="">
      <xdr:nvSpPr>
        <xdr:cNvPr id="15" name="Oval 14"/>
        <xdr:cNvSpPr/>
      </xdr:nvSpPr>
      <xdr:spPr>
        <a:xfrm>
          <a:off x="10477500" y="18422471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1176618</xdr:colOff>
      <xdr:row>91</xdr:row>
      <xdr:rowOff>123265</xdr:rowOff>
    </xdr:from>
    <xdr:to>
      <xdr:col>9</xdr:col>
      <xdr:colOff>78441</xdr:colOff>
      <xdr:row>92</xdr:row>
      <xdr:rowOff>78441</xdr:rowOff>
    </xdr:to>
    <xdr:sp macro="" textlink="">
      <xdr:nvSpPr>
        <xdr:cNvPr id="16" name="Oval 15"/>
        <xdr:cNvSpPr/>
      </xdr:nvSpPr>
      <xdr:spPr>
        <a:xfrm>
          <a:off x="11721353" y="17649265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1165412</xdr:colOff>
      <xdr:row>99</xdr:row>
      <xdr:rowOff>145677</xdr:rowOff>
    </xdr:from>
    <xdr:to>
      <xdr:col>9</xdr:col>
      <xdr:colOff>67235</xdr:colOff>
      <xdr:row>100</xdr:row>
      <xdr:rowOff>100853</xdr:rowOff>
    </xdr:to>
    <xdr:sp macro="" textlink="">
      <xdr:nvSpPr>
        <xdr:cNvPr id="17" name="Oval 16"/>
        <xdr:cNvSpPr/>
      </xdr:nvSpPr>
      <xdr:spPr>
        <a:xfrm>
          <a:off x="11710147" y="19195677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448236</xdr:colOff>
      <xdr:row>95</xdr:row>
      <xdr:rowOff>112059</xdr:rowOff>
    </xdr:from>
    <xdr:to>
      <xdr:col>12</xdr:col>
      <xdr:colOff>56029</xdr:colOff>
      <xdr:row>96</xdr:row>
      <xdr:rowOff>67235</xdr:rowOff>
    </xdr:to>
    <xdr:sp macro="" textlink="">
      <xdr:nvSpPr>
        <xdr:cNvPr id="18" name="Oval 17"/>
        <xdr:cNvSpPr/>
      </xdr:nvSpPr>
      <xdr:spPr>
        <a:xfrm>
          <a:off x="14253883" y="18400059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1172135</xdr:colOff>
      <xdr:row>91</xdr:row>
      <xdr:rowOff>129988</xdr:rowOff>
    </xdr:from>
    <xdr:to>
      <xdr:col>13</xdr:col>
      <xdr:colOff>62753</xdr:colOff>
      <xdr:row>92</xdr:row>
      <xdr:rowOff>85164</xdr:rowOff>
    </xdr:to>
    <xdr:sp macro="" textlink="">
      <xdr:nvSpPr>
        <xdr:cNvPr id="20" name="Oval 19"/>
        <xdr:cNvSpPr/>
      </xdr:nvSpPr>
      <xdr:spPr>
        <a:xfrm>
          <a:off x="15504459" y="17655988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1183341</xdr:colOff>
      <xdr:row>99</xdr:row>
      <xdr:rowOff>129988</xdr:rowOff>
    </xdr:from>
    <xdr:to>
      <xdr:col>13</xdr:col>
      <xdr:colOff>73959</xdr:colOff>
      <xdr:row>100</xdr:row>
      <xdr:rowOff>85164</xdr:rowOff>
    </xdr:to>
    <xdr:sp macro="" textlink="">
      <xdr:nvSpPr>
        <xdr:cNvPr id="21" name="Oval 20"/>
        <xdr:cNvSpPr/>
      </xdr:nvSpPr>
      <xdr:spPr>
        <a:xfrm>
          <a:off x="15515665" y="19179988"/>
          <a:ext cx="134470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1123135</xdr:colOff>
      <xdr:row>108</xdr:row>
      <xdr:rowOff>134471</xdr:rowOff>
    </xdr:from>
    <xdr:to>
      <xdr:col>8</xdr:col>
      <xdr:colOff>58576</xdr:colOff>
      <xdr:row>109</xdr:row>
      <xdr:rowOff>89647</xdr:rowOff>
    </xdr:to>
    <xdr:sp macro="" textlink="">
      <xdr:nvSpPr>
        <xdr:cNvPr id="22" name="Oval 21"/>
        <xdr:cNvSpPr/>
      </xdr:nvSpPr>
      <xdr:spPr>
        <a:xfrm>
          <a:off x="10466294" y="20916289"/>
          <a:ext cx="139055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1123135</xdr:colOff>
      <xdr:row>115</xdr:row>
      <xdr:rowOff>108494</xdr:rowOff>
    </xdr:from>
    <xdr:to>
      <xdr:col>8</xdr:col>
      <xdr:colOff>58576</xdr:colOff>
      <xdr:row>116</xdr:row>
      <xdr:rowOff>63670</xdr:rowOff>
    </xdr:to>
    <xdr:sp macro="" textlink="">
      <xdr:nvSpPr>
        <xdr:cNvPr id="23" name="Oval 22"/>
        <xdr:cNvSpPr/>
      </xdr:nvSpPr>
      <xdr:spPr>
        <a:xfrm>
          <a:off x="10466294" y="22223812"/>
          <a:ext cx="139055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1131794</xdr:colOff>
      <xdr:row>122</xdr:row>
      <xdr:rowOff>125812</xdr:rowOff>
    </xdr:from>
    <xdr:to>
      <xdr:col>8</xdr:col>
      <xdr:colOff>67235</xdr:colOff>
      <xdr:row>123</xdr:row>
      <xdr:rowOff>80988</xdr:rowOff>
    </xdr:to>
    <xdr:sp macro="" textlink="">
      <xdr:nvSpPr>
        <xdr:cNvPr id="24" name="Oval 23"/>
        <xdr:cNvSpPr/>
      </xdr:nvSpPr>
      <xdr:spPr>
        <a:xfrm>
          <a:off x="10474953" y="23574630"/>
          <a:ext cx="139055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415637</xdr:colOff>
      <xdr:row>107</xdr:row>
      <xdr:rowOff>138546</xdr:rowOff>
    </xdr:from>
    <xdr:to>
      <xdr:col>8</xdr:col>
      <xdr:colOff>129886</xdr:colOff>
      <xdr:row>109</xdr:row>
      <xdr:rowOff>51955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758796" y="20729864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758796" y="20729864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7</xdr:col>
      <xdr:colOff>510887</xdr:colOff>
      <xdr:row>114</xdr:row>
      <xdr:rowOff>112569</xdr:rowOff>
    </xdr:from>
    <xdr:to>
      <xdr:col>8</xdr:col>
      <xdr:colOff>225136</xdr:colOff>
      <xdr:row>116</xdr:row>
      <xdr:rowOff>25978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9854046" y="22037387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9854046" y="22037387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7</xdr:col>
      <xdr:colOff>441614</xdr:colOff>
      <xdr:row>121</xdr:row>
      <xdr:rowOff>121228</xdr:rowOff>
    </xdr:from>
    <xdr:to>
      <xdr:col>8</xdr:col>
      <xdr:colOff>155863</xdr:colOff>
      <xdr:row>123</xdr:row>
      <xdr:rowOff>34637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9784773" y="23379546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9784773" y="23379546"/>
              <a:ext cx="917863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7</xdr:col>
      <xdr:colOff>1123135</xdr:colOff>
      <xdr:row>130</xdr:row>
      <xdr:rowOff>125811</xdr:rowOff>
    </xdr:from>
    <xdr:to>
      <xdr:col>8</xdr:col>
      <xdr:colOff>58576</xdr:colOff>
      <xdr:row>131</xdr:row>
      <xdr:rowOff>80987</xdr:rowOff>
    </xdr:to>
    <xdr:sp macro="" textlink="">
      <xdr:nvSpPr>
        <xdr:cNvPr id="27" name="Oval 26"/>
        <xdr:cNvSpPr/>
      </xdr:nvSpPr>
      <xdr:spPr>
        <a:xfrm>
          <a:off x="11003158" y="25098629"/>
          <a:ext cx="139054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432955</xdr:colOff>
      <xdr:row>129</xdr:row>
      <xdr:rowOff>121227</xdr:rowOff>
    </xdr:from>
    <xdr:to>
      <xdr:col>8</xdr:col>
      <xdr:colOff>147204</xdr:colOff>
      <xdr:row>131</xdr:row>
      <xdr:rowOff>34636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10312978" y="24903545"/>
              <a:ext cx="917862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10312978" y="24903545"/>
              <a:ext cx="917862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7</xdr:col>
      <xdr:colOff>1140453</xdr:colOff>
      <xdr:row>137</xdr:row>
      <xdr:rowOff>117152</xdr:rowOff>
    </xdr:from>
    <xdr:to>
      <xdr:col>8</xdr:col>
      <xdr:colOff>75894</xdr:colOff>
      <xdr:row>138</xdr:row>
      <xdr:rowOff>72328</xdr:rowOff>
    </xdr:to>
    <xdr:sp macro="" textlink="">
      <xdr:nvSpPr>
        <xdr:cNvPr id="29" name="Oval 28"/>
        <xdr:cNvSpPr/>
      </xdr:nvSpPr>
      <xdr:spPr>
        <a:xfrm>
          <a:off x="11020476" y="26423470"/>
          <a:ext cx="139054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518583</xdr:colOff>
      <xdr:row>136</xdr:row>
      <xdr:rowOff>112568</xdr:rowOff>
    </xdr:from>
    <xdr:to>
      <xdr:col>8</xdr:col>
      <xdr:colOff>164522</xdr:colOff>
      <xdr:row>138</xdr:row>
      <xdr:rowOff>25977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9779000" y="26232235"/>
              <a:ext cx="841855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9779000" y="26232235"/>
              <a:ext cx="841855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7</xdr:col>
      <xdr:colOff>1131794</xdr:colOff>
      <xdr:row>144</xdr:row>
      <xdr:rowOff>143129</xdr:rowOff>
    </xdr:from>
    <xdr:to>
      <xdr:col>8</xdr:col>
      <xdr:colOff>67235</xdr:colOff>
      <xdr:row>145</xdr:row>
      <xdr:rowOff>98305</xdr:rowOff>
    </xdr:to>
    <xdr:sp macro="" textlink="">
      <xdr:nvSpPr>
        <xdr:cNvPr id="31" name="Oval 30"/>
        <xdr:cNvSpPr/>
      </xdr:nvSpPr>
      <xdr:spPr>
        <a:xfrm>
          <a:off x="11011817" y="27782947"/>
          <a:ext cx="139054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441614</xdr:colOff>
      <xdr:row>143</xdr:row>
      <xdr:rowOff>138545</xdr:rowOff>
    </xdr:from>
    <xdr:to>
      <xdr:col>8</xdr:col>
      <xdr:colOff>155863</xdr:colOff>
      <xdr:row>145</xdr:row>
      <xdr:rowOff>51954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0321637" y="27587863"/>
              <a:ext cx="917862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 baseline="0">
                        <a:latin typeface="Cambria Math"/>
                        <a:ea typeface="Cambria Math"/>
                      </a:rPr>
                      <m:t>~</m:t>
                    </m:r>
                  </m:oMath>
                </m:oMathPara>
              </a14:m>
              <a:endParaRPr lang="es-CL" sz="1400" b="1" baseline="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0321637" y="27587863"/>
              <a:ext cx="917862" cy="294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L" sz="1400" b="1" i="0" baseline="0">
                  <a:latin typeface="Cambria Math"/>
                  <a:ea typeface="Cambria Math"/>
                </a:rPr>
                <a:t>~</a:t>
              </a:r>
              <a:endParaRPr lang="es-CL" sz="1400" b="1" baseline="0"/>
            </a:p>
          </xdr:txBody>
        </xdr:sp>
      </mc:Fallback>
    </mc:AlternateContent>
    <xdr:clientData/>
  </xdr:twoCellAnchor>
  <xdr:twoCellAnchor>
    <xdr:from>
      <xdr:col>6</xdr:col>
      <xdr:colOff>1337065</xdr:colOff>
      <xdr:row>167</xdr:row>
      <xdr:rowOff>112570</xdr:rowOff>
    </xdr:from>
    <xdr:to>
      <xdr:col>7</xdr:col>
      <xdr:colOff>56029</xdr:colOff>
      <xdr:row>168</xdr:row>
      <xdr:rowOff>67746</xdr:rowOff>
    </xdr:to>
    <xdr:sp macro="" textlink="">
      <xdr:nvSpPr>
        <xdr:cNvPr id="33" name="Oval 32"/>
        <xdr:cNvSpPr/>
      </xdr:nvSpPr>
      <xdr:spPr>
        <a:xfrm>
          <a:off x="9156224" y="32159865"/>
          <a:ext cx="139055" cy="1456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415636</xdr:colOff>
      <xdr:row>160</xdr:row>
      <xdr:rowOff>138546</xdr:rowOff>
    </xdr:from>
    <xdr:to>
      <xdr:col>6</xdr:col>
      <xdr:colOff>44824</xdr:colOff>
      <xdr:row>161</xdr:row>
      <xdr:rowOff>82517</xdr:rowOff>
    </xdr:to>
    <xdr:sp macro="" textlink="">
      <xdr:nvSpPr>
        <xdr:cNvPr id="34" name="Rectangle 33"/>
        <xdr:cNvSpPr/>
      </xdr:nvSpPr>
      <xdr:spPr>
        <a:xfrm>
          <a:off x="7732568" y="30852341"/>
          <a:ext cx="131415" cy="134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1151659</xdr:colOff>
      <xdr:row>154</xdr:row>
      <xdr:rowOff>129887</xdr:rowOff>
    </xdr:from>
    <xdr:to>
      <xdr:col>8</xdr:col>
      <xdr:colOff>79460</xdr:colOff>
      <xdr:row>155</xdr:row>
      <xdr:rowOff>73858</xdr:rowOff>
    </xdr:to>
    <xdr:sp macro="" textlink="">
      <xdr:nvSpPr>
        <xdr:cNvPr id="35" name="Rectangle 34"/>
        <xdr:cNvSpPr/>
      </xdr:nvSpPr>
      <xdr:spPr>
        <a:xfrm>
          <a:off x="10390909" y="29700682"/>
          <a:ext cx="131415" cy="134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1134341</xdr:colOff>
      <xdr:row>163</xdr:row>
      <xdr:rowOff>129887</xdr:rowOff>
    </xdr:from>
    <xdr:to>
      <xdr:col>8</xdr:col>
      <xdr:colOff>62142</xdr:colOff>
      <xdr:row>164</xdr:row>
      <xdr:rowOff>73858</xdr:rowOff>
    </xdr:to>
    <xdr:sp macro="" textlink="">
      <xdr:nvSpPr>
        <xdr:cNvPr id="36" name="Rectangle 35"/>
        <xdr:cNvSpPr/>
      </xdr:nvSpPr>
      <xdr:spPr>
        <a:xfrm>
          <a:off x="10373591" y="31415182"/>
          <a:ext cx="131415" cy="134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1125682</xdr:colOff>
      <xdr:row>172</xdr:row>
      <xdr:rowOff>129887</xdr:rowOff>
    </xdr:from>
    <xdr:to>
      <xdr:col>8</xdr:col>
      <xdr:colOff>53483</xdr:colOff>
      <xdr:row>173</xdr:row>
      <xdr:rowOff>73858</xdr:rowOff>
    </xdr:to>
    <xdr:sp macro="" textlink="">
      <xdr:nvSpPr>
        <xdr:cNvPr id="37" name="Rectangle 36"/>
        <xdr:cNvSpPr/>
      </xdr:nvSpPr>
      <xdr:spPr>
        <a:xfrm>
          <a:off x="10364932" y="33129682"/>
          <a:ext cx="131415" cy="134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8</xdr:row>
      <xdr:rowOff>47623</xdr:rowOff>
    </xdr:from>
    <xdr:to>
      <xdr:col>31</xdr:col>
      <xdr:colOff>265496</xdr:colOff>
      <xdr:row>60</xdr:row>
      <xdr:rowOff>190498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21" t="33940" r="58248" b="13807"/>
        <a:stretch/>
      </xdr:blipFill>
      <xdr:spPr>
        <a:xfrm>
          <a:off x="1285875" y="1571623"/>
          <a:ext cx="18172496" cy="10048875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523874</xdr:colOff>
      <xdr:row>150</xdr:row>
      <xdr:rowOff>71438</xdr:rowOff>
    </xdr:from>
    <xdr:to>
      <xdr:col>29</xdr:col>
      <xdr:colOff>428624</xdr:colOff>
      <xdr:row>227</xdr:row>
      <xdr:rowOff>166691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04" t="33696" r="72067" b="6483"/>
        <a:stretch/>
      </xdr:blipFill>
      <xdr:spPr>
        <a:xfrm>
          <a:off x="3619499" y="28646438"/>
          <a:ext cx="14763750" cy="1476375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476249</xdr:colOff>
      <xdr:row>234</xdr:row>
      <xdr:rowOff>166688</xdr:rowOff>
    </xdr:from>
    <xdr:to>
      <xdr:col>29</xdr:col>
      <xdr:colOff>142874</xdr:colOff>
      <xdr:row>308</xdr:row>
      <xdr:rowOff>134182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103" t="28568" r="71284" b="11854"/>
        <a:stretch/>
      </xdr:blipFill>
      <xdr:spPr>
        <a:xfrm>
          <a:off x="3571874" y="44743688"/>
          <a:ext cx="14525625" cy="14064494"/>
        </a:xfrm>
        <a:prstGeom prst="rect">
          <a:avLst/>
        </a:prstGeom>
      </xdr:spPr>
    </xdr:pic>
    <xdr:clientData/>
  </xdr:twoCellAnchor>
  <xdr:twoCellAnchor>
    <xdr:from>
      <xdr:col>4</xdr:col>
      <xdr:colOff>476251</xdr:colOff>
      <xdr:row>183</xdr:row>
      <xdr:rowOff>142875</xdr:rowOff>
    </xdr:from>
    <xdr:to>
      <xdr:col>7</xdr:col>
      <xdr:colOff>476252</xdr:colOff>
      <xdr:row>188</xdr:row>
      <xdr:rowOff>119062</xdr:rowOff>
    </xdr:to>
    <xdr:sp macro="" textlink="">
      <xdr:nvSpPr>
        <xdr:cNvPr id="8" name="TextBox 7"/>
        <xdr:cNvSpPr txBox="1"/>
      </xdr:nvSpPr>
      <xdr:spPr>
        <a:xfrm>
          <a:off x="2952751" y="35004375"/>
          <a:ext cx="1857376" cy="92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x3</a:t>
          </a:r>
        </a:p>
      </xdr:txBody>
    </xdr:sp>
    <xdr:clientData/>
  </xdr:twoCellAnchor>
  <xdr:twoCellAnchor>
    <xdr:from>
      <xdr:col>2</xdr:col>
      <xdr:colOff>9526</xdr:colOff>
      <xdr:row>61</xdr:row>
      <xdr:rowOff>71438</xdr:rowOff>
    </xdr:from>
    <xdr:to>
      <xdr:col>29</xdr:col>
      <xdr:colOff>428624</xdr:colOff>
      <xdr:row>146</xdr:row>
      <xdr:rowOff>23812</xdr:rowOff>
    </xdr:to>
    <xdr:grpSp>
      <xdr:nvGrpSpPr>
        <xdr:cNvPr id="16" name="Group 15"/>
        <xdr:cNvGrpSpPr/>
      </xdr:nvGrpSpPr>
      <xdr:grpSpPr>
        <a:xfrm>
          <a:off x="1228726" y="11691938"/>
          <a:ext cx="16878298" cy="16144874"/>
          <a:chOff x="1266826" y="11806238"/>
          <a:chExt cx="16878298" cy="16144874"/>
        </a:xfrm>
      </xdr:grpSpPr>
      <xdr:grpSp>
        <xdr:nvGrpSpPr>
          <xdr:cNvPr id="15" name="Group 14"/>
          <xdr:cNvGrpSpPr/>
        </xdr:nvGrpSpPr>
        <xdr:grpSpPr>
          <a:xfrm>
            <a:off x="1266826" y="11806238"/>
            <a:ext cx="16878298" cy="16144874"/>
            <a:chOff x="1457326" y="11882438"/>
            <a:chExt cx="16878298" cy="16144874"/>
          </a:xfrm>
        </xdr:grpSpPr>
        <xdr:pic>
          <xdr:nvPicPr>
            <xdr:cNvPr id="3" name="Picture 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4103" t="17092" r="71480" b="23574"/>
            <a:stretch/>
          </xdr:blipFill>
          <xdr:spPr>
            <a:xfrm>
              <a:off x="2533648" y="11882438"/>
              <a:ext cx="15801976" cy="15600238"/>
            </a:xfrm>
            <a:prstGeom prst="rect">
              <a:avLst/>
            </a:prstGeom>
          </xdr:spPr>
        </xdr:pic>
        <xdr:sp macro="" textlink="">
          <xdr:nvSpPr>
            <xdr:cNvPr id="6" name="TextBox 5"/>
            <xdr:cNvSpPr txBox="1"/>
          </xdr:nvSpPr>
          <xdr:spPr>
            <a:xfrm>
              <a:off x="9967913" y="27098625"/>
              <a:ext cx="1828801" cy="928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4000"/>
                <a:t>x2</a:t>
              </a: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1457326" y="18740438"/>
              <a:ext cx="1828801" cy="928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4000"/>
                <a:t>x3</a:t>
              </a:r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13792199" y="12882564"/>
            <a:ext cx="3167062" cy="1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4000"/>
              <a:t>U(-300,x2,x3)</a:t>
            </a:r>
          </a:p>
        </xdr:txBody>
      </xdr:sp>
    </xdr:grpSp>
    <xdr:clientData/>
  </xdr:twoCellAnchor>
  <xdr:twoCellAnchor>
    <xdr:from>
      <xdr:col>16</xdr:col>
      <xdr:colOff>571500</xdr:colOff>
      <xdr:row>225</xdr:row>
      <xdr:rowOff>23813</xdr:rowOff>
    </xdr:from>
    <xdr:to>
      <xdr:col>19</xdr:col>
      <xdr:colOff>571501</xdr:colOff>
      <xdr:row>230</xdr:row>
      <xdr:rowOff>0</xdr:rowOff>
    </xdr:to>
    <xdr:sp macro="" textlink="">
      <xdr:nvSpPr>
        <xdr:cNvPr id="10" name="TextBox 9"/>
        <xdr:cNvSpPr txBox="1"/>
      </xdr:nvSpPr>
      <xdr:spPr>
        <a:xfrm>
          <a:off x="10477500" y="42886313"/>
          <a:ext cx="1857376" cy="92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x1</a:t>
          </a:r>
        </a:p>
      </xdr:txBody>
    </xdr:sp>
    <xdr:clientData/>
  </xdr:twoCellAnchor>
  <xdr:twoCellAnchor>
    <xdr:from>
      <xdr:col>16</xdr:col>
      <xdr:colOff>404813</xdr:colOff>
      <xdr:row>307</xdr:row>
      <xdr:rowOff>119063</xdr:rowOff>
    </xdr:from>
    <xdr:to>
      <xdr:col>19</xdr:col>
      <xdr:colOff>404814</xdr:colOff>
      <xdr:row>312</xdr:row>
      <xdr:rowOff>95250</xdr:rowOff>
    </xdr:to>
    <xdr:sp macro="" textlink="">
      <xdr:nvSpPr>
        <xdr:cNvPr id="11" name="TextBox 10"/>
        <xdr:cNvSpPr txBox="1"/>
      </xdr:nvSpPr>
      <xdr:spPr>
        <a:xfrm>
          <a:off x="10310813" y="58602563"/>
          <a:ext cx="1857376" cy="92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x1</a:t>
          </a:r>
        </a:p>
      </xdr:txBody>
    </xdr:sp>
    <xdr:clientData/>
  </xdr:twoCellAnchor>
  <xdr:twoCellAnchor>
    <xdr:from>
      <xdr:col>3</xdr:col>
      <xdr:colOff>166688</xdr:colOff>
      <xdr:row>266</xdr:row>
      <xdr:rowOff>142875</xdr:rowOff>
    </xdr:from>
    <xdr:to>
      <xdr:col>6</xdr:col>
      <xdr:colOff>166689</xdr:colOff>
      <xdr:row>271</xdr:row>
      <xdr:rowOff>119062</xdr:rowOff>
    </xdr:to>
    <xdr:sp macro="" textlink="">
      <xdr:nvSpPr>
        <xdr:cNvPr id="12" name="TextBox 11"/>
        <xdr:cNvSpPr txBox="1"/>
      </xdr:nvSpPr>
      <xdr:spPr>
        <a:xfrm>
          <a:off x="2024063" y="50815875"/>
          <a:ext cx="1857376" cy="92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x2</a:t>
          </a:r>
        </a:p>
      </xdr:txBody>
    </xdr:sp>
    <xdr:clientData/>
  </xdr:twoCellAnchor>
  <xdr:twoCellAnchor>
    <xdr:from>
      <xdr:col>22</xdr:col>
      <xdr:colOff>452436</xdr:colOff>
      <xdr:row>154</xdr:row>
      <xdr:rowOff>95252</xdr:rowOff>
    </xdr:from>
    <xdr:to>
      <xdr:col>27</xdr:col>
      <xdr:colOff>571498</xdr:colOff>
      <xdr:row>161</xdr:row>
      <xdr:rowOff>71438</xdr:rowOff>
    </xdr:to>
    <xdr:sp macro="" textlink="">
      <xdr:nvSpPr>
        <xdr:cNvPr id="13" name="TextBox 12"/>
        <xdr:cNvSpPr txBox="1"/>
      </xdr:nvSpPr>
      <xdr:spPr>
        <a:xfrm>
          <a:off x="14073186" y="29432252"/>
          <a:ext cx="3214687" cy="1309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U(x1,0.5,x3)</a:t>
          </a:r>
        </a:p>
      </xdr:txBody>
    </xdr:sp>
    <xdr:clientData/>
  </xdr:twoCellAnchor>
  <xdr:twoCellAnchor>
    <xdr:from>
      <xdr:col>21</xdr:col>
      <xdr:colOff>523874</xdr:colOff>
      <xdr:row>238</xdr:row>
      <xdr:rowOff>166690</xdr:rowOff>
    </xdr:from>
    <xdr:to>
      <xdr:col>27</xdr:col>
      <xdr:colOff>23811</xdr:colOff>
      <xdr:row>245</xdr:row>
      <xdr:rowOff>142876</xdr:rowOff>
    </xdr:to>
    <xdr:sp macro="" textlink="">
      <xdr:nvSpPr>
        <xdr:cNvPr id="14" name="TextBox 13"/>
        <xdr:cNvSpPr txBox="1"/>
      </xdr:nvSpPr>
      <xdr:spPr>
        <a:xfrm>
          <a:off x="13525499" y="45505690"/>
          <a:ext cx="3214687" cy="1309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U(x1,x2,5)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showGridLines="0" tabSelected="1" zoomScale="90" zoomScaleNormal="90" workbookViewId="0">
      <selection activeCell="C134" sqref="C134"/>
    </sheetView>
  </sheetViews>
  <sheetFormatPr defaultRowHeight="15" x14ac:dyDescent="0.25"/>
  <cols>
    <col min="1" max="1" width="34.140625" customWidth="1"/>
    <col min="2" max="2" width="18.7109375" customWidth="1"/>
    <col min="3" max="5" width="19" customWidth="1"/>
    <col min="6" max="6" width="7.5703125" customWidth="1"/>
    <col min="7" max="7" width="21.28515625" customWidth="1"/>
    <col min="8" max="8" width="18" customWidth="1"/>
    <col min="9" max="9" width="18.42578125" customWidth="1"/>
    <col min="10" max="10" width="14.28515625" customWidth="1"/>
    <col min="11" max="11" width="16.140625" style="11" customWidth="1"/>
    <col min="12" max="12" width="7.85546875" customWidth="1"/>
    <col min="13" max="13" width="18.5703125" customWidth="1"/>
    <col min="14" max="14" width="14.85546875" customWidth="1"/>
    <col min="15" max="15" width="5.7109375" customWidth="1"/>
    <col min="16" max="16" width="8.140625" customWidth="1"/>
    <col min="17" max="17" width="7.140625" customWidth="1"/>
    <col min="18" max="18" width="7.42578125" customWidth="1"/>
    <col min="19" max="19" width="10.7109375" customWidth="1"/>
  </cols>
  <sheetData>
    <row r="1" spans="1:19" ht="28.5" customHeight="1" x14ac:dyDescent="0.25">
      <c r="A1" t="s">
        <v>16</v>
      </c>
      <c r="K1" s="62" t="s">
        <v>6</v>
      </c>
      <c r="L1" s="63" t="s">
        <v>88</v>
      </c>
      <c r="M1" s="63" t="s">
        <v>89</v>
      </c>
      <c r="N1" s="63" t="s">
        <v>90</v>
      </c>
      <c r="O1" s="63" t="s">
        <v>91</v>
      </c>
      <c r="P1" s="63" t="s">
        <v>92</v>
      </c>
      <c r="Q1" s="63" t="s">
        <v>93</v>
      </c>
      <c r="R1" s="63" t="s">
        <v>94</v>
      </c>
      <c r="S1" s="63" t="s">
        <v>78</v>
      </c>
    </row>
    <row r="2" spans="1:19" x14ac:dyDescent="0.25">
      <c r="J2" s="57">
        <f>S3</f>
        <v>0.9592792500910956</v>
      </c>
      <c r="K2" s="60"/>
      <c r="L2" s="65"/>
      <c r="M2" s="65"/>
      <c r="N2" s="65"/>
      <c r="O2" s="65"/>
      <c r="P2" s="65"/>
      <c r="Q2" s="65"/>
      <c r="R2" s="65"/>
      <c r="S2" s="65"/>
    </row>
    <row r="3" spans="1:19" x14ac:dyDescent="0.25">
      <c r="A3" t="s">
        <v>21</v>
      </c>
      <c r="J3" s="1" t="s">
        <v>0</v>
      </c>
      <c r="K3" s="60" t="s">
        <v>41</v>
      </c>
      <c r="L3" s="65">
        <f>I6*J4</f>
        <v>0.68599999999999994</v>
      </c>
      <c r="M3" s="65">
        <f>$C$23</f>
        <v>-500</v>
      </c>
      <c r="N3" s="66">
        <f>$D$23</f>
        <v>0.8</v>
      </c>
      <c r="O3" s="61">
        <f>$E$23</f>
        <v>9</v>
      </c>
      <c r="P3" s="56">
        <f>$C$32+$D$32*EXP(-M3/$B$32)</f>
        <v>0</v>
      </c>
      <c r="Q3" s="56">
        <f>$C$33+$D$33*EXP(-N3/$B$33)</f>
        <v>0.85842099030895247</v>
      </c>
      <c r="R3" s="56">
        <f>$C$34+$D$34*EXP(-O3/$B$34)</f>
        <v>0.98816251086705054</v>
      </c>
      <c r="S3" s="56">
        <f>(($B$42*$B$38*P3+1)*($B$42*$B$39*Q3+1)*($B$42*$B$40*R3+1)-1)/$B$42</f>
        <v>0.9592792500910956</v>
      </c>
    </row>
    <row r="4" spans="1:19" x14ac:dyDescent="0.25">
      <c r="A4" t="s">
        <v>19</v>
      </c>
      <c r="B4" s="10">
        <v>0.02</v>
      </c>
      <c r="I4" s="57">
        <f>J2*J4+J9*J7</f>
        <v>0.94630647418949088</v>
      </c>
      <c r="J4" s="19">
        <f>1-J7</f>
        <v>0.7</v>
      </c>
      <c r="K4" s="60"/>
      <c r="L4" s="65"/>
      <c r="M4" s="65"/>
      <c r="N4" s="66"/>
      <c r="O4" s="61"/>
      <c r="P4" s="56"/>
      <c r="Q4" s="56"/>
      <c r="R4" s="56"/>
      <c r="S4" s="56"/>
    </row>
    <row r="5" spans="1:19" x14ac:dyDescent="0.25">
      <c r="A5" t="s">
        <v>17</v>
      </c>
      <c r="B5" s="10">
        <v>0.3</v>
      </c>
      <c r="I5" s="4" t="s">
        <v>3</v>
      </c>
      <c r="J5" s="2"/>
      <c r="K5" s="60"/>
      <c r="L5" s="65"/>
      <c r="M5" s="65"/>
      <c r="N5" s="66"/>
      <c r="O5" s="61"/>
      <c r="P5" s="56"/>
      <c r="Q5" s="56"/>
      <c r="R5" s="56"/>
      <c r="S5" s="56"/>
    </row>
    <row r="6" spans="1:19" x14ac:dyDescent="0.25">
      <c r="A6" t="s">
        <v>18</v>
      </c>
      <c r="B6" s="10">
        <v>0.6</v>
      </c>
      <c r="I6" s="16">
        <f>1-I11</f>
        <v>0.98</v>
      </c>
      <c r="J6" s="2"/>
      <c r="K6" s="60"/>
      <c r="L6" s="65"/>
      <c r="M6" s="65"/>
      <c r="N6" s="66"/>
      <c r="O6" s="61"/>
      <c r="P6" s="56"/>
      <c r="Q6" s="56"/>
      <c r="R6" s="56"/>
      <c r="S6" s="56"/>
    </row>
    <row r="7" spans="1:19" x14ac:dyDescent="0.25">
      <c r="A7" t="s">
        <v>20</v>
      </c>
      <c r="B7" s="10">
        <v>0.125</v>
      </c>
      <c r="H7" s="57">
        <f>I6*I4+I13*I11</f>
        <v>0.93056549474336459</v>
      </c>
      <c r="I7" s="8"/>
      <c r="J7" s="18">
        <f>$B$5</f>
        <v>0.3</v>
      </c>
      <c r="K7" s="60" t="s">
        <v>42</v>
      </c>
      <c r="L7" s="65">
        <f>I6*J7</f>
        <v>0.29399999999999998</v>
      </c>
      <c r="M7" s="65">
        <f>$C$24</f>
        <v>-450</v>
      </c>
      <c r="N7" s="66">
        <f>$D$24</f>
        <v>0.8</v>
      </c>
      <c r="O7" s="61">
        <f>$E$24</f>
        <v>5</v>
      </c>
      <c r="P7" s="56">
        <f t="shared" ref="P7:P27" si="0">$C$32+$D$32*EXP(-M7/$B$32)</f>
        <v>0.25582079694033066</v>
      </c>
      <c r="Q7" s="56">
        <f t="shared" ref="Q7:Q27" si="1">$C$33+$D$33*EXP(-N7/$B$33)</f>
        <v>0.85842099030895247</v>
      </c>
      <c r="R7" s="56">
        <f t="shared" ref="R7:R27" si="2">$C$34+$D$34*EXP(-O7/$B$34)</f>
        <v>0.86056612703835</v>
      </c>
      <c r="S7" s="56">
        <f t="shared" ref="S7:S27" si="3">(($B$42*$B$38*P7+1)*($B$42*$B$39*Q7+1)*($B$42*$B$40*R7+1)-1)/$B$42</f>
        <v>0.91603666375241355</v>
      </c>
    </row>
    <row r="8" spans="1:19" x14ac:dyDescent="0.25">
      <c r="A8" t="s">
        <v>23</v>
      </c>
      <c r="B8" s="10">
        <v>0.85</v>
      </c>
      <c r="G8" s="5"/>
      <c r="H8" s="4" t="s">
        <v>7</v>
      </c>
      <c r="I8" s="8"/>
      <c r="J8" s="3" t="s">
        <v>1</v>
      </c>
      <c r="K8" s="60"/>
      <c r="L8" s="65"/>
      <c r="M8" s="65"/>
      <c r="N8" s="66"/>
      <c r="O8" s="61"/>
      <c r="P8" s="56"/>
      <c r="Q8" s="56"/>
      <c r="R8" s="56"/>
      <c r="S8" s="56"/>
    </row>
    <row r="9" spans="1:19" x14ac:dyDescent="0.25">
      <c r="A9" t="s">
        <v>22</v>
      </c>
      <c r="B9" s="10">
        <v>0.95</v>
      </c>
      <c r="H9" s="8"/>
      <c r="I9" s="8"/>
      <c r="J9" s="58">
        <f>S7</f>
        <v>0.91603666375241355</v>
      </c>
      <c r="K9" s="60"/>
      <c r="L9" s="65"/>
      <c r="M9" s="65"/>
      <c r="N9" s="66"/>
      <c r="O9" s="61"/>
      <c r="P9" s="56"/>
      <c r="Q9" s="56"/>
      <c r="R9" s="56"/>
      <c r="S9" s="56"/>
    </row>
    <row r="10" spans="1:19" x14ac:dyDescent="0.25">
      <c r="H10" s="8"/>
      <c r="I10" s="8"/>
      <c r="J10" s="5"/>
      <c r="K10" s="60"/>
      <c r="L10" s="65"/>
      <c r="M10" s="65"/>
      <c r="N10" s="66"/>
      <c r="O10" s="61"/>
      <c r="P10" s="56"/>
      <c r="Q10" s="56"/>
      <c r="R10" s="56"/>
      <c r="S10" s="56"/>
    </row>
    <row r="11" spans="1:19" x14ac:dyDescent="0.25">
      <c r="A11" t="s">
        <v>29</v>
      </c>
      <c r="B11" s="10" t="s">
        <v>66</v>
      </c>
      <c r="C11" s="10" t="s">
        <v>65</v>
      </c>
      <c r="D11" s="10"/>
      <c r="E11" s="10"/>
      <c r="H11" s="8"/>
      <c r="I11" s="17">
        <f>$B$4</f>
        <v>0.02</v>
      </c>
      <c r="J11" s="6"/>
      <c r="K11" s="60" t="s">
        <v>4</v>
      </c>
      <c r="L11" s="65">
        <f>I11</f>
        <v>0.02</v>
      </c>
      <c r="M11" s="65">
        <f>$C$25</f>
        <v>-150</v>
      </c>
      <c r="N11" s="66">
        <f>$D$25</f>
        <v>0</v>
      </c>
      <c r="O11" s="61">
        <f>$E$25</f>
        <v>0</v>
      </c>
      <c r="P11" s="56">
        <f t="shared" si="0"/>
        <v>0.95554501129904312</v>
      </c>
      <c r="Q11" s="56">
        <f t="shared" si="1"/>
        <v>0</v>
      </c>
      <c r="R11" s="56">
        <f t="shared" si="2"/>
        <v>0</v>
      </c>
      <c r="S11" s="56">
        <f t="shared" si="3"/>
        <v>0.15925750188317386</v>
      </c>
    </row>
    <row r="12" spans="1:19" x14ac:dyDescent="0.25">
      <c r="A12" t="s">
        <v>30</v>
      </c>
      <c r="B12" s="10">
        <f>MIN(C23:C29)</f>
        <v>-500</v>
      </c>
      <c r="C12" s="10">
        <f>MAX(C23:C29)</f>
        <v>-100</v>
      </c>
      <c r="D12" s="10"/>
      <c r="E12" s="10"/>
      <c r="H12" s="8"/>
      <c r="I12" t="s">
        <v>2</v>
      </c>
      <c r="K12" s="60"/>
      <c r="L12" s="65"/>
      <c r="M12" s="65"/>
      <c r="N12" s="66"/>
      <c r="O12" s="61"/>
      <c r="P12" s="56"/>
      <c r="Q12" s="56"/>
      <c r="R12" s="56"/>
      <c r="S12" s="56"/>
    </row>
    <row r="13" spans="1:19" x14ac:dyDescent="0.25">
      <c r="A13" t="s">
        <v>31</v>
      </c>
      <c r="B13" s="28">
        <f>MIN(D23:D29)</f>
        <v>0</v>
      </c>
      <c r="C13" s="28">
        <f>MAX(D23:D29)</f>
        <v>1</v>
      </c>
      <c r="D13" s="25"/>
      <c r="E13" s="25"/>
      <c r="H13" s="8"/>
      <c r="I13" s="57">
        <f>S11</f>
        <v>0.15925750188317386</v>
      </c>
      <c r="K13" s="60"/>
      <c r="L13" s="65"/>
      <c r="M13" s="65"/>
      <c r="N13" s="66"/>
      <c r="O13" s="61"/>
      <c r="P13" s="56"/>
      <c r="Q13" s="56"/>
      <c r="R13" s="56"/>
      <c r="S13" s="56"/>
    </row>
    <row r="14" spans="1:19" x14ac:dyDescent="0.25">
      <c r="A14" t="s">
        <v>46</v>
      </c>
      <c r="B14" s="10">
        <f>MIN(E23:E29)</f>
        <v>0</v>
      </c>
      <c r="C14" s="10">
        <f>MAX(E23:E29)</f>
        <v>10</v>
      </c>
      <c r="D14" s="10"/>
      <c r="E14" s="10"/>
      <c r="G14" s="10" t="s">
        <v>65</v>
      </c>
      <c r="H14" s="8"/>
      <c r="K14" s="60"/>
      <c r="L14" s="65"/>
      <c r="M14" s="65"/>
      <c r="N14" s="66"/>
      <c r="O14" s="61"/>
      <c r="P14" s="56"/>
      <c r="Q14" s="56"/>
      <c r="R14" s="56"/>
      <c r="S14" s="56"/>
    </row>
    <row r="15" spans="1:19" x14ac:dyDescent="0.25">
      <c r="F15" s="6" t="s">
        <v>11</v>
      </c>
      <c r="G15" s="38" t="str">
        <f>IF(G16=H7,H8,IF(G16=H16,H15,H22))</f>
        <v>Amputation</v>
      </c>
      <c r="H15" s="9" t="s">
        <v>35</v>
      </c>
      <c r="I15" s="6"/>
      <c r="J15" s="6"/>
      <c r="K15" s="60" t="s">
        <v>42</v>
      </c>
      <c r="L15" s="65">
        <v>1</v>
      </c>
      <c r="M15" s="65">
        <f>$C$26</f>
        <v>-400</v>
      </c>
      <c r="N15" s="66">
        <f>$D$26</f>
        <v>0.9</v>
      </c>
      <c r="O15" s="61">
        <f>$E$26</f>
        <v>5</v>
      </c>
      <c r="P15" s="56">
        <f t="shared" si="0"/>
        <v>0.45505423392341116</v>
      </c>
      <c r="Q15" s="56">
        <f t="shared" si="1"/>
        <v>0.93204056613808095</v>
      </c>
      <c r="R15" s="56">
        <f t="shared" si="2"/>
        <v>0.86056612703835</v>
      </c>
      <c r="S15" s="56">
        <f t="shared" si="3"/>
        <v>0.93659997977720622</v>
      </c>
    </row>
    <row r="16" spans="1:19" x14ac:dyDescent="0.25">
      <c r="A16" t="s">
        <v>37</v>
      </c>
      <c r="B16" t="s">
        <v>38</v>
      </c>
      <c r="C16" t="s">
        <v>39</v>
      </c>
      <c r="D16" t="s">
        <v>40</v>
      </c>
      <c r="G16" s="57">
        <f>MAX(H7,H16,H23)</f>
        <v>0.93659997977720622</v>
      </c>
      <c r="H16" s="59">
        <f>S15</f>
        <v>0.93659997977720622</v>
      </c>
      <c r="K16" s="60"/>
      <c r="L16" s="65"/>
      <c r="M16" s="65"/>
      <c r="N16" s="66"/>
      <c r="O16" s="61"/>
      <c r="P16" s="56"/>
      <c r="Q16" s="56"/>
      <c r="R16" s="56"/>
      <c r="S16" s="56"/>
    </row>
    <row r="17" spans="1:19" x14ac:dyDescent="0.25">
      <c r="A17" t="s">
        <v>36</v>
      </c>
      <c r="B17" s="10">
        <v>-150</v>
      </c>
      <c r="C17" s="10">
        <v>-350</v>
      </c>
      <c r="D17" s="10">
        <f>B17+C17</f>
        <v>-500</v>
      </c>
      <c r="H17" s="8"/>
      <c r="K17" s="60"/>
      <c r="L17" s="65"/>
      <c r="M17" s="65"/>
      <c r="N17" s="66"/>
      <c r="O17" s="61"/>
      <c r="P17" s="56"/>
      <c r="Q17" s="56"/>
      <c r="R17" s="56"/>
      <c r="S17" s="56"/>
    </row>
    <row r="18" spans="1:19" x14ac:dyDescent="0.25">
      <c r="A18" t="s">
        <v>35</v>
      </c>
      <c r="B18" s="10">
        <v>-100</v>
      </c>
      <c r="C18" s="10">
        <v>-300</v>
      </c>
      <c r="D18" s="10">
        <f t="shared" ref="D18:D19" si="4">B18+C18</f>
        <v>-400</v>
      </c>
      <c r="H18" s="8"/>
      <c r="I18" s="57">
        <f>S19</f>
        <v>0.99999999999999989</v>
      </c>
      <c r="K18" s="60"/>
      <c r="L18" s="65"/>
      <c r="M18" s="65"/>
      <c r="N18" s="66"/>
      <c r="O18" s="61"/>
      <c r="P18" s="56"/>
      <c r="Q18" s="56"/>
      <c r="R18" s="56"/>
      <c r="S18" s="56"/>
    </row>
    <row r="19" spans="1:19" x14ac:dyDescent="0.25">
      <c r="A19" t="s">
        <v>9</v>
      </c>
      <c r="B19" s="10">
        <v>-100</v>
      </c>
      <c r="C19" s="10">
        <v>0</v>
      </c>
      <c r="D19" s="10">
        <f t="shared" si="4"/>
        <v>-100</v>
      </c>
      <c r="H19" s="8"/>
      <c r="I19" s="6" t="s">
        <v>0</v>
      </c>
      <c r="J19" s="6"/>
      <c r="K19" s="60" t="s">
        <v>43</v>
      </c>
      <c r="L19" s="65">
        <f>I20</f>
        <v>0.6</v>
      </c>
      <c r="M19" s="65">
        <f>$C$27</f>
        <v>-100</v>
      </c>
      <c r="N19" s="66">
        <f>$D$27</f>
        <v>1</v>
      </c>
      <c r="O19" s="61">
        <f>$E$27</f>
        <v>10</v>
      </c>
      <c r="P19" s="56">
        <f t="shared" si="0"/>
        <v>1</v>
      </c>
      <c r="Q19" s="56">
        <f t="shared" si="1"/>
        <v>0.99999999999999989</v>
      </c>
      <c r="R19" s="56">
        <f t="shared" si="2"/>
        <v>1</v>
      </c>
      <c r="S19" s="56">
        <f t="shared" si="3"/>
        <v>0.99999999999999989</v>
      </c>
    </row>
    <row r="20" spans="1:19" x14ac:dyDescent="0.25">
      <c r="H20" s="8"/>
      <c r="I20" s="16">
        <f>$B$6</f>
        <v>0.6</v>
      </c>
      <c r="K20" s="60"/>
      <c r="L20" s="65"/>
      <c r="M20" s="65"/>
      <c r="N20" s="66"/>
      <c r="O20" s="61"/>
      <c r="P20" s="56"/>
      <c r="Q20" s="56"/>
      <c r="R20" s="56"/>
      <c r="S20" s="56"/>
    </row>
    <row r="21" spans="1:19" x14ac:dyDescent="0.25">
      <c r="C21" s="24"/>
      <c r="D21" s="24" t="s">
        <v>32</v>
      </c>
      <c r="E21" s="24"/>
      <c r="H21" s="8"/>
      <c r="I21" s="8"/>
      <c r="K21" s="60"/>
      <c r="L21" s="65"/>
      <c r="M21" s="65"/>
      <c r="N21" s="66"/>
      <c r="O21" s="61"/>
      <c r="P21" s="56"/>
      <c r="Q21" s="56"/>
      <c r="R21" s="56"/>
      <c r="S21" s="56"/>
    </row>
    <row r="22" spans="1:19" x14ac:dyDescent="0.25">
      <c r="A22" t="s">
        <v>34</v>
      </c>
      <c r="B22" t="s">
        <v>6</v>
      </c>
      <c r="C22" t="s">
        <v>33</v>
      </c>
      <c r="D22" t="s">
        <v>14</v>
      </c>
      <c r="E22" t="s">
        <v>15</v>
      </c>
      <c r="H22" s="12" t="s">
        <v>9</v>
      </c>
      <c r="I22" s="8"/>
      <c r="J22" s="57">
        <f>S23</f>
        <v>0.8395199644087159</v>
      </c>
      <c r="K22" s="60"/>
      <c r="L22" s="65"/>
      <c r="M22" s="65"/>
      <c r="N22" s="66"/>
      <c r="O22" s="61"/>
      <c r="P22" s="56"/>
      <c r="Q22" s="56"/>
      <c r="R22" s="56"/>
      <c r="S22" s="56"/>
    </row>
    <row r="23" spans="1:19" x14ac:dyDescent="0.25">
      <c r="A23" t="s">
        <v>7</v>
      </c>
      <c r="B23" t="s">
        <v>41</v>
      </c>
      <c r="C23" s="10">
        <f>D17</f>
        <v>-500</v>
      </c>
      <c r="D23" s="27">
        <v>0.8</v>
      </c>
      <c r="E23" s="28">
        <v>9</v>
      </c>
      <c r="H23" s="58">
        <f>I18*I20+I27*I25</f>
        <v>0.90216532087638379</v>
      </c>
      <c r="I23" s="8"/>
      <c r="J23" s="1" t="s">
        <v>5</v>
      </c>
      <c r="K23" s="60" t="s">
        <v>44</v>
      </c>
      <c r="L23" s="65">
        <f>I25*J24</f>
        <v>0.35000000000000003</v>
      </c>
      <c r="M23" s="65">
        <f>$C$28</f>
        <v>-500</v>
      </c>
      <c r="N23" s="66">
        <f>$D$28</f>
        <v>0.8</v>
      </c>
      <c r="O23" s="61">
        <f>$E$28</f>
        <v>3</v>
      </c>
      <c r="P23" s="56">
        <f t="shared" si="0"/>
        <v>0</v>
      </c>
      <c r="Q23" s="56">
        <f t="shared" si="1"/>
        <v>0.85842099030895247</v>
      </c>
      <c r="R23" s="56">
        <f t="shared" si="2"/>
        <v>0.68236905442403839</v>
      </c>
      <c r="S23" s="56">
        <f t="shared" si="3"/>
        <v>0.8395199644087159</v>
      </c>
    </row>
    <row r="24" spans="1:19" x14ac:dyDescent="0.25">
      <c r="B24" t="s">
        <v>42</v>
      </c>
      <c r="C24" s="10">
        <f>B17+C18</f>
        <v>-450</v>
      </c>
      <c r="D24" s="27">
        <v>0.8</v>
      </c>
      <c r="E24" s="28">
        <v>5</v>
      </c>
      <c r="I24" s="8"/>
      <c r="J24" s="21">
        <f>1-J27</f>
        <v>0.875</v>
      </c>
      <c r="K24" s="60"/>
      <c r="L24" s="65"/>
      <c r="M24" s="65"/>
      <c r="N24" s="66"/>
      <c r="O24" s="61"/>
      <c r="P24" s="56"/>
      <c r="Q24" s="56"/>
      <c r="R24" s="56"/>
      <c r="S24" s="56"/>
    </row>
    <row r="25" spans="1:19" x14ac:dyDescent="0.25">
      <c r="B25" s="11" t="s">
        <v>4</v>
      </c>
      <c r="C25" s="10">
        <f>B17</f>
        <v>-150</v>
      </c>
      <c r="D25" s="27">
        <v>0</v>
      </c>
      <c r="E25" s="28">
        <v>0</v>
      </c>
      <c r="H25" s="5"/>
      <c r="I25" s="20">
        <f>1-I20</f>
        <v>0.4</v>
      </c>
      <c r="J25" s="19"/>
      <c r="K25" s="60"/>
      <c r="L25" s="65"/>
      <c r="M25" s="65"/>
      <c r="N25" s="66"/>
      <c r="O25" s="61"/>
      <c r="P25" s="56"/>
      <c r="Q25" s="56"/>
      <c r="R25" s="56"/>
      <c r="S25" s="56"/>
    </row>
    <row r="26" spans="1:19" x14ac:dyDescent="0.25">
      <c r="A26" t="s">
        <v>35</v>
      </c>
      <c r="B26" t="s">
        <v>42</v>
      </c>
      <c r="C26" s="10">
        <f>D18</f>
        <v>-400</v>
      </c>
      <c r="D26" s="27">
        <v>0.9</v>
      </c>
      <c r="E26" s="28">
        <v>5</v>
      </c>
      <c r="H26" s="5"/>
      <c r="I26" s="5" t="s">
        <v>8</v>
      </c>
      <c r="J26" s="19"/>
      <c r="K26" s="60"/>
      <c r="L26" s="65"/>
      <c r="M26" s="65"/>
      <c r="N26" s="66"/>
      <c r="O26" s="61"/>
      <c r="P26" s="56"/>
      <c r="Q26" s="56"/>
      <c r="R26" s="56"/>
      <c r="S26" s="56"/>
    </row>
    <row r="27" spans="1:19" x14ac:dyDescent="0.25">
      <c r="A27" t="s">
        <v>9</v>
      </c>
      <c r="B27" t="s">
        <v>43</v>
      </c>
      <c r="C27" s="10">
        <f>D19</f>
        <v>-100</v>
      </c>
      <c r="D27" s="27">
        <v>1</v>
      </c>
      <c r="E27" s="28">
        <v>10</v>
      </c>
      <c r="H27" s="5"/>
      <c r="I27" s="58">
        <f>J22*J24+J29*J27</f>
        <v>0.75541330219095981</v>
      </c>
      <c r="J27" s="18">
        <f>$B$7</f>
        <v>0.125</v>
      </c>
      <c r="K27" s="60" t="s">
        <v>4</v>
      </c>
      <c r="L27" s="65">
        <f>I25*J27</f>
        <v>0.05</v>
      </c>
      <c r="M27" s="65">
        <f>$C$29</f>
        <v>-100</v>
      </c>
      <c r="N27" s="66">
        <f>$D$29</f>
        <v>0</v>
      </c>
      <c r="O27" s="61">
        <f>$E$29</f>
        <v>0</v>
      </c>
      <c r="P27" s="56">
        <f t="shared" si="0"/>
        <v>1</v>
      </c>
      <c r="Q27" s="56">
        <f t="shared" si="1"/>
        <v>0</v>
      </c>
      <c r="R27" s="56">
        <f t="shared" si="2"/>
        <v>0</v>
      </c>
      <c r="S27" s="56">
        <f t="shared" si="3"/>
        <v>0.16666666666666663</v>
      </c>
    </row>
    <row r="28" spans="1:19" x14ac:dyDescent="0.25">
      <c r="B28" t="s">
        <v>45</v>
      </c>
      <c r="C28" s="10">
        <f>D19+D18</f>
        <v>-500</v>
      </c>
      <c r="D28" s="27">
        <v>0.8</v>
      </c>
      <c r="E28" s="28">
        <v>3</v>
      </c>
      <c r="H28" s="5"/>
      <c r="I28" s="5"/>
      <c r="J28" t="s">
        <v>4</v>
      </c>
      <c r="O28" s="10"/>
      <c r="S28" s="10"/>
    </row>
    <row r="29" spans="1:19" x14ac:dyDescent="0.25">
      <c r="B29" t="s">
        <v>4</v>
      </c>
      <c r="C29" s="10">
        <f>B19</f>
        <v>-100</v>
      </c>
      <c r="D29" s="27">
        <v>0</v>
      </c>
      <c r="E29" s="28">
        <v>0</v>
      </c>
      <c r="H29" s="5"/>
      <c r="I29" s="5"/>
      <c r="J29" s="57">
        <f>S27</f>
        <v>0.16666666666666663</v>
      </c>
      <c r="O29" s="10"/>
    </row>
    <row r="30" spans="1:19" x14ac:dyDescent="0.25">
      <c r="O30" s="10"/>
    </row>
    <row r="31" spans="1:19" x14ac:dyDescent="0.25">
      <c r="A31" t="s">
        <v>56</v>
      </c>
      <c r="B31" t="s">
        <v>28</v>
      </c>
      <c r="C31" s="10" t="s">
        <v>54</v>
      </c>
      <c r="D31" s="10" t="s">
        <v>55</v>
      </c>
      <c r="J31" s="33">
        <f>S32</f>
        <v>0.9592792500910956</v>
      </c>
    </row>
    <row r="32" spans="1:19" x14ac:dyDescent="0.25">
      <c r="A32" t="s">
        <v>13</v>
      </c>
      <c r="B32" s="10">
        <f>G134</f>
        <v>200</v>
      </c>
      <c r="C32" s="33">
        <f>-EXP(C12/B32)/(-EXP(C12/B32)+EXP(B12/B32))</f>
        <v>1.1565176427496657</v>
      </c>
      <c r="D32" s="33">
        <f>EXP(C12/B32+B12/B32)/(-EXP(C12/B32)+EXP(B12/B32))</f>
        <v>-9.4932749113620998E-2</v>
      </c>
      <c r="J32" s="1" t="s">
        <v>0</v>
      </c>
      <c r="K32" s="11" t="s">
        <v>41</v>
      </c>
      <c r="L32">
        <f>I35*J33</f>
        <v>0.9178873239436619</v>
      </c>
      <c r="M32">
        <f>$C$23</f>
        <v>-500</v>
      </c>
      <c r="N32" s="27">
        <f>$D$23</f>
        <v>0.8</v>
      </c>
      <c r="O32" s="10">
        <f>$E$23</f>
        <v>9</v>
      </c>
      <c r="P32" s="33">
        <f>$C$32+$D$32*EXP(-M32/$B$32)</f>
        <v>0</v>
      </c>
      <c r="Q32" s="33">
        <f>$C$33+$D$33*EXP(-N32/$B$33)</f>
        <v>0.85842099030895247</v>
      </c>
      <c r="R32" s="33">
        <f>$C$34+$D$34*EXP(-O32/$B$34)</f>
        <v>0.98816251086705054</v>
      </c>
      <c r="S32" s="33">
        <f>(($B$42*$B$38*P32+1)*($B$42*$B$39*Q32+1)*($B$42*$B$40*R32+1)-1)/$B$42</f>
        <v>0.9592792500910956</v>
      </c>
    </row>
    <row r="33" spans="1:19" x14ac:dyDescent="0.25">
      <c r="A33" t="s">
        <v>12</v>
      </c>
      <c r="B33" s="10">
        <f>G141</f>
        <v>1.2500000000000002</v>
      </c>
      <c r="C33" s="33">
        <f t="shared" ref="C33:C34" si="5">-EXP(C13/B33)/(-EXP(C13/B33)+EXP(B13/B33))</f>
        <v>1.8159662209160943</v>
      </c>
      <c r="D33" s="33">
        <f t="shared" ref="D33:D34" si="6">EXP(C13/B33+B13/B33)/(-EXP(C13/B33)+EXP(B13/B33))</f>
        <v>-1.8159662209160943</v>
      </c>
      <c r="F33" s="10"/>
      <c r="G33" s="10"/>
      <c r="I33" s="33">
        <f>J31*J33+J38*J36</f>
        <v>0.95653852278793972</v>
      </c>
      <c r="J33" s="42">
        <f>N91</f>
        <v>0.93661971830985913</v>
      </c>
      <c r="N33" s="27"/>
      <c r="O33" s="10"/>
      <c r="P33" s="33"/>
      <c r="Q33" s="33"/>
      <c r="R33" s="33"/>
      <c r="S33" s="33"/>
    </row>
    <row r="34" spans="1:19" x14ac:dyDescent="0.25">
      <c r="A34" t="s">
        <v>15</v>
      </c>
      <c r="B34" s="27">
        <f>G148</f>
        <v>2.7472527472527473</v>
      </c>
      <c r="C34" s="33">
        <f t="shared" si="5"/>
        <v>1.0269601100480215</v>
      </c>
      <c r="D34" s="33">
        <f t="shared" si="6"/>
        <v>-1.0269601100480215</v>
      </c>
      <c r="F34" s="10"/>
      <c r="G34" s="10"/>
      <c r="I34" s="4" t="s">
        <v>3</v>
      </c>
      <c r="J34" s="2"/>
      <c r="N34" s="27"/>
      <c r="O34" s="10"/>
      <c r="P34" s="33"/>
      <c r="Q34" s="33"/>
      <c r="R34" s="33"/>
      <c r="S34" s="33"/>
    </row>
    <row r="35" spans="1:19" x14ac:dyDescent="0.25">
      <c r="F35" s="10"/>
      <c r="I35" s="16">
        <f>1-I40</f>
        <v>0.98</v>
      </c>
      <c r="J35" s="2"/>
      <c r="N35" s="27"/>
      <c r="O35" s="10"/>
      <c r="P35" s="33"/>
      <c r="Q35" s="33"/>
      <c r="R35" s="33"/>
      <c r="S35" s="33"/>
    </row>
    <row r="36" spans="1:19" x14ac:dyDescent="0.25">
      <c r="A36" t="s">
        <v>57</v>
      </c>
      <c r="H36" s="33">
        <f>I35*I33+I42*I40</f>
        <v>0.94059290236984439</v>
      </c>
      <c r="I36" s="8"/>
      <c r="J36" s="22">
        <f>N94</f>
        <v>6.3380281690140858E-2</v>
      </c>
      <c r="K36" s="11" t="s">
        <v>42</v>
      </c>
      <c r="L36">
        <f>I35*J36</f>
        <v>6.2112676056338037E-2</v>
      </c>
      <c r="M36">
        <f>$C$24</f>
        <v>-450</v>
      </c>
      <c r="N36" s="27">
        <f>$D$24</f>
        <v>0.8</v>
      </c>
      <c r="O36" s="10">
        <f>$E$24</f>
        <v>5</v>
      </c>
      <c r="P36" s="33">
        <f t="shared" ref="P36" si="7">$C$32+$D$32*EXP(-M36/$B$32)</f>
        <v>0.25582079694033066</v>
      </c>
      <c r="Q36" s="33">
        <f t="shared" ref="Q36" si="8">$C$33+$D$33*EXP(-N36/$B$33)</f>
        <v>0.85842099030895247</v>
      </c>
      <c r="R36" s="33">
        <f t="shared" ref="R36" si="9">$C$34+$D$34*EXP(-O36/$B$34)</f>
        <v>0.86056612703835</v>
      </c>
      <c r="S36" s="33">
        <f t="shared" ref="S36" si="10">(($B$42*$B$38*P36+1)*($B$42*$B$39*Q36+1)*($B$42*$B$40*R36+1)-1)/$B$42</f>
        <v>0.91603666375241355</v>
      </c>
    </row>
    <row r="37" spans="1:19" x14ac:dyDescent="0.25">
      <c r="A37" t="s">
        <v>59</v>
      </c>
      <c r="B37" s="10"/>
      <c r="H37" s="4" t="s">
        <v>7</v>
      </c>
      <c r="I37" s="8"/>
      <c r="J37" s="3" t="s">
        <v>1</v>
      </c>
      <c r="N37" s="27"/>
      <c r="O37" s="10"/>
      <c r="P37" s="33"/>
      <c r="Q37" s="33"/>
      <c r="R37" s="33"/>
      <c r="S37" s="33"/>
    </row>
    <row r="38" spans="1:19" x14ac:dyDescent="0.25">
      <c r="A38" t="s">
        <v>13</v>
      </c>
      <c r="B38" s="27">
        <f>F110</f>
        <v>0.16666666666666669</v>
      </c>
      <c r="H38" s="8"/>
      <c r="I38" s="8"/>
      <c r="J38" s="36">
        <f>S36</f>
        <v>0.91603666375241355</v>
      </c>
      <c r="N38" s="27"/>
      <c r="O38" s="10"/>
      <c r="P38" s="33"/>
      <c r="Q38" s="33"/>
      <c r="R38" s="33"/>
      <c r="S38" s="33"/>
    </row>
    <row r="39" spans="1:19" x14ac:dyDescent="0.25">
      <c r="A39" t="s">
        <v>12</v>
      </c>
      <c r="B39" s="27">
        <f>F117</f>
        <v>0.66666666666666663</v>
      </c>
      <c r="H39" s="8"/>
      <c r="I39" s="8"/>
      <c r="J39" s="5"/>
      <c r="N39" s="27"/>
      <c r="O39" s="10"/>
      <c r="P39" s="33"/>
      <c r="Q39" s="33"/>
      <c r="R39" s="33"/>
      <c r="S39" s="33"/>
    </row>
    <row r="40" spans="1:19" x14ac:dyDescent="0.25">
      <c r="A40" t="s">
        <v>15</v>
      </c>
      <c r="B40" s="27">
        <f>F124</f>
        <v>0.83333333333333337</v>
      </c>
      <c r="H40" s="8"/>
      <c r="I40" s="17">
        <f>$B$4</f>
        <v>0.02</v>
      </c>
      <c r="J40" s="6"/>
      <c r="K40" s="11" t="s">
        <v>4</v>
      </c>
      <c r="L40">
        <f>I40</f>
        <v>0.02</v>
      </c>
      <c r="M40">
        <f>$C$25</f>
        <v>-150</v>
      </c>
      <c r="N40" s="27">
        <f>$D$25</f>
        <v>0</v>
      </c>
      <c r="O40" s="10">
        <f>$E$25</f>
        <v>0</v>
      </c>
      <c r="P40" s="33">
        <f t="shared" ref="P40" si="11">$C$32+$D$32*EXP(-M40/$B$32)</f>
        <v>0.95554501129904312</v>
      </c>
      <c r="Q40" s="33">
        <f t="shared" ref="Q40" si="12">$C$33+$D$33*EXP(-N40/$B$33)</f>
        <v>0</v>
      </c>
      <c r="R40" s="33">
        <f t="shared" ref="R40" si="13">$C$34+$D$34*EXP(-O40/$B$34)</f>
        <v>0</v>
      </c>
      <c r="S40" s="33">
        <f t="shared" ref="S40" si="14">(($B$42*$B$38*P40+1)*($B$42*$B$39*Q40+1)*($B$42*$B$40*R40+1)-1)/$B$42</f>
        <v>0.15925750188317386</v>
      </c>
    </row>
    <row r="41" spans="1:19" x14ac:dyDescent="0.25">
      <c r="H41" s="8"/>
      <c r="I41" t="s">
        <v>2</v>
      </c>
      <c r="N41" s="27"/>
      <c r="O41" s="10"/>
      <c r="P41" s="33"/>
      <c r="Q41" s="33"/>
      <c r="R41" s="33"/>
      <c r="S41" s="33"/>
    </row>
    <row r="42" spans="1:19" x14ac:dyDescent="0.25">
      <c r="A42" t="s">
        <v>58</v>
      </c>
      <c r="B42" s="33">
        <f>(-B38*B39-B38*B40-B39*B40+SQRT(4*B38*B39*(1-B38-B39-B40)*B40+(-B38*B39-B38*B40-B39*B40)^2))/(2*B38*B39*B40)</f>
        <v>-0.92618633684600193</v>
      </c>
      <c r="H42" s="8"/>
      <c r="I42" s="33">
        <f>S40</f>
        <v>0.15925750188317386</v>
      </c>
      <c r="N42" s="27"/>
      <c r="O42" s="10"/>
      <c r="P42" s="33"/>
      <c r="Q42" s="33"/>
      <c r="R42" s="33"/>
      <c r="S42" s="33"/>
    </row>
    <row r="43" spans="1:19" x14ac:dyDescent="0.25">
      <c r="B43" s="33">
        <f>(-B38*B39-B38*B40-B39*B40-SQRT(4*B38*B39*(1-B38-B39-B40)*B40+(-B38*B39-B38*B40-B39*B40)^2))/(2*B38*B39*B40)</f>
        <v>-7.7738136631539971</v>
      </c>
      <c r="G43" s="33">
        <f>MAX(H36,H45,H52)</f>
        <v>0.94059290236984439</v>
      </c>
      <c r="H43" s="8"/>
      <c r="N43" s="27"/>
      <c r="O43" s="10"/>
      <c r="P43" s="33"/>
      <c r="Q43" s="33"/>
      <c r="R43" s="33"/>
      <c r="S43" s="33"/>
    </row>
    <row r="44" spans="1:19" x14ac:dyDescent="0.25">
      <c r="G44" s="4" t="s">
        <v>24</v>
      </c>
      <c r="H44" s="9" t="s">
        <v>35</v>
      </c>
      <c r="I44" s="6"/>
      <c r="J44" s="6"/>
      <c r="K44" s="11" t="s">
        <v>42</v>
      </c>
      <c r="L44">
        <v>1</v>
      </c>
      <c r="M44">
        <f>$C$26</f>
        <v>-400</v>
      </c>
      <c r="N44" s="27">
        <f>$D$26</f>
        <v>0.9</v>
      </c>
      <c r="O44" s="10">
        <f>$E$26</f>
        <v>5</v>
      </c>
      <c r="P44" s="33">
        <f t="shared" ref="P44" si="15">$C$32+$D$32*EXP(-M44/$B$32)</f>
        <v>0.45505423392341116</v>
      </c>
      <c r="Q44" s="33">
        <f t="shared" ref="Q44" si="16">$C$33+$D$33*EXP(-N44/$B$33)</f>
        <v>0.93204056613808095</v>
      </c>
      <c r="R44" s="33">
        <f t="shared" ref="R44" si="17">$C$34+$D$34*EXP(-O44/$B$34)</f>
        <v>0.86056612703835</v>
      </c>
      <c r="S44" s="33">
        <f t="shared" ref="S44" si="18">(($B$42*$B$38*P44+1)*($B$42*$B$39*Q44+1)*($B$42*$B$40*R44+1)-1)/$B$42</f>
        <v>0.93659997977720622</v>
      </c>
    </row>
    <row r="45" spans="1:19" x14ac:dyDescent="0.25">
      <c r="G45" s="40">
        <f>M93</f>
        <v>0.71</v>
      </c>
      <c r="H45" s="37">
        <f>S44</f>
        <v>0.93659997977720622</v>
      </c>
      <c r="N45" s="27"/>
      <c r="O45" s="10"/>
      <c r="P45" s="33"/>
      <c r="Q45" s="33"/>
      <c r="R45" s="33"/>
      <c r="S45" s="33"/>
    </row>
    <row r="46" spans="1:19" x14ac:dyDescent="0.25">
      <c r="G46" s="8"/>
      <c r="H46" s="8"/>
      <c r="N46" s="27"/>
      <c r="O46" s="10"/>
      <c r="P46" s="33"/>
      <c r="Q46" s="33"/>
      <c r="R46" s="33"/>
      <c r="S46" s="33"/>
    </row>
    <row r="47" spans="1:19" x14ac:dyDescent="0.25">
      <c r="G47" s="8"/>
      <c r="H47" s="8"/>
      <c r="I47" s="33">
        <f>S48</f>
        <v>0.99999999999999989</v>
      </c>
      <c r="N47" s="27"/>
      <c r="O47" s="10"/>
      <c r="P47" s="33"/>
      <c r="Q47" s="33"/>
      <c r="R47" s="33"/>
      <c r="S47" s="33"/>
    </row>
    <row r="48" spans="1:19" x14ac:dyDescent="0.25">
      <c r="G48" s="8"/>
      <c r="H48" s="8"/>
      <c r="I48" s="6" t="s">
        <v>0</v>
      </c>
      <c r="J48" s="6"/>
      <c r="K48" s="11" t="s">
        <v>43</v>
      </c>
      <c r="L48">
        <f>I49</f>
        <v>0.6</v>
      </c>
      <c r="M48">
        <f>$C$27</f>
        <v>-100</v>
      </c>
      <c r="N48" s="27">
        <f>$D$27</f>
        <v>1</v>
      </c>
      <c r="O48" s="10">
        <f>$E$27</f>
        <v>10</v>
      </c>
      <c r="P48" s="33">
        <f t="shared" ref="P48" si="19">$C$32+$D$32*EXP(-M48/$B$32)</f>
        <v>1</v>
      </c>
      <c r="Q48" s="33">
        <f t="shared" ref="Q48" si="20">$C$33+$D$33*EXP(-N48/$B$33)</f>
        <v>0.99999999999999989</v>
      </c>
      <c r="R48" s="33">
        <f t="shared" ref="R48" si="21">$C$34+$D$34*EXP(-O48/$B$34)</f>
        <v>1</v>
      </c>
      <c r="S48" s="33">
        <f t="shared" ref="S48" si="22">(($B$42*$B$38*P48+1)*($B$42*$B$39*Q48+1)*($B$42*$B$40*R48+1)-1)/$B$42</f>
        <v>0.99999999999999989</v>
      </c>
    </row>
    <row r="49" spans="6:19" x14ac:dyDescent="0.25">
      <c r="G49" s="8"/>
      <c r="H49" s="8"/>
      <c r="I49" s="16">
        <f>$B$6</f>
        <v>0.6</v>
      </c>
      <c r="N49" s="27"/>
      <c r="O49" s="10"/>
      <c r="P49" s="33"/>
      <c r="Q49" s="33"/>
      <c r="R49" s="33"/>
      <c r="S49" s="33"/>
    </row>
    <row r="50" spans="6:19" x14ac:dyDescent="0.25">
      <c r="G50" s="8"/>
      <c r="H50" s="8"/>
      <c r="I50" s="8"/>
      <c r="N50" s="27"/>
      <c r="O50" s="10"/>
      <c r="P50" s="33"/>
      <c r="Q50" s="33"/>
      <c r="R50" s="33"/>
      <c r="S50" s="33"/>
    </row>
    <row r="51" spans="6:19" x14ac:dyDescent="0.25">
      <c r="G51" s="8"/>
      <c r="H51" s="12" t="s">
        <v>9</v>
      </c>
      <c r="I51" s="8"/>
      <c r="J51" s="33">
        <f>S52</f>
        <v>0.8395199644087159</v>
      </c>
      <c r="N51" s="27"/>
      <c r="O51" s="10"/>
      <c r="P51" s="33"/>
      <c r="Q51" s="33"/>
      <c r="R51" s="33"/>
      <c r="S51" s="33"/>
    </row>
    <row r="52" spans="6:19" x14ac:dyDescent="0.25">
      <c r="G52" s="8"/>
      <c r="H52" s="36">
        <f>I47*I49+I56*I54</f>
        <v>0.90216532087638379</v>
      </c>
      <c r="I52" s="8"/>
      <c r="J52" s="1" t="s">
        <v>5</v>
      </c>
      <c r="K52" s="11" t="s">
        <v>44</v>
      </c>
      <c r="L52">
        <f>I54*J53</f>
        <v>0.35000000000000003</v>
      </c>
      <c r="M52">
        <f>$C$28</f>
        <v>-500</v>
      </c>
      <c r="N52" s="27">
        <f>$D$28</f>
        <v>0.8</v>
      </c>
      <c r="O52" s="10">
        <f>$E$28</f>
        <v>3</v>
      </c>
      <c r="P52" s="33">
        <f t="shared" ref="P52" si="23">$C$32+$D$32*EXP(-M52/$B$32)</f>
        <v>0</v>
      </c>
      <c r="Q52" s="33">
        <f t="shared" ref="Q52" si="24">$C$33+$D$33*EXP(-N52/$B$33)</f>
        <v>0.85842099030895247</v>
      </c>
      <c r="R52" s="33">
        <f t="shared" ref="R52" si="25">$C$34+$D$34*EXP(-O52/$B$34)</f>
        <v>0.68236905442403839</v>
      </c>
      <c r="S52" s="33">
        <f t="shared" ref="S52" si="26">(($B$42*$B$38*P52+1)*($B$42*$B$39*Q52+1)*($B$42*$B$40*R52+1)-1)/$B$42</f>
        <v>0.8395199644087159</v>
      </c>
    </row>
    <row r="53" spans="6:19" x14ac:dyDescent="0.25">
      <c r="G53" s="8"/>
      <c r="I53" s="8"/>
      <c r="J53" s="21">
        <f>1-J56</f>
        <v>0.875</v>
      </c>
      <c r="N53" s="27"/>
      <c r="O53" s="10"/>
      <c r="P53" s="33"/>
      <c r="Q53" s="33"/>
      <c r="R53" s="33"/>
      <c r="S53" s="33"/>
    </row>
    <row r="54" spans="6:19" x14ac:dyDescent="0.25">
      <c r="G54" s="8"/>
      <c r="H54" s="5"/>
      <c r="I54" s="20">
        <f>1-I49</f>
        <v>0.4</v>
      </c>
      <c r="J54" s="19"/>
      <c r="N54" s="27"/>
      <c r="O54" s="10"/>
      <c r="P54" s="33"/>
      <c r="Q54" s="33"/>
      <c r="R54" s="33"/>
      <c r="S54" s="33"/>
    </row>
    <row r="55" spans="6:19" x14ac:dyDescent="0.25">
      <c r="G55" s="8"/>
      <c r="H55" s="5"/>
      <c r="I55" s="5" t="s">
        <v>8</v>
      </c>
      <c r="J55" s="19"/>
      <c r="N55" s="27"/>
      <c r="O55" s="10"/>
      <c r="P55" s="33"/>
      <c r="Q55" s="33"/>
      <c r="R55" s="33"/>
      <c r="S55" s="33"/>
    </row>
    <row r="56" spans="6:19" x14ac:dyDescent="0.25">
      <c r="G56" s="8"/>
      <c r="H56" s="5"/>
      <c r="I56" s="36">
        <f>J51*J53+J58*J56</f>
        <v>0.75541330219095981</v>
      </c>
      <c r="J56" s="18">
        <f>$B$7</f>
        <v>0.125</v>
      </c>
      <c r="K56" s="11" t="s">
        <v>4</v>
      </c>
      <c r="L56">
        <f>I54*J56</f>
        <v>0.05</v>
      </c>
      <c r="M56">
        <f>$C$29</f>
        <v>-100</v>
      </c>
      <c r="N56" s="27">
        <f>$D$29</f>
        <v>0</v>
      </c>
      <c r="O56" s="10">
        <f>$E$29</f>
        <v>0</v>
      </c>
      <c r="P56" s="33">
        <f t="shared" ref="P56" si="27">$C$32+$D$32*EXP(-M56/$B$32)</f>
        <v>1</v>
      </c>
      <c r="Q56" s="33">
        <f t="shared" ref="Q56" si="28">$C$33+$D$33*EXP(-N56/$B$33)</f>
        <v>0</v>
      </c>
      <c r="R56" s="33">
        <f t="shared" ref="R56" si="29">$C$34+$D$34*EXP(-O56/$B$34)</f>
        <v>0</v>
      </c>
      <c r="S56" s="33">
        <f t="shared" ref="S56" si="30">(($B$42*$B$38*P56+1)*($B$42*$B$39*Q56+1)*($B$42*$B$40*R56+1)-1)/$B$42</f>
        <v>0.16666666666666663</v>
      </c>
    </row>
    <row r="57" spans="6:19" x14ac:dyDescent="0.25">
      <c r="G57" s="8"/>
      <c r="H57" s="5"/>
      <c r="I57" s="5"/>
      <c r="J57" t="s">
        <v>4</v>
      </c>
      <c r="O57" s="10"/>
      <c r="S57" s="10"/>
    </row>
    <row r="58" spans="6:19" x14ac:dyDescent="0.25">
      <c r="F58" s="4" t="s">
        <v>10</v>
      </c>
      <c r="G58" s="8"/>
      <c r="H58" s="5"/>
      <c r="I58" s="5"/>
      <c r="J58" s="33">
        <f>S56</f>
        <v>0.16666666666666663</v>
      </c>
      <c r="O58" s="10"/>
    </row>
    <row r="59" spans="6:19" x14ac:dyDescent="0.25">
      <c r="F59" s="34">
        <f>G43*G45+G72*G74</f>
        <v>0.93943495481797923</v>
      </c>
      <c r="G59" s="8"/>
      <c r="J59" s="33">
        <f>S60</f>
        <v>0.9592792500910956</v>
      </c>
    </row>
    <row r="60" spans="6:19" x14ac:dyDescent="0.25">
      <c r="G60" s="8"/>
      <c r="J60" s="1" t="s">
        <v>0</v>
      </c>
      <c r="K60" s="11" t="s">
        <v>41</v>
      </c>
      <c r="L60">
        <f>I63*J61</f>
        <v>0.11827586206896561</v>
      </c>
      <c r="M60">
        <f>$C$23</f>
        <v>-500</v>
      </c>
      <c r="N60" s="27">
        <f>$D$23</f>
        <v>0.8</v>
      </c>
      <c r="O60" s="10">
        <f>$E$23</f>
        <v>9</v>
      </c>
      <c r="P60" s="33">
        <f>$C$32+$D$32*EXP(-M60/$B$32)</f>
        <v>0</v>
      </c>
      <c r="Q60" s="33">
        <f>$C$33+$D$33*EXP(-N60/$B$33)</f>
        <v>0.85842099030895247</v>
      </c>
      <c r="R60" s="33">
        <f>$C$34+$D$34*EXP(-O60/$B$34)</f>
        <v>0.98816251086705054</v>
      </c>
      <c r="S60" s="33">
        <f>(($B$42*$B$38*P60+1)*($B$42*$B$39*Q60+1)*($B$42*$B$40*R60+1)-1)/$B$42</f>
        <v>0.9592792500910956</v>
      </c>
    </row>
    <row r="61" spans="6:19" x14ac:dyDescent="0.25">
      <c r="G61" s="8"/>
      <c r="I61" s="33">
        <f>J59*J61+J66*J64</f>
        <v>0.92125559658639244</v>
      </c>
      <c r="J61" s="42">
        <f>N99</f>
        <v>0.12068965517241388</v>
      </c>
      <c r="N61" s="27"/>
      <c r="O61" s="10"/>
      <c r="P61" s="33"/>
      <c r="Q61" s="33"/>
      <c r="R61" s="33"/>
      <c r="S61" s="33"/>
    </row>
    <row r="62" spans="6:19" x14ac:dyDescent="0.25">
      <c r="G62" s="8"/>
      <c r="I62" s="4" t="s">
        <v>3</v>
      </c>
      <c r="J62" s="2"/>
      <c r="N62" s="27"/>
      <c r="O62" s="10"/>
      <c r="P62" s="33"/>
      <c r="Q62" s="33"/>
      <c r="R62" s="33"/>
      <c r="S62" s="33"/>
    </row>
    <row r="63" spans="6:19" x14ac:dyDescent="0.25">
      <c r="G63" s="8"/>
      <c r="I63" s="16">
        <f>1-I68</f>
        <v>0.98</v>
      </c>
      <c r="J63" s="2"/>
      <c r="N63" s="27"/>
      <c r="O63" s="10"/>
      <c r="P63" s="33"/>
      <c r="Q63" s="33"/>
      <c r="R63" s="33"/>
      <c r="S63" s="33"/>
    </row>
    <row r="64" spans="6:19" x14ac:dyDescent="0.25">
      <c r="G64" s="8"/>
      <c r="H64" s="33">
        <f>I63*I61+I70*I68</f>
        <v>0.90601563469232804</v>
      </c>
      <c r="I64" s="8"/>
      <c r="J64" s="22">
        <f>N102</f>
        <v>0.87931034482758608</v>
      </c>
      <c r="K64" s="11" t="s">
        <v>42</v>
      </c>
      <c r="L64">
        <f>I63*J64</f>
        <v>0.86172413793103431</v>
      </c>
      <c r="M64">
        <f>$C$24</f>
        <v>-450</v>
      </c>
      <c r="N64" s="27">
        <f>$D$24</f>
        <v>0.8</v>
      </c>
      <c r="O64" s="10">
        <f>$E$24</f>
        <v>5</v>
      </c>
      <c r="P64" s="33">
        <f t="shared" ref="P64" si="31">$C$32+$D$32*EXP(-M64/$B$32)</f>
        <v>0.25582079694033066</v>
      </c>
      <c r="Q64" s="33">
        <f t="shared" ref="Q64" si="32">$C$33+$D$33*EXP(-N64/$B$33)</f>
        <v>0.85842099030895247</v>
      </c>
      <c r="R64" s="33">
        <f t="shared" ref="R64" si="33">$C$34+$D$34*EXP(-O64/$B$34)</f>
        <v>0.86056612703835</v>
      </c>
      <c r="S64" s="33">
        <f t="shared" ref="S64" si="34">(($B$42*$B$38*P64+1)*($B$42*$B$39*Q64+1)*($B$42*$B$40*R64+1)-1)/$B$42</f>
        <v>0.91603666375241355</v>
      </c>
    </row>
    <row r="65" spans="7:19" x14ac:dyDescent="0.25">
      <c r="G65" s="8"/>
      <c r="H65" s="4" t="s">
        <v>7</v>
      </c>
      <c r="I65" s="8"/>
      <c r="J65" s="3" t="s">
        <v>1</v>
      </c>
      <c r="N65" s="27"/>
      <c r="O65" s="10"/>
      <c r="P65" s="33"/>
      <c r="Q65" s="33"/>
      <c r="R65" s="33"/>
      <c r="S65" s="33"/>
    </row>
    <row r="66" spans="7:19" x14ac:dyDescent="0.25">
      <c r="G66" s="8"/>
      <c r="H66" s="8"/>
      <c r="I66" s="8"/>
      <c r="J66" s="36">
        <f>S64</f>
        <v>0.91603666375241355</v>
      </c>
      <c r="N66" s="27"/>
      <c r="O66" s="10"/>
      <c r="P66" s="33"/>
      <c r="Q66" s="33"/>
      <c r="R66" s="33"/>
      <c r="S66" s="33"/>
    </row>
    <row r="67" spans="7:19" x14ac:dyDescent="0.25">
      <c r="G67" s="8"/>
      <c r="H67" s="8"/>
      <c r="I67" s="8"/>
      <c r="J67" s="5"/>
      <c r="N67" s="27"/>
      <c r="O67" s="10"/>
      <c r="P67" s="33"/>
      <c r="Q67" s="33"/>
      <c r="R67" s="33"/>
      <c r="S67" s="33"/>
    </row>
    <row r="68" spans="7:19" x14ac:dyDescent="0.25">
      <c r="G68" s="8"/>
      <c r="H68" s="8"/>
      <c r="I68" s="17">
        <f>$B$4</f>
        <v>0.02</v>
      </c>
      <c r="J68" s="6"/>
      <c r="K68" s="11" t="s">
        <v>4</v>
      </c>
      <c r="L68">
        <f>I68</f>
        <v>0.02</v>
      </c>
      <c r="M68">
        <f>$C$25</f>
        <v>-150</v>
      </c>
      <c r="N68" s="27">
        <f>$D$25</f>
        <v>0</v>
      </c>
      <c r="O68" s="10">
        <f>$E$25</f>
        <v>0</v>
      </c>
      <c r="P68" s="33">
        <f t="shared" ref="P68" si="35">$C$32+$D$32*EXP(-M68/$B$32)</f>
        <v>0.95554501129904312</v>
      </c>
      <c r="Q68" s="33">
        <f t="shared" ref="Q68" si="36">$C$33+$D$33*EXP(-N68/$B$33)</f>
        <v>0</v>
      </c>
      <c r="R68" s="33">
        <f t="shared" ref="R68" si="37">$C$34+$D$34*EXP(-O68/$B$34)</f>
        <v>0</v>
      </c>
      <c r="S68" s="33">
        <f t="shared" ref="S68" si="38">(($B$42*$B$38*P68+1)*($B$42*$B$39*Q68+1)*($B$42*$B$40*R68+1)-1)/$B$42</f>
        <v>0.15925750188317386</v>
      </c>
    </row>
    <row r="69" spans="7:19" x14ac:dyDescent="0.25">
      <c r="G69" s="8"/>
      <c r="H69" s="8"/>
      <c r="I69" t="s">
        <v>2</v>
      </c>
      <c r="N69" s="27"/>
      <c r="O69" s="10"/>
      <c r="P69" s="33"/>
      <c r="Q69" s="33"/>
      <c r="R69" s="33"/>
      <c r="S69" s="33"/>
    </row>
    <row r="70" spans="7:19" x14ac:dyDescent="0.25">
      <c r="G70" s="8"/>
      <c r="H70" s="8"/>
      <c r="I70" s="33">
        <f>S68</f>
        <v>0.15925750188317386</v>
      </c>
      <c r="N70" s="27"/>
      <c r="O70" s="10"/>
      <c r="P70" s="33"/>
      <c r="Q70" s="33"/>
      <c r="R70" s="33"/>
      <c r="S70" s="33"/>
    </row>
    <row r="71" spans="7:19" x14ac:dyDescent="0.25">
      <c r="G71" s="8"/>
      <c r="H71" s="8"/>
      <c r="N71" s="27"/>
      <c r="O71" s="10"/>
      <c r="P71" s="33"/>
      <c r="Q71" s="33"/>
      <c r="R71" s="33"/>
      <c r="S71" s="33"/>
    </row>
    <row r="72" spans="7:19" x14ac:dyDescent="0.25">
      <c r="G72" s="41">
        <f>M100</f>
        <v>0.29000000000000004</v>
      </c>
      <c r="H72" s="9" t="s">
        <v>35</v>
      </c>
      <c r="I72" s="6"/>
      <c r="J72" s="6"/>
      <c r="K72" s="11" t="s">
        <v>42</v>
      </c>
      <c r="L72">
        <v>1</v>
      </c>
      <c r="M72">
        <f>$C$26</f>
        <v>-400</v>
      </c>
      <c r="N72" s="27">
        <f>$D$26</f>
        <v>0.9</v>
      </c>
      <c r="O72" s="10">
        <f>$E$26</f>
        <v>5</v>
      </c>
      <c r="P72" s="33">
        <f t="shared" ref="P72" si="39">$C$32+$D$32*EXP(-M72/$B$32)</f>
        <v>0.45505423392341116</v>
      </c>
      <c r="Q72" s="33">
        <f t="shared" ref="Q72" si="40">$C$33+$D$33*EXP(-N72/$B$33)</f>
        <v>0.93204056613808095</v>
      </c>
      <c r="R72" s="33">
        <f t="shared" ref="R72" si="41">$C$34+$D$34*EXP(-O72/$B$34)</f>
        <v>0.86056612703835</v>
      </c>
      <c r="S72" s="33">
        <f t="shared" ref="S72" si="42">(($B$42*$B$38*P72+1)*($B$42*$B$39*Q72+1)*($B$42*$B$40*R72+1)-1)/$B$42</f>
        <v>0.93659997977720622</v>
      </c>
    </row>
    <row r="73" spans="7:19" x14ac:dyDescent="0.25">
      <c r="G73" t="s">
        <v>25</v>
      </c>
      <c r="H73" s="37">
        <f>S72</f>
        <v>0.93659997977720622</v>
      </c>
      <c r="N73" s="27"/>
      <c r="O73" s="10"/>
      <c r="P73" s="33"/>
      <c r="Q73" s="33"/>
      <c r="R73" s="33"/>
      <c r="S73" s="33"/>
    </row>
    <row r="74" spans="7:19" x14ac:dyDescent="0.25">
      <c r="G74" s="33">
        <f>MAX(H64,H73,H80)</f>
        <v>0.93659997977720622</v>
      </c>
      <c r="H74" s="8"/>
      <c r="N74" s="27"/>
      <c r="O74" s="10"/>
      <c r="P74" s="33"/>
      <c r="Q74" s="33"/>
      <c r="R74" s="33"/>
      <c r="S74" s="33"/>
    </row>
    <row r="75" spans="7:19" x14ac:dyDescent="0.25">
      <c r="H75" s="8"/>
      <c r="I75" s="33">
        <f>S76</f>
        <v>0.99999999999999989</v>
      </c>
      <c r="N75" s="27"/>
      <c r="O75" s="10"/>
      <c r="P75" s="33"/>
      <c r="Q75" s="33"/>
      <c r="R75" s="33"/>
      <c r="S75" s="33"/>
    </row>
    <row r="76" spans="7:19" x14ac:dyDescent="0.25">
      <c r="H76" s="8"/>
      <c r="I76" s="6" t="s">
        <v>0</v>
      </c>
      <c r="J76" s="6"/>
      <c r="K76" s="11" t="s">
        <v>43</v>
      </c>
      <c r="L76">
        <f>I77</f>
        <v>0.6</v>
      </c>
      <c r="M76">
        <f>$C$27</f>
        <v>-100</v>
      </c>
      <c r="N76" s="27">
        <f>$D$27</f>
        <v>1</v>
      </c>
      <c r="O76" s="10">
        <f>$E$27</f>
        <v>10</v>
      </c>
      <c r="P76" s="33">
        <f t="shared" ref="P76" si="43">$C$32+$D$32*EXP(-M76/$B$32)</f>
        <v>1</v>
      </c>
      <c r="Q76" s="33">
        <f t="shared" ref="Q76" si="44">$C$33+$D$33*EXP(-N76/$B$33)</f>
        <v>0.99999999999999989</v>
      </c>
      <c r="R76" s="33">
        <f t="shared" ref="R76" si="45">$C$34+$D$34*EXP(-O76/$B$34)</f>
        <v>1</v>
      </c>
      <c r="S76" s="33">
        <f t="shared" ref="S76" si="46">(($B$42*$B$38*P76+1)*($B$42*$B$39*Q76+1)*($B$42*$B$40*R76+1)-1)/$B$42</f>
        <v>0.99999999999999989</v>
      </c>
    </row>
    <row r="77" spans="7:19" x14ac:dyDescent="0.25">
      <c r="H77" s="8"/>
      <c r="I77" s="16">
        <f>$B$6</f>
        <v>0.6</v>
      </c>
      <c r="N77" s="27"/>
      <c r="O77" s="10"/>
      <c r="P77" s="33"/>
      <c r="Q77" s="33"/>
      <c r="R77" s="33"/>
      <c r="S77" s="33"/>
    </row>
    <row r="78" spans="7:19" x14ac:dyDescent="0.25">
      <c r="H78" s="8"/>
      <c r="I78" s="8"/>
      <c r="N78" s="27"/>
      <c r="O78" s="10"/>
      <c r="P78" s="33"/>
      <c r="Q78" s="33"/>
      <c r="R78" s="33"/>
      <c r="S78" s="33"/>
    </row>
    <row r="79" spans="7:19" x14ac:dyDescent="0.25">
      <c r="H79" s="12" t="s">
        <v>9</v>
      </c>
      <c r="I79" s="8"/>
      <c r="J79" s="33">
        <f>S80</f>
        <v>0.8395199644087159</v>
      </c>
      <c r="N79" s="27"/>
      <c r="O79" s="10"/>
      <c r="P79" s="33"/>
      <c r="Q79" s="33"/>
      <c r="R79" s="33"/>
      <c r="S79" s="33"/>
    </row>
    <row r="80" spans="7:19" x14ac:dyDescent="0.25">
      <c r="H80" s="36">
        <f>I75*I77+I84*I82</f>
        <v>0.90216532087638379</v>
      </c>
      <c r="I80" s="8"/>
      <c r="J80" s="1" t="s">
        <v>5</v>
      </c>
      <c r="K80" s="11" t="s">
        <v>44</v>
      </c>
      <c r="L80">
        <f>I82*J81</f>
        <v>0.35000000000000003</v>
      </c>
      <c r="M80">
        <f>$C$28</f>
        <v>-500</v>
      </c>
      <c r="N80" s="27">
        <f>$D$28</f>
        <v>0.8</v>
      </c>
      <c r="O80" s="10">
        <f>$E$28</f>
        <v>3</v>
      </c>
      <c r="P80" s="33">
        <f t="shared" ref="P80" si="47">$C$32+$D$32*EXP(-M80/$B$32)</f>
        <v>0</v>
      </c>
      <c r="Q80" s="33">
        <f t="shared" ref="Q80" si="48">$C$33+$D$33*EXP(-N80/$B$33)</f>
        <v>0.85842099030895247</v>
      </c>
      <c r="R80" s="33">
        <f t="shared" ref="R80" si="49">$C$34+$D$34*EXP(-O80/$B$34)</f>
        <v>0.68236905442403839</v>
      </c>
      <c r="S80" s="33">
        <f t="shared" ref="S80" si="50">(($B$42*$B$38*P80+1)*($B$42*$B$39*Q80+1)*($B$42*$B$40*R80+1)-1)/$B$42</f>
        <v>0.8395199644087159</v>
      </c>
    </row>
    <row r="81" spans="1:23" x14ac:dyDescent="0.25">
      <c r="I81" s="8"/>
      <c r="J81" s="21">
        <f>1-J84</f>
        <v>0.875</v>
      </c>
      <c r="N81" s="27"/>
      <c r="O81" s="10"/>
      <c r="P81" s="33"/>
      <c r="Q81" s="33"/>
      <c r="R81" s="33"/>
      <c r="S81" s="33"/>
    </row>
    <row r="82" spans="1:23" x14ac:dyDescent="0.25">
      <c r="H82" s="5"/>
      <c r="I82" s="20">
        <f>1-I77</f>
        <v>0.4</v>
      </c>
      <c r="J82" s="19"/>
      <c r="N82" s="27"/>
      <c r="O82" s="10"/>
      <c r="P82" s="33"/>
      <c r="Q82" s="33"/>
      <c r="R82" s="33"/>
      <c r="S82" s="33"/>
    </row>
    <row r="83" spans="1:23" x14ac:dyDescent="0.25">
      <c r="H83" s="5"/>
      <c r="I83" s="5" t="s">
        <v>8</v>
      </c>
      <c r="J83" s="19"/>
      <c r="N83" s="27"/>
      <c r="O83" s="10"/>
      <c r="P83" s="33"/>
      <c r="Q83" s="33"/>
      <c r="R83" s="33"/>
      <c r="S83" s="33"/>
    </row>
    <row r="84" spans="1:23" x14ac:dyDescent="0.25">
      <c r="H84" s="5"/>
      <c r="I84" s="36">
        <f>J79*J81+J86*J84</f>
        <v>0.75541330219095981</v>
      </c>
      <c r="J84" s="18">
        <f>$B$7</f>
        <v>0.125</v>
      </c>
      <c r="K84" s="11" t="s">
        <v>4</v>
      </c>
      <c r="L84">
        <f>I82*J84</f>
        <v>0.05</v>
      </c>
      <c r="M84">
        <f>$C$29</f>
        <v>-100</v>
      </c>
      <c r="N84" s="27">
        <f>$D$29</f>
        <v>0</v>
      </c>
      <c r="O84" s="10">
        <f>$E$29</f>
        <v>0</v>
      </c>
      <c r="P84" s="33">
        <f t="shared" ref="P84" si="51">$C$32+$D$32*EXP(-M84/$B$32)</f>
        <v>1</v>
      </c>
      <c r="Q84" s="33">
        <f t="shared" ref="Q84" si="52">$C$33+$D$33*EXP(-N84/$B$33)</f>
        <v>0</v>
      </c>
      <c r="R84" s="33">
        <f t="shared" ref="R84" si="53">$C$34+$D$34*EXP(-O84/$B$34)</f>
        <v>0</v>
      </c>
      <c r="S84" s="33">
        <f t="shared" ref="S84" si="54">(($B$42*$B$38*P84+1)*($B$42*$B$39*Q84+1)*($B$42*$B$40*R84+1)-1)/$B$42</f>
        <v>0.16666666666666663</v>
      </c>
    </row>
    <row r="85" spans="1:23" x14ac:dyDescent="0.25">
      <c r="H85" s="5"/>
      <c r="I85" s="5"/>
      <c r="J85" t="s">
        <v>4</v>
      </c>
      <c r="O85" s="10"/>
      <c r="S85" s="10"/>
    </row>
    <row r="86" spans="1:23" x14ac:dyDescent="0.25">
      <c r="H86" s="5"/>
      <c r="I86" s="5"/>
      <c r="J86" s="33">
        <f>S84</f>
        <v>0.16666666666666663</v>
      </c>
      <c r="O86" s="10"/>
    </row>
    <row r="87" spans="1:23" ht="15.75" thickBot="1" x14ac:dyDescent="0.3">
      <c r="H87" s="5"/>
      <c r="I87" s="5"/>
    </row>
    <row r="88" spans="1:23" ht="15.75" x14ac:dyDescent="0.25">
      <c r="A88" s="48" t="s">
        <v>83</v>
      </c>
      <c r="B88" s="48"/>
      <c r="C88" s="49"/>
      <c r="D88" s="49"/>
      <c r="E88" s="50"/>
      <c r="F88" s="50"/>
      <c r="G88" s="50"/>
      <c r="H88" s="50"/>
      <c r="I88" s="50"/>
      <c r="J88" s="50"/>
      <c r="K88" s="50"/>
      <c r="L88" s="50"/>
      <c r="M88" s="3"/>
      <c r="N88" s="3"/>
      <c r="O88" s="14"/>
      <c r="P88" s="3"/>
      <c r="Q88" s="3"/>
      <c r="R88" s="3"/>
      <c r="S88" s="3"/>
      <c r="T88" s="3"/>
      <c r="U88" s="3"/>
      <c r="V88" s="3"/>
      <c r="W88" s="3"/>
    </row>
    <row r="90" spans="1:23" x14ac:dyDescent="0.25">
      <c r="J90" s="1" t="s">
        <v>26</v>
      </c>
      <c r="K90" s="11">
        <f>I93*J91</f>
        <v>0.66499999999999992</v>
      </c>
      <c r="N90" s="1" t="s">
        <v>0</v>
      </c>
      <c r="O90" s="11">
        <f>K90</f>
        <v>0.66499999999999992</v>
      </c>
    </row>
    <row r="91" spans="1:23" x14ac:dyDescent="0.25">
      <c r="J91" s="21">
        <f>$B$9</f>
        <v>0.95</v>
      </c>
      <c r="N91" s="23">
        <f>O90/M93</f>
        <v>0.93661971830985913</v>
      </c>
      <c r="O91" s="11"/>
    </row>
    <row r="92" spans="1:23" x14ac:dyDescent="0.25">
      <c r="I92" s="4" t="s">
        <v>0</v>
      </c>
      <c r="J92" s="2"/>
      <c r="M92" s="4" t="s">
        <v>26</v>
      </c>
      <c r="N92" s="2"/>
      <c r="O92" s="11"/>
    </row>
    <row r="93" spans="1:23" x14ac:dyDescent="0.25">
      <c r="I93" s="16">
        <f>1-I100</f>
        <v>0.7</v>
      </c>
      <c r="J93" s="2"/>
      <c r="M93" s="16">
        <f>O90+O94</f>
        <v>0.71</v>
      </c>
      <c r="N93" s="2"/>
      <c r="O93" s="11"/>
    </row>
    <row r="94" spans="1:23" x14ac:dyDescent="0.25">
      <c r="H94" s="15"/>
      <c r="I94" s="5"/>
      <c r="J94" s="18">
        <f>1-J91</f>
        <v>5.0000000000000044E-2</v>
      </c>
      <c r="K94" s="11">
        <f>I93*J94</f>
        <v>3.5000000000000031E-2</v>
      </c>
      <c r="L94" s="15"/>
      <c r="M94" s="5"/>
      <c r="N94" s="22">
        <f>O94/M93</f>
        <v>6.3380281690140858E-2</v>
      </c>
      <c r="O94" s="11">
        <f>K98</f>
        <v>4.5000000000000005E-2</v>
      </c>
    </row>
    <row r="95" spans="1:23" x14ac:dyDescent="0.25">
      <c r="H95" s="15"/>
      <c r="I95" s="5"/>
      <c r="J95" t="s">
        <v>27</v>
      </c>
      <c r="L95" s="15"/>
      <c r="M95" s="5"/>
      <c r="N95" t="s">
        <v>1</v>
      </c>
      <c r="O95" s="11"/>
    </row>
    <row r="96" spans="1:23" x14ac:dyDescent="0.25">
      <c r="H96" s="4"/>
      <c r="I96" s="8"/>
      <c r="L96" s="4"/>
      <c r="M96" s="8"/>
      <c r="O96" s="11"/>
    </row>
    <row r="97" spans="1:23" x14ac:dyDescent="0.25">
      <c r="I97" s="8"/>
      <c r="M97" s="8"/>
      <c r="O97" s="11"/>
    </row>
    <row r="98" spans="1:23" x14ac:dyDescent="0.25">
      <c r="I98" s="8"/>
      <c r="J98" s="1" t="s">
        <v>26</v>
      </c>
      <c r="K98" s="11">
        <f>I100*J99</f>
        <v>4.5000000000000005E-2</v>
      </c>
      <c r="M98" s="8"/>
      <c r="N98" s="1" t="s">
        <v>0</v>
      </c>
      <c r="O98" s="11">
        <f>K94</f>
        <v>3.5000000000000031E-2</v>
      </c>
    </row>
    <row r="99" spans="1:23" x14ac:dyDescent="0.25">
      <c r="I99" s="8"/>
      <c r="J99" s="21">
        <f>1-J102</f>
        <v>0.15000000000000002</v>
      </c>
      <c r="M99" s="8"/>
      <c r="N99" s="23">
        <f>O98/M100</f>
        <v>0.12068965517241388</v>
      </c>
      <c r="O99" s="11"/>
    </row>
    <row r="100" spans="1:23" x14ac:dyDescent="0.25">
      <c r="I100" s="20">
        <f>$B$5</f>
        <v>0.3</v>
      </c>
      <c r="J100" s="19"/>
      <c r="M100" s="20">
        <f>O98+O102</f>
        <v>0.29000000000000004</v>
      </c>
      <c r="N100" s="19"/>
      <c r="O100" s="11"/>
    </row>
    <row r="101" spans="1:23" x14ac:dyDescent="0.25">
      <c r="I101" t="s">
        <v>1</v>
      </c>
      <c r="J101" s="19"/>
      <c r="M101" t="s">
        <v>27</v>
      </c>
      <c r="N101" s="19"/>
      <c r="O101" s="11"/>
    </row>
    <row r="102" spans="1:23" x14ac:dyDescent="0.25">
      <c r="J102" s="18">
        <f>$B$8</f>
        <v>0.85</v>
      </c>
      <c r="K102" s="11">
        <f>I100*J102</f>
        <v>0.255</v>
      </c>
      <c r="N102" s="22">
        <f>O102/M100</f>
        <v>0.87931034482758608</v>
      </c>
      <c r="O102" s="11">
        <f>K102</f>
        <v>0.255</v>
      </c>
    </row>
    <row r="103" spans="1:23" x14ac:dyDescent="0.25">
      <c r="J103" t="s">
        <v>27</v>
      </c>
      <c r="N103" t="s">
        <v>1</v>
      </c>
    </row>
    <row r="104" spans="1:23" ht="15.75" thickBot="1" x14ac:dyDescent="0.3"/>
    <row r="105" spans="1:23" ht="15.75" x14ac:dyDescent="0.25">
      <c r="A105" s="48" t="s">
        <v>81</v>
      </c>
      <c r="B105" s="48"/>
      <c r="C105" s="49"/>
      <c r="D105" s="49"/>
      <c r="E105" s="50"/>
      <c r="F105" s="50"/>
      <c r="G105" s="50"/>
      <c r="H105" s="50"/>
      <c r="I105" s="50"/>
      <c r="J105" s="50"/>
      <c r="K105" s="50"/>
      <c r="L105" s="50"/>
      <c r="M105" s="3"/>
      <c r="N105" s="3"/>
      <c r="O105" s="14"/>
      <c r="P105" s="3"/>
      <c r="Q105" s="3"/>
      <c r="R105" s="3"/>
      <c r="S105" s="3"/>
      <c r="T105" s="3"/>
      <c r="U105" s="3"/>
      <c r="V105" s="3"/>
      <c r="W105" s="3"/>
    </row>
    <row r="107" spans="1:23" x14ac:dyDescent="0.25">
      <c r="F107" s="10" t="s">
        <v>49</v>
      </c>
      <c r="G107" s="10" t="s">
        <v>53</v>
      </c>
      <c r="I107" s="1" t="s">
        <v>67</v>
      </c>
      <c r="J107" s="11"/>
    </row>
    <row r="108" spans="1:23" x14ac:dyDescent="0.25">
      <c r="H108" s="29" t="s">
        <v>47</v>
      </c>
      <c r="I108" s="23">
        <f>G109/(1+G109)</f>
        <v>0.16666666666666669</v>
      </c>
      <c r="J108" s="11"/>
    </row>
    <row r="109" spans="1:23" x14ac:dyDescent="0.25">
      <c r="F109" s="10" t="s">
        <v>50</v>
      </c>
      <c r="G109" s="10">
        <v>0.2</v>
      </c>
      <c r="H109" s="4" t="s">
        <v>68</v>
      </c>
      <c r="I109" s="2"/>
      <c r="J109" s="11"/>
    </row>
    <row r="110" spans="1:23" x14ac:dyDescent="0.25">
      <c r="F110" s="31">
        <f>I108</f>
        <v>0.16666666666666669</v>
      </c>
      <c r="G110" s="10"/>
      <c r="H110" s="26"/>
      <c r="I110" s="2"/>
      <c r="J110" s="11"/>
    </row>
    <row r="111" spans="1:23" x14ac:dyDescent="0.25">
      <c r="F111" s="10"/>
      <c r="G111" s="10"/>
      <c r="H111" s="30" t="s">
        <v>48</v>
      </c>
      <c r="I111" s="22">
        <f>1-I108</f>
        <v>0.83333333333333326</v>
      </c>
      <c r="J111" s="11"/>
    </row>
    <row r="112" spans="1:23" x14ac:dyDescent="0.25">
      <c r="F112" s="10"/>
      <c r="G112" s="10"/>
      <c r="H112" s="5"/>
      <c r="I112" t="s">
        <v>69</v>
      </c>
      <c r="J112" s="11"/>
    </row>
    <row r="113" spans="6:9" x14ac:dyDescent="0.25">
      <c r="F113" s="10"/>
      <c r="G113" s="10"/>
    </row>
    <row r="114" spans="6:9" x14ac:dyDescent="0.25">
      <c r="F114" s="10"/>
      <c r="G114" s="10"/>
      <c r="I114" s="1" t="s">
        <v>67</v>
      </c>
    </row>
    <row r="115" spans="6:9" x14ac:dyDescent="0.25">
      <c r="F115" s="10"/>
      <c r="G115" s="10"/>
      <c r="H115" s="29" t="s">
        <v>47</v>
      </c>
      <c r="I115" s="23">
        <f>G116/(1+G116)</f>
        <v>0.66666666666666663</v>
      </c>
    </row>
    <row r="116" spans="6:9" x14ac:dyDescent="0.25">
      <c r="F116" s="10" t="s">
        <v>51</v>
      </c>
      <c r="G116" s="10">
        <v>2</v>
      </c>
      <c r="H116" s="4" t="s">
        <v>70</v>
      </c>
      <c r="I116" s="39"/>
    </row>
    <row r="117" spans="6:9" x14ac:dyDescent="0.25">
      <c r="F117" s="27">
        <f>I115</f>
        <v>0.66666666666666663</v>
      </c>
      <c r="G117" s="10"/>
      <c r="H117" s="26"/>
      <c r="I117" s="39"/>
    </row>
    <row r="118" spans="6:9" x14ac:dyDescent="0.25">
      <c r="F118" s="10"/>
      <c r="G118" s="10"/>
      <c r="H118" s="30" t="s">
        <v>48</v>
      </c>
      <c r="I118" s="22">
        <f>1-I115</f>
        <v>0.33333333333333337</v>
      </c>
    </row>
    <row r="119" spans="6:9" x14ac:dyDescent="0.25">
      <c r="F119" s="10"/>
      <c r="G119" s="10"/>
      <c r="H119" s="5"/>
      <c r="I119" t="s">
        <v>69</v>
      </c>
    </row>
    <row r="120" spans="6:9" x14ac:dyDescent="0.25">
      <c r="F120" s="10"/>
      <c r="G120" s="10"/>
    </row>
    <row r="121" spans="6:9" x14ac:dyDescent="0.25">
      <c r="F121" s="10"/>
      <c r="G121" s="10"/>
      <c r="I121" s="1" t="s">
        <v>67</v>
      </c>
    </row>
    <row r="122" spans="6:9" x14ac:dyDescent="0.25">
      <c r="F122" s="10"/>
      <c r="G122" s="10"/>
      <c r="H122" s="29" t="s">
        <v>47</v>
      </c>
      <c r="I122" s="23">
        <f>G123/(1+G123)</f>
        <v>0.83333333333333337</v>
      </c>
    </row>
    <row r="123" spans="6:9" x14ac:dyDescent="0.25">
      <c r="F123" s="10" t="s">
        <v>52</v>
      </c>
      <c r="G123" s="10">
        <v>5</v>
      </c>
      <c r="H123" s="4" t="s">
        <v>71</v>
      </c>
      <c r="I123" s="2"/>
    </row>
    <row r="124" spans="6:9" x14ac:dyDescent="0.25">
      <c r="F124" s="27">
        <f>I122</f>
        <v>0.83333333333333337</v>
      </c>
      <c r="H124" s="26"/>
      <c r="I124" s="2"/>
    </row>
    <row r="125" spans="6:9" x14ac:dyDescent="0.25">
      <c r="G125" s="10"/>
      <c r="H125" s="30" t="s">
        <v>48</v>
      </c>
      <c r="I125" s="22">
        <f>1-I122</f>
        <v>0.16666666666666663</v>
      </c>
    </row>
    <row r="126" spans="6:9" x14ac:dyDescent="0.25">
      <c r="H126" s="5"/>
      <c r="I126" t="s">
        <v>69</v>
      </c>
    </row>
    <row r="129" spans="6:10" x14ac:dyDescent="0.25">
      <c r="F129" s="10"/>
      <c r="G129" s="10"/>
      <c r="I129" s="1" t="s">
        <v>72</v>
      </c>
      <c r="J129" s="10">
        <f>C12</f>
        <v>-100</v>
      </c>
    </row>
    <row r="130" spans="6:10" x14ac:dyDescent="0.25">
      <c r="H130" s="29" t="s">
        <v>47</v>
      </c>
      <c r="I130" s="23">
        <v>0.5</v>
      </c>
    </row>
    <row r="131" spans="6:10" x14ac:dyDescent="0.25">
      <c r="F131" s="10" t="s">
        <v>60</v>
      </c>
      <c r="G131" s="10">
        <v>-400</v>
      </c>
      <c r="H131" s="4" t="s">
        <v>64</v>
      </c>
      <c r="I131" s="2"/>
    </row>
    <row r="132" spans="6:10" x14ac:dyDescent="0.25">
      <c r="F132" s="10" t="s">
        <v>61</v>
      </c>
      <c r="G132" s="10">
        <f>J129*I130+I133*J133</f>
        <v>-300</v>
      </c>
      <c r="H132" s="26"/>
      <c r="I132" s="2"/>
    </row>
    <row r="133" spans="6:10" x14ac:dyDescent="0.25">
      <c r="F133" s="10" t="s">
        <v>62</v>
      </c>
      <c r="G133" s="10">
        <f>I130*J129^2+I133*J133^2-G132^2</f>
        <v>40000</v>
      </c>
      <c r="H133" s="30" t="s">
        <v>48</v>
      </c>
      <c r="I133" s="22">
        <f>1-I130</f>
        <v>0.5</v>
      </c>
      <c r="J133" s="10">
        <f>B12</f>
        <v>-500</v>
      </c>
    </row>
    <row r="134" spans="6:10" x14ac:dyDescent="0.25">
      <c r="F134" s="10" t="s">
        <v>63</v>
      </c>
      <c r="G134" s="10">
        <f>0.5*G133/(G132-G131)</f>
        <v>200</v>
      </c>
      <c r="H134" s="5"/>
      <c r="I134" t="s">
        <v>73</v>
      </c>
    </row>
    <row r="135" spans="6:10" x14ac:dyDescent="0.25">
      <c r="F135" s="10"/>
      <c r="G135" s="10"/>
    </row>
    <row r="136" spans="6:10" x14ac:dyDescent="0.25">
      <c r="F136" s="10"/>
      <c r="G136" s="10"/>
      <c r="I136" s="1" t="s">
        <v>74</v>
      </c>
      <c r="J136" s="35">
        <v>1</v>
      </c>
    </row>
    <row r="137" spans="6:10" x14ac:dyDescent="0.25">
      <c r="F137" s="10"/>
      <c r="G137" s="10"/>
      <c r="H137" s="29" t="s">
        <v>47</v>
      </c>
      <c r="I137" s="21">
        <v>0.5</v>
      </c>
      <c r="J137" s="10"/>
    </row>
    <row r="138" spans="6:10" x14ac:dyDescent="0.25">
      <c r="F138" s="10" t="s">
        <v>60</v>
      </c>
      <c r="G138" s="10">
        <v>0.4</v>
      </c>
      <c r="H138" s="4" t="s">
        <v>95</v>
      </c>
      <c r="I138" s="2"/>
      <c r="J138" s="10"/>
    </row>
    <row r="139" spans="6:10" x14ac:dyDescent="0.25">
      <c r="F139" s="10" t="s">
        <v>61</v>
      </c>
      <c r="G139" s="28">
        <f>J136*I137+I140*J140</f>
        <v>0.5</v>
      </c>
      <c r="H139" s="26"/>
      <c r="I139" s="2"/>
      <c r="J139" s="10"/>
    </row>
    <row r="140" spans="6:10" x14ac:dyDescent="0.25">
      <c r="F140" s="10" t="s">
        <v>62</v>
      </c>
      <c r="G140" s="10">
        <f>I137*J136^2+I140*J140^2-G139^2</f>
        <v>0.25</v>
      </c>
      <c r="H140" s="30" t="s">
        <v>48</v>
      </c>
      <c r="I140" s="18">
        <f>1-I137</f>
        <v>0.5</v>
      </c>
      <c r="J140" s="35">
        <v>0</v>
      </c>
    </row>
    <row r="141" spans="6:10" x14ac:dyDescent="0.25">
      <c r="F141" s="10" t="s">
        <v>63</v>
      </c>
      <c r="G141" s="10">
        <f>0.5*G140/(G139-G138)</f>
        <v>1.2500000000000002</v>
      </c>
      <c r="H141" s="5"/>
      <c r="I141" t="s">
        <v>75</v>
      </c>
      <c r="J141" s="10"/>
    </row>
    <row r="142" spans="6:10" x14ac:dyDescent="0.25">
      <c r="F142" s="10"/>
      <c r="G142" s="10"/>
      <c r="J142" s="10"/>
    </row>
    <row r="143" spans="6:10" x14ac:dyDescent="0.25">
      <c r="F143" s="10"/>
      <c r="G143" s="10"/>
      <c r="I143" s="1" t="s">
        <v>76</v>
      </c>
      <c r="J143" s="10">
        <v>10</v>
      </c>
    </row>
    <row r="144" spans="6:10" x14ac:dyDescent="0.25">
      <c r="F144" s="10"/>
      <c r="G144" s="10"/>
      <c r="H144" s="29" t="s">
        <v>47</v>
      </c>
      <c r="I144" s="23">
        <v>0.5</v>
      </c>
      <c r="J144" s="10"/>
    </row>
    <row r="145" spans="1:23" x14ac:dyDescent="0.25">
      <c r="F145" s="10" t="s">
        <v>60</v>
      </c>
      <c r="G145" s="10">
        <v>0.45</v>
      </c>
      <c r="H145" s="4" t="s">
        <v>77</v>
      </c>
      <c r="I145" s="2"/>
      <c r="J145" s="10"/>
    </row>
    <row r="146" spans="1:23" x14ac:dyDescent="0.25">
      <c r="F146" s="10" t="s">
        <v>61</v>
      </c>
      <c r="G146" s="10">
        <f>J143*I144+I147*J147</f>
        <v>5</v>
      </c>
      <c r="H146" s="26"/>
      <c r="I146" s="2"/>
      <c r="J146" s="10"/>
    </row>
    <row r="147" spans="1:23" x14ac:dyDescent="0.25">
      <c r="F147" s="10" t="s">
        <v>62</v>
      </c>
      <c r="G147" s="10">
        <f>I144*J143^2+I147*J147^2-G146^2</f>
        <v>25</v>
      </c>
      <c r="H147" s="30" t="s">
        <v>48</v>
      </c>
      <c r="I147" s="22">
        <f>1-I144</f>
        <v>0.5</v>
      </c>
      <c r="J147" s="10">
        <v>0</v>
      </c>
    </row>
    <row r="148" spans="1:23" x14ac:dyDescent="0.25">
      <c r="F148" s="10" t="s">
        <v>63</v>
      </c>
      <c r="G148" s="27">
        <f>0.5*G147/(G146-G145)</f>
        <v>2.7472527472527473</v>
      </c>
      <c r="H148" s="5"/>
      <c r="I148" t="s">
        <v>96</v>
      </c>
    </row>
    <row r="149" spans="1:23" ht="15.75" thickBot="1" x14ac:dyDescent="0.3"/>
    <row r="150" spans="1:23" ht="15.75" x14ac:dyDescent="0.25">
      <c r="A150" s="48" t="s">
        <v>82</v>
      </c>
      <c r="B150" s="48"/>
      <c r="C150" s="49"/>
      <c r="D150" s="49"/>
      <c r="E150" s="50"/>
      <c r="F150" s="50"/>
      <c r="G150" s="50"/>
      <c r="H150" s="50"/>
      <c r="I150" s="50"/>
      <c r="J150" s="50"/>
      <c r="K150" s="50"/>
      <c r="L150" s="50"/>
      <c r="M150" s="3"/>
      <c r="N150" s="3"/>
      <c r="O150" s="14"/>
      <c r="P150" s="3"/>
      <c r="Q150" s="3"/>
      <c r="R150" s="3"/>
      <c r="S150" s="3"/>
      <c r="T150" s="3"/>
      <c r="U150" s="3"/>
      <c r="V150" s="3"/>
      <c r="W150" s="3"/>
    </row>
    <row r="151" spans="1:23" s="5" customFormat="1" ht="15.75" x14ac:dyDescent="0.25">
      <c r="B151" s="52"/>
      <c r="C151" s="53"/>
      <c r="D151" s="53"/>
      <c r="E151" s="54"/>
      <c r="F151" s="54"/>
      <c r="G151" s="54"/>
      <c r="H151" s="54"/>
      <c r="I151" s="54"/>
      <c r="J151" s="54"/>
      <c r="K151" s="54"/>
      <c r="L151" s="54"/>
      <c r="M151" s="13"/>
      <c r="N151" s="13"/>
      <c r="O151" s="51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25">
      <c r="I152" s="47" t="s">
        <v>7</v>
      </c>
    </row>
    <row r="153" spans="1:23" x14ac:dyDescent="0.25">
      <c r="I153" s="67">
        <f>H7</f>
        <v>0.93056549474336459</v>
      </c>
    </row>
    <row r="154" spans="1:23" x14ac:dyDescent="0.25">
      <c r="G154" s="64">
        <f>MAX(I153,I156,I159)</f>
        <v>0.93659997977720622</v>
      </c>
      <c r="I154" s="45"/>
    </row>
    <row r="155" spans="1:23" x14ac:dyDescent="0.25">
      <c r="G155" s="6" t="s">
        <v>11</v>
      </c>
      <c r="H155" s="4"/>
      <c r="I155" s="17" t="s">
        <v>35</v>
      </c>
    </row>
    <row r="156" spans="1:23" x14ac:dyDescent="0.25">
      <c r="G156" s="7"/>
      <c r="I156" s="67">
        <f>H16</f>
        <v>0.93659997977720622</v>
      </c>
    </row>
    <row r="157" spans="1:23" x14ac:dyDescent="0.25">
      <c r="G157" s="8"/>
      <c r="I157" s="45"/>
    </row>
    <row r="158" spans="1:23" x14ac:dyDescent="0.25">
      <c r="G158" s="8"/>
      <c r="I158" s="17" t="s">
        <v>9</v>
      </c>
    </row>
    <row r="159" spans="1:23" x14ac:dyDescent="0.25">
      <c r="G159" s="8"/>
      <c r="I159" s="64">
        <f>H23</f>
        <v>0.90216532087638379</v>
      </c>
    </row>
    <row r="160" spans="1:23" x14ac:dyDescent="0.25">
      <c r="E160" s="5"/>
      <c r="F160" s="15"/>
      <c r="G160" s="8"/>
      <c r="I160" s="10"/>
    </row>
    <row r="161" spans="4:9" x14ac:dyDescent="0.25">
      <c r="D161" s="46" t="s">
        <v>65</v>
      </c>
      <c r="E161" s="6"/>
      <c r="F161" s="4"/>
      <c r="G161" s="8"/>
      <c r="I161" s="47" t="s">
        <v>7</v>
      </c>
    </row>
    <row r="162" spans="4:9" x14ac:dyDescent="0.25">
      <c r="D162" s="10" t="str">
        <f>IF(E162=G154,G155,G169)</f>
        <v>Test</v>
      </c>
      <c r="E162" s="64">
        <f>MAX(G154,G170)</f>
        <v>0.93943495481797923</v>
      </c>
      <c r="G162" s="8"/>
      <c r="I162" s="67">
        <f>H36</f>
        <v>0.94059290236984439</v>
      </c>
    </row>
    <row r="163" spans="4:9" x14ac:dyDescent="0.25">
      <c r="G163" s="8"/>
      <c r="H163" s="33">
        <f>MAX(I162,I165,I168)</f>
        <v>0.94059290236984439</v>
      </c>
      <c r="I163" s="45"/>
    </row>
    <row r="164" spans="4:9" x14ac:dyDescent="0.25">
      <c r="G164" s="8"/>
      <c r="H164" s="4" t="s">
        <v>79</v>
      </c>
      <c r="I164" s="17" t="s">
        <v>35</v>
      </c>
    </row>
    <row r="165" spans="4:9" x14ac:dyDescent="0.25">
      <c r="G165" s="8"/>
      <c r="H165" s="43">
        <f>G45</f>
        <v>0.71</v>
      </c>
      <c r="I165" s="67">
        <f>H45</f>
        <v>0.93659997977720622</v>
      </c>
    </row>
    <row r="166" spans="4:9" x14ac:dyDescent="0.25">
      <c r="G166" s="8"/>
      <c r="H166" s="44"/>
      <c r="I166" s="45"/>
    </row>
    <row r="167" spans="4:9" x14ac:dyDescent="0.25">
      <c r="G167" s="8"/>
      <c r="H167" s="44"/>
      <c r="I167" s="17" t="s">
        <v>9</v>
      </c>
    </row>
    <row r="168" spans="4:9" x14ac:dyDescent="0.25">
      <c r="G168" s="12"/>
      <c r="H168" s="44"/>
      <c r="I168" s="64">
        <f>H52</f>
        <v>0.90216532087638379</v>
      </c>
    </row>
    <row r="169" spans="4:9" x14ac:dyDescent="0.25">
      <c r="G169" t="s">
        <v>10</v>
      </c>
      <c r="H169" s="44"/>
      <c r="I169" s="10"/>
    </row>
    <row r="170" spans="4:9" x14ac:dyDescent="0.25">
      <c r="G170" s="64">
        <f>H163*H165+H173*H175</f>
        <v>0.93943495481797923</v>
      </c>
      <c r="H170" s="44"/>
      <c r="I170" s="47" t="s">
        <v>7</v>
      </c>
    </row>
    <row r="171" spans="4:9" x14ac:dyDescent="0.25">
      <c r="H171" s="44"/>
      <c r="I171" s="67">
        <f>H64</f>
        <v>0.90601563469232804</v>
      </c>
    </row>
    <row r="172" spans="4:9" x14ac:dyDescent="0.25">
      <c r="H172" s="44"/>
      <c r="I172" s="45"/>
    </row>
    <row r="173" spans="4:9" x14ac:dyDescent="0.25">
      <c r="H173" s="20">
        <f>G72</f>
        <v>0.29000000000000004</v>
      </c>
      <c r="I173" s="17" t="s">
        <v>35</v>
      </c>
    </row>
    <row r="174" spans="4:9" x14ac:dyDescent="0.25">
      <c r="H174" t="s">
        <v>25</v>
      </c>
      <c r="I174" s="67">
        <f>H73</f>
        <v>0.93659997977720622</v>
      </c>
    </row>
    <row r="175" spans="4:9" x14ac:dyDescent="0.25">
      <c r="H175" s="33">
        <f>MAX(I171,I174,I177)</f>
        <v>0.93659997977720622</v>
      </c>
      <c r="I175" s="45"/>
    </row>
    <row r="176" spans="4:9" x14ac:dyDescent="0.25">
      <c r="I176" s="17" t="s">
        <v>9</v>
      </c>
    </row>
    <row r="177" spans="1:23" x14ac:dyDescent="0.25">
      <c r="I177" s="64">
        <f>H80</f>
        <v>0.90216532087638379</v>
      </c>
    </row>
    <row r="180" spans="1:23" ht="15.75" thickBot="1" x14ac:dyDescent="0.3"/>
    <row r="181" spans="1:23" ht="15.75" x14ac:dyDescent="0.25">
      <c r="A181" s="48" t="s">
        <v>80</v>
      </c>
      <c r="B181" s="48"/>
      <c r="C181" s="49"/>
      <c r="D181" s="49"/>
      <c r="E181" s="50"/>
      <c r="F181" s="50"/>
      <c r="G181" s="50"/>
      <c r="H181" s="50"/>
      <c r="I181" s="50"/>
      <c r="J181" s="50"/>
      <c r="K181" s="50"/>
      <c r="L181" s="50"/>
      <c r="M181" s="3"/>
      <c r="N181" s="3"/>
      <c r="O181" s="14"/>
      <c r="P181" s="3"/>
      <c r="Q181" s="3"/>
      <c r="R181" s="3"/>
      <c r="S181" s="3"/>
      <c r="T181" s="3"/>
      <c r="U181" s="3"/>
      <c r="V181" s="3"/>
      <c r="W181" s="3"/>
    </row>
    <row r="184" spans="1:23" x14ac:dyDescent="0.25">
      <c r="A184" t="s">
        <v>50</v>
      </c>
      <c r="B184" s="10" t="str">
        <f>H8</f>
        <v>Transplantation</v>
      </c>
      <c r="C184" s="10" t="str">
        <f>H15</f>
        <v>Amputation</v>
      </c>
      <c r="D184" s="10" t="str">
        <f>H22</f>
        <v>Treatment</v>
      </c>
      <c r="E184" t="s">
        <v>65</v>
      </c>
      <c r="F184" t="s">
        <v>84</v>
      </c>
    </row>
    <row r="185" spans="1:23" x14ac:dyDescent="0.25">
      <c r="B185" s="33">
        <f>H7</f>
        <v>0.93056549474336459</v>
      </c>
      <c r="C185" s="33">
        <f>H16</f>
        <v>0.93659997977720622</v>
      </c>
      <c r="D185" s="33">
        <f>H23</f>
        <v>0.90216532087638379</v>
      </c>
      <c r="F185" s="32">
        <f>B38</f>
        <v>0.16666666666666669</v>
      </c>
      <c r="G185" s="34">
        <v>0.88</v>
      </c>
    </row>
    <row r="186" spans="1:23" x14ac:dyDescent="0.25">
      <c r="A186" s="55">
        <v>1E-3</v>
      </c>
      <c r="B186" s="34">
        <f t="dataTable" ref="B186:D196" dt2D="0" dtr="0" r1="B38" ca="1"/>
        <v>0.9369795072578132</v>
      </c>
      <c r="C186" s="34">
        <v>0.93744848607519649</v>
      </c>
      <c r="D186" s="34">
        <v>0.89684406954178597</v>
      </c>
      <c r="E186" t="str">
        <f>IF(MAX(B186:D186)=B186,$B$184,IF(MAX(B186:D186)=C186,$C$184,$D$184))</f>
        <v>Amputation</v>
      </c>
      <c r="F186" s="32">
        <f>F185</f>
        <v>0.16666666666666669</v>
      </c>
      <c r="G186">
        <v>1</v>
      </c>
    </row>
    <row r="187" spans="1:23" x14ac:dyDescent="0.25">
      <c r="A187">
        <v>0.1</v>
      </c>
      <c r="B187" s="34">
        <v>0.93282174363280146</v>
      </c>
      <c r="C187" s="34">
        <v>0.93680160539644963</v>
      </c>
      <c r="D187" s="34">
        <v>0.89993081398627606</v>
      </c>
      <c r="E187" t="str">
        <f t="shared" ref="E187:E196" si="55">IF(MAX(B187:D187)=B187,$B$184,IF(MAX(B187:D187)=C187,$C$184,$D$184))</f>
        <v>Amputation</v>
      </c>
    </row>
    <row r="188" spans="1:23" x14ac:dyDescent="0.25">
      <c r="A188">
        <v>0.2</v>
      </c>
      <c r="B188" s="34">
        <v>0.92957307558070668</v>
      </c>
      <c r="C188" s="34">
        <v>0.93655676143981836</v>
      </c>
      <c r="D188" s="34">
        <v>0.9033215492829394</v>
      </c>
      <c r="E188" t="str">
        <f t="shared" si="55"/>
        <v>Amputation</v>
      </c>
    </row>
    <row r="189" spans="1:23" x14ac:dyDescent="0.25">
      <c r="A189">
        <v>0.3</v>
      </c>
      <c r="B189" s="34">
        <v>0.92705401872414506</v>
      </c>
      <c r="C189" s="34">
        <v>0.93661900395782061</v>
      </c>
      <c r="D189" s="34">
        <v>0.90692201120877269</v>
      </c>
      <c r="E189" t="str">
        <f t="shared" si="55"/>
        <v>Amputation</v>
      </c>
    </row>
    <row r="190" spans="1:23" x14ac:dyDescent="0.25">
      <c r="A190">
        <v>0.4</v>
      </c>
      <c r="B190" s="34">
        <v>0.92510872529977994</v>
      </c>
      <c r="C190" s="34">
        <v>0.93691795033126046</v>
      </c>
      <c r="D190" s="34">
        <v>0.91068773733023334</v>
      </c>
      <c r="E190" t="str">
        <f t="shared" si="55"/>
        <v>Amputation</v>
      </c>
    </row>
    <row r="191" spans="1:23" x14ac:dyDescent="0.25">
      <c r="A191">
        <v>0.5</v>
      </c>
      <c r="B191" s="34">
        <v>0.92362572765003093</v>
      </c>
      <c r="C191" s="34">
        <v>0.93740390756528968</v>
      </c>
      <c r="D191" s="34">
        <v>0.91458688118421438</v>
      </c>
      <c r="E191" t="str">
        <f t="shared" si="55"/>
        <v>Amputation</v>
      </c>
    </row>
    <row r="192" spans="1:23" x14ac:dyDescent="0.25">
      <c r="A192">
        <v>0.6</v>
      </c>
      <c r="B192" s="34">
        <v>0.92252259464593922</v>
      </c>
      <c r="C192" s="34">
        <v>0.93804059145391994</v>
      </c>
      <c r="D192" s="34">
        <v>0.91859585951412148</v>
      </c>
      <c r="E192" t="str">
        <f t="shared" si="55"/>
        <v>Amputation</v>
      </c>
    </row>
    <row r="193" spans="1:7" x14ac:dyDescent="0.25">
      <c r="A193">
        <v>0.7</v>
      </c>
      <c r="B193" s="34">
        <v>0.92173669299155803</v>
      </c>
      <c r="C193" s="34">
        <v>0.93880077543944429</v>
      </c>
      <c r="D193" s="34">
        <v>0.92269672907554534</v>
      </c>
      <c r="E193" t="str">
        <f t="shared" si="55"/>
        <v>Amputation</v>
      </c>
    </row>
    <row r="194" spans="1:7" x14ac:dyDescent="0.25">
      <c r="A194">
        <v>0.8</v>
      </c>
      <c r="B194" s="34">
        <v>0.92121935052271786</v>
      </c>
      <c r="C194" s="34">
        <v>0.93966356190718059</v>
      </c>
      <c r="D194" s="34">
        <v>0.92687552797154615</v>
      </c>
      <c r="E194" t="str">
        <f t="shared" si="55"/>
        <v>Amputation</v>
      </c>
    </row>
    <row r="195" spans="1:7" x14ac:dyDescent="0.25">
      <c r="A195">
        <v>0.9</v>
      </c>
      <c r="B195" s="34">
        <v>0.92093202041563804</v>
      </c>
      <c r="C195" s="34">
        <v>0.94061260189936746</v>
      </c>
      <c r="D195" s="34">
        <v>0.93112118469269922</v>
      </c>
      <c r="E195" t="str">
        <f t="shared" si="55"/>
        <v>Amputation</v>
      </c>
    </row>
    <row r="196" spans="1:7" x14ac:dyDescent="0.25">
      <c r="A196">
        <v>1</v>
      </c>
      <c r="B196" s="34">
        <v>0.92084367579501114</v>
      </c>
      <c r="C196" s="34">
        <v>0.94163489452454285</v>
      </c>
      <c r="D196" s="34">
        <v>0.93542477649620914</v>
      </c>
      <c r="E196" t="str">
        <f t="shared" si="55"/>
        <v>Amputation</v>
      </c>
    </row>
    <row r="198" spans="1:7" x14ac:dyDescent="0.25">
      <c r="A198" t="s">
        <v>85</v>
      </c>
      <c r="B198" t="s">
        <v>86</v>
      </c>
      <c r="C198" t="s">
        <v>87</v>
      </c>
    </row>
    <row r="204" spans="1:7" x14ac:dyDescent="0.25">
      <c r="A204" t="s">
        <v>51</v>
      </c>
      <c r="B204" t="str">
        <f>B184</f>
        <v>Transplantation</v>
      </c>
      <c r="C204" t="str">
        <f t="shared" ref="C204:D204" si="56">C184</f>
        <v>Amputation</v>
      </c>
      <c r="D204" t="str">
        <f t="shared" si="56"/>
        <v>Treatment</v>
      </c>
      <c r="E204" t="s">
        <v>65</v>
      </c>
      <c r="F204" t="s">
        <v>84</v>
      </c>
    </row>
    <row r="205" spans="1:7" x14ac:dyDescent="0.25">
      <c r="B205" s="33">
        <f>H7</f>
        <v>0.93056549474336459</v>
      </c>
      <c r="C205" s="33">
        <f>H16</f>
        <v>0.93659997977720622</v>
      </c>
      <c r="D205" s="33">
        <f>H23</f>
        <v>0.90216532087638379</v>
      </c>
      <c r="F205" s="32">
        <f>B39</f>
        <v>0.66666666666666663</v>
      </c>
      <c r="G205" s="34">
        <v>0.75</v>
      </c>
    </row>
    <row r="206" spans="1:7" x14ac:dyDescent="0.25">
      <c r="A206" s="55">
        <v>1E-3</v>
      </c>
      <c r="B206" s="33">
        <f t="dataTable" ref="B206:D216" dt2D="0" dtr="0" r1="B39"/>
        <v>0.79223079257329354</v>
      </c>
      <c r="C206" s="33">
        <v>0.79351876360466067</v>
      </c>
      <c r="D206" s="33">
        <v>0.80765686690915317</v>
      </c>
      <c r="E206" t="str">
        <f>IF(MAX(B206:D206)=B206,$B$184,IF(MAX(B206:D206)=C206,$C$184,$D$184))</f>
        <v>Treatment</v>
      </c>
      <c r="F206" s="32">
        <f>F205</f>
        <v>0.66666666666666663</v>
      </c>
      <c r="G206">
        <v>1</v>
      </c>
    </row>
    <row r="207" spans="1:7" x14ac:dyDescent="0.25">
      <c r="A207">
        <v>0.1</v>
      </c>
      <c r="B207" s="33">
        <v>0.84281588876754698</v>
      </c>
      <c r="C207" s="33">
        <v>0.83203801892315754</v>
      </c>
      <c r="D207" s="33">
        <v>0.83006757525685337</v>
      </c>
      <c r="E207" t="str">
        <f t="shared" ref="E207:E216" si="57">IF(MAX(B207:D207)=B207,$B$184,IF(MAX(B207:D207)=C207,$C$184,$D$184))</f>
        <v>Transplantation</v>
      </c>
    </row>
    <row r="208" spans="1:7" x14ac:dyDescent="0.25">
      <c r="A208">
        <v>0.2</v>
      </c>
      <c r="B208" s="33">
        <v>0.87055668350285142</v>
      </c>
      <c r="C208" s="33">
        <v>0.85756454869384291</v>
      </c>
      <c r="D208" s="33">
        <v>0.84619851579171879</v>
      </c>
      <c r="E208" t="str">
        <f t="shared" si="57"/>
        <v>Transplantation</v>
      </c>
    </row>
    <row r="209" spans="1:7" x14ac:dyDescent="0.25">
      <c r="A209">
        <v>0.3</v>
      </c>
      <c r="B209" s="33">
        <v>0.88931277619237181</v>
      </c>
      <c r="C209" s="33">
        <v>0.87791272306771229</v>
      </c>
      <c r="D209" s="33">
        <v>0.85983019760937252</v>
      </c>
      <c r="E209" t="str">
        <f t="shared" si="57"/>
        <v>Transplantation</v>
      </c>
    </row>
    <row r="210" spans="1:7" x14ac:dyDescent="0.25">
      <c r="A210">
        <v>0.4</v>
      </c>
      <c r="B210" s="33">
        <v>0.90349271775892559</v>
      </c>
      <c r="C210" s="33">
        <v>0.89561555938709969</v>
      </c>
      <c r="D210" s="33">
        <v>0.87218987900266609</v>
      </c>
      <c r="E210" t="str">
        <f t="shared" si="57"/>
        <v>Transplantation</v>
      </c>
    </row>
    <row r="211" spans="1:7" x14ac:dyDescent="0.25">
      <c r="A211">
        <v>0.5</v>
      </c>
      <c r="B211" s="33">
        <v>0.91498165231860018</v>
      </c>
      <c r="C211" s="33">
        <v>0.91175992972060127</v>
      </c>
      <c r="D211" s="33">
        <v>0.88380190362133493</v>
      </c>
      <c r="E211" t="str">
        <f t="shared" si="57"/>
        <v>Transplantation</v>
      </c>
    </row>
    <row r="212" spans="1:7" x14ac:dyDescent="0.25">
      <c r="A212">
        <v>0.6</v>
      </c>
      <c r="B212" s="33">
        <v>0.92474058355381095</v>
      </c>
      <c r="C212" s="33">
        <v>0.9269011151575226</v>
      </c>
      <c r="D212" s="33">
        <v>0.89493342436739409</v>
      </c>
      <c r="E212" t="str">
        <f t="shared" si="57"/>
        <v>Amputation</v>
      </c>
    </row>
    <row r="213" spans="1:7" x14ac:dyDescent="0.25">
      <c r="A213">
        <v>0.7</v>
      </c>
      <c r="B213" s="33">
        <v>0.93331646406953794</v>
      </c>
      <c r="C213" s="33">
        <v>0.94135564023195584</v>
      </c>
      <c r="D213" s="33">
        <v>0.90573643228815737</v>
      </c>
      <c r="E213" t="str">
        <f t="shared" si="57"/>
        <v>Amputation</v>
      </c>
    </row>
    <row r="214" spans="1:7" x14ac:dyDescent="0.25">
      <c r="A214">
        <v>0.8</v>
      </c>
      <c r="B214" s="33">
        <v>0.94104545839154907</v>
      </c>
      <c r="C214" s="33">
        <v>0.95531826866575087</v>
      </c>
      <c r="D214" s="33">
        <v>0.91630431645435317</v>
      </c>
      <c r="E214" t="str">
        <f t="shared" si="57"/>
        <v>Amputation</v>
      </c>
    </row>
    <row r="215" spans="1:7" x14ac:dyDescent="0.25">
      <c r="A215">
        <v>0.9</v>
      </c>
      <c r="B215" s="33">
        <v>0.94814634302072776</v>
      </c>
      <c r="C215" s="33">
        <v>0.96891586585792189</v>
      </c>
      <c r="D215" s="33">
        <v>0.92669784116794007</v>
      </c>
      <c r="E215" t="str">
        <f t="shared" si="57"/>
        <v>Amputation</v>
      </c>
    </row>
    <row r="216" spans="1:7" x14ac:dyDescent="0.25">
      <c r="A216">
        <v>1</v>
      </c>
      <c r="B216" s="33">
        <v>0.95476797773553435</v>
      </c>
      <c r="C216" s="33">
        <v>0.98223481484871256</v>
      </c>
      <c r="D216" s="33">
        <v>0.93695834430747504</v>
      </c>
      <c r="E216" t="str">
        <f t="shared" si="57"/>
        <v>Amputation</v>
      </c>
    </row>
    <row r="219" spans="1:7" x14ac:dyDescent="0.25">
      <c r="A219" t="s">
        <v>85</v>
      </c>
      <c r="B219" t="s">
        <v>86</v>
      </c>
      <c r="C219" t="s">
        <v>87</v>
      </c>
    </row>
    <row r="220" spans="1:7" x14ac:dyDescent="0.25">
      <c r="A220">
        <v>0.04</v>
      </c>
      <c r="B220" t="str">
        <f>E206</f>
        <v>Treatment</v>
      </c>
      <c r="C220" t="str">
        <f>E207</f>
        <v>Transplantation</v>
      </c>
    </row>
    <row r="221" spans="1:7" x14ac:dyDescent="0.25">
      <c r="A221">
        <v>0.56999999999999995</v>
      </c>
      <c r="B221" t="str">
        <f>E211</f>
        <v>Transplantation</v>
      </c>
      <c r="C221" t="str">
        <f>E212</f>
        <v>Amputation</v>
      </c>
    </row>
    <row r="224" spans="1:7" x14ac:dyDescent="0.25">
      <c r="A224" t="s">
        <v>52</v>
      </c>
      <c r="B224" t="str">
        <f>B204</f>
        <v>Transplantation</v>
      </c>
      <c r="C224" t="str">
        <f t="shared" ref="C224:D224" si="58">C204</f>
        <v>Amputation</v>
      </c>
      <c r="D224" t="str">
        <f t="shared" si="58"/>
        <v>Treatment</v>
      </c>
      <c r="E224" t="s">
        <v>65</v>
      </c>
      <c r="G224" t="s">
        <v>84</v>
      </c>
    </row>
    <row r="225" spans="1:8" x14ac:dyDescent="0.25">
      <c r="B225" s="34">
        <f>H7</f>
        <v>0.93056549474336459</v>
      </c>
      <c r="C225" s="34">
        <f>H16</f>
        <v>0.93659997977720622</v>
      </c>
      <c r="D225" s="34">
        <f>H23</f>
        <v>0.90216532087638379</v>
      </c>
      <c r="G225" s="32">
        <f>B40</f>
        <v>0.83333333333333337</v>
      </c>
      <c r="H225" s="34">
        <v>0.5</v>
      </c>
    </row>
    <row r="226" spans="1:8" x14ac:dyDescent="0.25">
      <c r="A226" s="55">
        <v>1E-3</v>
      </c>
      <c r="B226" s="34">
        <f t="dataTable" ref="B226:D236" dt2D="0" dtr="0" r1="B40" ca="1"/>
        <v>0.58890371503972394</v>
      </c>
      <c r="C226" s="34">
        <v>0.7686773382258103</v>
      </c>
      <c r="D226" s="34">
        <v>0.8090723661941337</v>
      </c>
      <c r="E226" t="str">
        <f>IF(MAX(B226:D226)=B226,$B$184,IF(MAX(B226:D226)=C226,$C$184,$D$184))</f>
        <v>Treatment</v>
      </c>
      <c r="G226" s="32">
        <f>G225</f>
        <v>0.83333333333333337</v>
      </c>
      <c r="H226">
        <v>1</v>
      </c>
    </row>
    <row r="227" spans="1:8" x14ac:dyDescent="0.25">
      <c r="A227">
        <v>0.1</v>
      </c>
      <c r="B227" s="34">
        <v>0.6904103859053734</v>
      </c>
      <c r="C227" s="34">
        <v>0.81975393286471965</v>
      </c>
      <c r="D227" s="34">
        <v>0.83711218210517868</v>
      </c>
      <c r="E227" t="str">
        <f t="shared" ref="E227:E236" si="59">IF(MAX(B227:D227)=B227,$B$184,IF(MAX(B227:D227)=C227,$C$184,$D$184))</f>
        <v>Treatment</v>
      </c>
    </row>
    <row r="228" spans="1:8" x14ac:dyDescent="0.25">
      <c r="A228">
        <v>0.2</v>
      </c>
      <c r="B228" s="34">
        <v>0.74870940471525849</v>
      </c>
      <c r="C228" s="34">
        <v>0.84918396534783513</v>
      </c>
      <c r="D228" s="34">
        <v>0.85308503268375002</v>
      </c>
      <c r="E228" t="str">
        <f t="shared" si="59"/>
        <v>Treatment</v>
      </c>
    </row>
    <row r="229" spans="1:8" x14ac:dyDescent="0.25">
      <c r="A229">
        <v>0.3</v>
      </c>
      <c r="B229" s="34">
        <v>0.79093697737468549</v>
      </c>
      <c r="C229" s="34">
        <v>0.87022307341905003</v>
      </c>
      <c r="D229" s="34">
        <v>0.86458618270953713</v>
      </c>
      <c r="E229" t="str">
        <f t="shared" si="59"/>
        <v>Amputation</v>
      </c>
    </row>
    <row r="230" spans="1:8" x14ac:dyDescent="0.25">
      <c r="A230">
        <v>0.4</v>
      </c>
      <c r="B230" s="34">
        <v>0.82482833840514136</v>
      </c>
      <c r="C230" s="34">
        <v>0.88683079119402597</v>
      </c>
      <c r="D230" s="34">
        <v>0.87377151175852874</v>
      </c>
      <c r="E230" t="str">
        <f t="shared" si="59"/>
        <v>Amputation</v>
      </c>
    </row>
    <row r="231" spans="1:8" x14ac:dyDescent="0.25">
      <c r="A231">
        <v>0.5</v>
      </c>
      <c r="B231" s="34">
        <v>0.85367133987374388</v>
      </c>
      <c r="C231" s="34">
        <v>0.90072622568073568</v>
      </c>
      <c r="D231" s="34">
        <v>0.88155571226647833</v>
      </c>
      <c r="E231" t="str">
        <f t="shared" si="59"/>
        <v>Amputation</v>
      </c>
    </row>
    <row r="232" spans="1:8" x14ac:dyDescent="0.25">
      <c r="A232">
        <v>0.6</v>
      </c>
      <c r="B232" s="34">
        <v>0.87916976012884784</v>
      </c>
      <c r="C232" s="34">
        <v>0.91281190181597649</v>
      </c>
      <c r="D232" s="34">
        <v>0.88841224431951171</v>
      </c>
      <c r="E232" t="str">
        <f t="shared" si="59"/>
        <v>Amputation</v>
      </c>
    </row>
    <row r="233" spans="1:8" x14ac:dyDescent="0.25">
      <c r="A233">
        <v>0.7</v>
      </c>
      <c r="B233" s="34">
        <v>0.90231570662922433</v>
      </c>
      <c r="C233" s="34">
        <v>0.92361808374855814</v>
      </c>
      <c r="D233" s="34">
        <v>0.89461658556389301</v>
      </c>
      <c r="E233" t="str">
        <f t="shared" si="59"/>
        <v>Amputation</v>
      </c>
    </row>
    <row r="234" spans="1:8" x14ac:dyDescent="0.25">
      <c r="A234">
        <v>0.8</v>
      </c>
      <c r="B234" s="34">
        <v>0.92373389618605151</v>
      </c>
      <c r="C234" s="34">
        <v>0.9334808739711451</v>
      </c>
      <c r="D234" s="34">
        <v>0.90034209926378994</v>
      </c>
      <c r="E234" t="str">
        <f t="shared" si="59"/>
        <v>Amputation</v>
      </c>
    </row>
    <row r="235" spans="1:8" x14ac:dyDescent="0.25">
      <c r="A235">
        <v>0.9</v>
      </c>
      <c r="B235" s="34">
        <v>0.9438406533724949</v>
      </c>
      <c r="C235" s="34">
        <v>0.94262539188683858</v>
      </c>
      <c r="D235" s="34">
        <v>0.90570426622989042</v>
      </c>
      <c r="E235" t="str">
        <f t="shared" si="59"/>
        <v>Transplantation</v>
      </c>
    </row>
    <row r="236" spans="1:8" x14ac:dyDescent="0.25">
      <c r="A236">
        <v>1</v>
      </c>
      <c r="B236" s="34">
        <v>0.96292569225722302</v>
      </c>
      <c r="C236" s="34">
        <v>0.95120892335100771</v>
      </c>
      <c r="D236" s="34">
        <v>0.91078341891436665</v>
      </c>
      <c r="E236" t="str">
        <f t="shared" si="59"/>
        <v>Transplantation</v>
      </c>
    </row>
    <row r="238" spans="1:8" x14ac:dyDescent="0.25">
      <c r="A238" t="s">
        <v>85</v>
      </c>
      <c r="B238" t="s">
        <v>86</v>
      </c>
      <c r="C238" t="s">
        <v>87</v>
      </c>
    </row>
    <row r="239" spans="1:8" x14ac:dyDescent="0.25">
      <c r="A239">
        <v>0.24</v>
      </c>
      <c r="B239" t="str">
        <f>E228</f>
        <v>Treatment</v>
      </c>
      <c r="C239" t="str">
        <f>E229</f>
        <v>Amputation</v>
      </c>
    </row>
    <row r="240" spans="1:8" x14ac:dyDescent="0.25">
      <c r="A240">
        <v>0.89</v>
      </c>
      <c r="B240" t="str">
        <f>E234</f>
        <v>Amputation</v>
      </c>
      <c r="C240" t="str">
        <f>E235</f>
        <v>Transplantation</v>
      </c>
    </row>
    <row r="243" spans="1:8" x14ac:dyDescent="0.25">
      <c r="A243" t="str">
        <f>A6</f>
        <v>P(Treatment Success)</v>
      </c>
      <c r="B243" t="str">
        <f>B224</f>
        <v>Transplantation</v>
      </c>
      <c r="C243" t="str">
        <f t="shared" ref="C243:D243" si="60">C224</f>
        <v>Amputation</v>
      </c>
      <c r="D243" t="str">
        <f t="shared" si="60"/>
        <v>Treatment</v>
      </c>
      <c r="E243" t="s">
        <v>65</v>
      </c>
      <c r="G243" t="s">
        <v>84</v>
      </c>
    </row>
    <row r="244" spans="1:8" x14ac:dyDescent="0.25">
      <c r="B244" s="34">
        <f>H7</f>
        <v>0.93056549474336459</v>
      </c>
      <c r="C244" s="34">
        <f>H16</f>
        <v>0.93659997977720622</v>
      </c>
      <c r="D244" s="34">
        <f>H23</f>
        <v>0.90216532087638379</v>
      </c>
      <c r="G244" s="32">
        <f>B6</f>
        <v>0.6</v>
      </c>
      <c r="H244" s="34">
        <v>0.88</v>
      </c>
    </row>
    <row r="245" spans="1:8" x14ac:dyDescent="0.25">
      <c r="A245" s="55">
        <v>1E-3</v>
      </c>
      <c r="B245" s="34">
        <f t="dataTable" ref="B245:D255" dt2D="0" dtr="0" r1="B6" ca="1"/>
        <v>0.93056549474336459</v>
      </c>
      <c r="C245" s="34">
        <v>0.93659997977720622</v>
      </c>
      <c r="D245" s="34">
        <v>0.75565788888876884</v>
      </c>
      <c r="E245" t="str">
        <f>IF(MAX(B245:D245)=B245,$B$184,IF(MAX(B245:D245)=C245,$C$184,$D$184))</f>
        <v>Amputation</v>
      </c>
      <c r="G245" s="32">
        <f>G244</f>
        <v>0.6</v>
      </c>
      <c r="H245">
        <v>1</v>
      </c>
    </row>
    <row r="246" spans="1:8" x14ac:dyDescent="0.25">
      <c r="A246">
        <v>0.1</v>
      </c>
      <c r="B246" s="34">
        <v>0.93056549474336459</v>
      </c>
      <c r="C246" s="34">
        <v>0.93659997977720622</v>
      </c>
      <c r="D246" s="34">
        <v>0.77987197197186386</v>
      </c>
      <c r="E246" t="str">
        <f t="shared" ref="E246:E255" si="61">IF(MAX(B246:D246)=B246,$B$184,IF(MAX(B246:D246)=C246,$C$184,$D$184))</f>
        <v>Amputation</v>
      </c>
    </row>
    <row r="247" spans="1:8" x14ac:dyDescent="0.25">
      <c r="A247">
        <v>0.2</v>
      </c>
      <c r="B247" s="34">
        <v>0.93056549474336459</v>
      </c>
      <c r="C247" s="34">
        <v>0.93659997977720622</v>
      </c>
      <c r="D247" s="34">
        <v>0.80433064175276781</v>
      </c>
      <c r="E247" t="str">
        <f t="shared" si="61"/>
        <v>Amputation</v>
      </c>
    </row>
    <row r="248" spans="1:8" x14ac:dyDescent="0.25">
      <c r="A248">
        <v>0.3</v>
      </c>
      <c r="B248" s="34">
        <v>0.93056549474336459</v>
      </c>
      <c r="C248" s="34">
        <v>0.93659997977720622</v>
      </c>
      <c r="D248" s="34">
        <v>0.82878931153367175</v>
      </c>
      <c r="E248" t="str">
        <f t="shared" si="61"/>
        <v>Amputation</v>
      </c>
    </row>
    <row r="249" spans="1:8" x14ac:dyDescent="0.25">
      <c r="A249">
        <v>0.4</v>
      </c>
      <c r="B249" s="34">
        <v>0.93056549474336459</v>
      </c>
      <c r="C249" s="34">
        <v>0.93659997977720622</v>
      </c>
      <c r="D249" s="34">
        <v>0.85324798131457591</v>
      </c>
      <c r="E249" t="str">
        <f t="shared" si="61"/>
        <v>Amputation</v>
      </c>
    </row>
    <row r="250" spans="1:8" x14ac:dyDescent="0.25">
      <c r="A250">
        <v>0.5</v>
      </c>
      <c r="B250" s="34">
        <v>0.93056549474336459</v>
      </c>
      <c r="C250" s="34">
        <v>0.93659997977720622</v>
      </c>
      <c r="D250" s="34">
        <v>0.87770665109547985</v>
      </c>
      <c r="E250" t="str">
        <f t="shared" si="61"/>
        <v>Amputation</v>
      </c>
    </row>
    <row r="251" spans="1:8" x14ac:dyDescent="0.25">
      <c r="A251">
        <v>0.6</v>
      </c>
      <c r="B251" s="34">
        <v>0.93056549474336459</v>
      </c>
      <c r="C251" s="34">
        <v>0.93659997977720622</v>
      </c>
      <c r="D251" s="34">
        <v>0.90216532087638379</v>
      </c>
      <c r="E251" t="str">
        <f t="shared" si="61"/>
        <v>Amputation</v>
      </c>
    </row>
    <row r="252" spans="1:8" x14ac:dyDescent="0.25">
      <c r="A252">
        <v>0.7</v>
      </c>
      <c r="B252" s="34">
        <v>0.93056549474336459</v>
      </c>
      <c r="C252" s="34">
        <v>0.93659997977720622</v>
      </c>
      <c r="D252" s="34">
        <v>0.92662399065728784</v>
      </c>
      <c r="E252" t="str">
        <f t="shared" si="61"/>
        <v>Amputation</v>
      </c>
    </row>
    <row r="253" spans="1:8" x14ac:dyDescent="0.25">
      <c r="A253">
        <v>0.8</v>
      </c>
      <c r="B253" s="34">
        <v>0.93056549474336459</v>
      </c>
      <c r="C253" s="34">
        <v>0.93659997977720622</v>
      </c>
      <c r="D253" s="34">
        <v>0.9510826604381919</v>
      </c>
      <c r="E253" t="str">
        <f t="shared" si="61"/>
        <v>Treatment</v>
      </c>
    </row>
    <row r="254" spans="1:8" x14ac:dyDescent="0.25">
      <c r="A254">
        <v>0.9</v>
      </c>
      <c r="B254" s="34">
        <v>0.93056549474336459</v>
      </c>
      <c r="C254" s="34">
        <v>0.93659997977720622</v>
      </c>
      <c r="D254" s="34">
        <v>0.97554133021909584</v>
      </c>
      <c r="E254" t="str">
        <f t="shared" si="61"/>
        <v>Treatment</v>
      </c>
    </row>
    <row r="255" spans="1:8" x14ac:dyDescent="0.25">
      <c r="A255">
        <v>1</v>
      </c>
      <c r="B255" s="34">
        <v>0.93056549474336459</v>
      </c>
      <c r="C255" s="34">
        <v>0.93659997977720622</v>
      </c>
      <c r="D255" s="34">
        <v>0.99999999999999989</v>
      </c>
      <c r="E255" t="str">
        <f t="shared" si="61"/>
        <v>Treatment</v>
      </c>
    </row>
    <row r="257" spans="1:3" x14ac:dyDescent="0.25">
      <c r="A257" t="s">
        <v>85</v>
      </c>
      <c r="B257" t="s">
        <v>86</v>
      </c>
      <c r="C257" t="s">
        <v>87</v>
      </c>
    </row>
    <row r="258" spans="1:3" x14ac:dyDescent="0.25">
      <c r="A258">
        <v>0.75</v>
      </c>
      <c r="B258" t="str">
        <f>E252</f>
        <v>Amputation</v>
      </c>
      <c r="C258" t="str">
        <f>E253</f>
        <v>Treatment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7" zoomScale="25" zoomScaleNormal="25" workbookViewId="0">
      <selection activeCell="AL148" sqref="AL14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Bruno</cp:lastModifiedBy>
  <dcterms:created xsi:type="dcterms:W3CDTF">2012-12-17T06:50:13Z</dcterms:created>
  <dcterms:modified xsi:type="dcterms:W3CDTF">2012-12-18T03:18:03Z</dcterms:modified>
</cp:coreProperties>
</file>