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Langkah Perhitung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<sst xmlns="http://schemas.openxmlformats.org/spreadsheetml/2006/main" count="481" uniqueCount="219">
  <si>
    <t>ANALISIS  HARMONIK  PASANG SURUT</t>
  </si>
  <si>
    <t>Metoda  Admiralty  Panjang Data  29 Hari (Dengan Tabel)</t>
  </si>
  <si>
    <t>LOKASI</t>
  </si>
  <si>
    <t>Bitung</t>
  </si>
  <si>
    <t xml:space="preserve">KORDINAT </t>
  </si>
  <si>
    <t>1°26'24.00"N - 125°11'34.80"E</t>
  </si>
  <si>
    <t>HARI TENGAH</t>
  </si>
  <si>
    <t>TIME KEPT</t>
  </si>
  <si>
    <t>GMT +8</t>
  </si>
  <si>
    <t>SECTION II (USING TABLE 8.A)</t>
  </si>
  <si>
    <t>SECTION III X AND Y WITH DATUMS</t>
  </si>
  <si>
    <t>SECTION IV USING TABLE 10.A</t>
  </si>
  <si>
    <r>
      <rPr>
        <b/>
        <sz val="11"/>
        <color theme="1"/>
        <rFont val="Calibri"/>
        <charset val="134"/>
        <scheme val="minor"/>
      </rPr>
      <t>A</t>
    </r>
    <r>
      <rPr>
        <b/>
        <sz val="8"/>
        <color theme="1"/>
        <rFont val="Calibri"/>
        <charset val="134"/>
        <scheme val="minor"/>
      </rPr>
      <t>0</t>
    </r>
  </si>
  <si>
    <r>
      <rPr>
        <b/>
        <sz val="11"/>
        <color theme="1"/>
        <rFont val="Calibri"/>
        <charset val="134"/>
        <scheme val="minor"/>
      </rPr>
      <t>M</t>
    </r>
    <r>
      <rPr>
        <b/>
        <sz val="8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</si>
  <si>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S</t>
    </r>
    <r>
      <rPr>
        <b/>
        <sz val="8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</si>
  <si>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N</t>
    </r>
    <r>
      <rPr>
        <b/>
        <sz val="8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</si>
  <si>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K</t>
    </r>
    <r>
      <rPr>
        <b/>
        <sz val="8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</si>
  <si>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O</t>
    </r>
    <r>
      <rPr>
        <b/>
        <sz val="8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</si>
  <si>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M</t>
    </r>
    <r>
      <rPr>
        <b/>
        <sz val="8"/>
        <color theme="1"/>
        <rFont val="Calibri"/>
        <charset val="134"/>
        <scheme val="minor"/>
      </rPr>
      <t>4</t>
    </r>
  </si>
  <si>
    <r>
      <rPr>
        <b/>
        <sz val="11"/>
        <color theme="1"/>
        <rFont val="Calibri"/>
        <charset val="134"/>
        <scheme val="minor"/>
      </rPr>
      <t>MS</t>
    </r>
    <r>
      <rPr>
        <b/>
        <sz val="8"/>
        <color theme="1"/>
        <rFont val="Calibri"/>
        <charset val="134"/>
        <scheme val="minor"/>
      </rPr>
      <t>4</t>
    </r>
  </si>
  <si>
    <t>SECTION VIII</t>
  </si>
  <si>
    <t>SECTION I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</si>
  <si>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</si>
  <si>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Y</t>
    </r>
    <r>
      <rPr>
        <b/>
        <sz val="6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</si>
  <si>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</si>
  <si>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Y</t>
    </r>
    <r>
      <rPr>
        <b/>
        <sz val="6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</si>
  <si>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4</t>
    </r>
  </si>
  <si>
    <r>
      <rPr>
        <b/>
        <sz val="11"/>
        <color theme="1"/>
        <rFont val="Calibri"/>
        <charset val="134"/>
        <scheme val="minor"/>
      </rPr>
      <t>Y</t>
    </r>
    <r>
      <rPr>
        <b/>
        <sz val="6"/>
        <color theme="1"/>
        <rFont val="Calibri"/>
        <charset val="134"/>
        <scheme val="minor"/>
      </rPr>
      <t>4</t>
    </r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</si>
  <si>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O</t>
    </r>
  </si>
  <si>
    <t>suffix</t>
  </si>
  <si>
    <t>sign</t>
  </si>
  <si>
    <t>X</t>
  </si>
  <si>
    <t>Y</t>
  </si>
  <si>
    <t>SECTION V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</si>
  <si>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00</t>
    </r>
  </si>
  <si>
    <t>=</t>
  </si>
  <si>
    <t>-</t>
  </si>
  <si>
    <r>
      <rPr>
        <b/>
        <sz val="11"/>
        <color theme="1"/>
        <rFont val="Calibri"/>
        <charset val="134"/>
        <scheme val="minor"/>
      </rPr>
      <t>w and 1+W for S</t>
    </r>
    <r>
      <rPr>
        <b/>
        <sz val="8"/>
        <color theme="1"/>
        <rFont val="Calibri"/>
        <charset val="134"/>
        <scheme val="minor"/>
      </rPr>
      <t>2</t>
    </r>
    <r>
      <rPr>
        <b/>
        <sz val="11"/>
        <color theme="1"/>
        <rFont val="Calibri"/>
        <charset val="134"/>
        <scheme val="minor"/>
      </rPr>
      <t>, MS</t>
    </r>
    <r>
      <rPr>
        <b/>
        <sz val="8"/>
        <color theme="1"/>
        <rFont val="Calibri"/>
        <charset val="134"/>
        <scheme val="minor"/>
      </rPr>
      <t>4</t>
    </r>
  </si>
  <si>
    <t>JAM</t>
  </si>
  <si>
    <t>Tanggal</t>
  </si>
  <si>
    <t>+</t>
  </si>
  <si>
    <t>10</t>
  </si>
  <si>
    <t>Contribution</t>
  </si>
  <si>
    <t>USING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</si>
  <si>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10</t>
    </r>
  </si>
  <si>
    <t>VII</t>
  </si>
  <si>
    <t>: K1 :</t>
  </si>
  <si>
    <t xml:space="preserve">E </t>
  </si>
  <si>
    <t>1 AGUSTUS 2009</t>
  </si>
  <si>
    <t>Hari ke - 1</t>
  </si>
  <si>
    <t>TAB 11.A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</si>
  <si>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12</t>
    </r>
    <r>
      <rPr>
        <b/>
        <sz val="11"/>
        <color theme="1"/>
        <rFont val="Calibri"/>
        <charset val="134"/>
        <scheme val="minor"/>
      </rPr>
      <t>-Y1</t>
    </r>
    <r>
      <rPr>
        <b/>
        <sz val="8"/>
        <color theme="1"/>
        <rFont val="Calibri"/>
        <charset val="134"/>
        <scheme val="minor"/>
      </rPr>
      <t>b</t>
    </r>
  </si>
  <si>
    <t xml:space="preserve">u </t>
  </si>
  <si>
    <t>2 AGUSTUS 2009</t>
  </si>
  <si>
    <t>Hari ke - 2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</si>
  <si>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13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1c</t>
    </r>
  </si>
  <si>
    <t xml:space="preserve">sum: </t>
  </si>
  <si>
    <t xml:space="preserve">E+u </t>
  </si>
  <si>
    <t>3 AGUSTUS 2009</t>
  </si>
  <si>
    <t>Hari ke - 3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</si>
  <si>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20</t>
    </r>
  </si>
  <si>
    <t>Tab.18</t>
  </si>
  <si>
    <t>: S2 :</t>
  </si>
  <si>
    <t>w/f</t>
  </si>
  <si>
    <t>4 AGUSTUS 2009</t>
  </si>
  <si>
    <t>Hari ke - 4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</si>
  <si>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22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2b</t>
    </r>
  </si>
  <si>
    <t>W/f</t>
  </si>
  <si>
    <t>5 AGUSTUS 2009</t>
  </si>
  <si>
    <t>Hari ke - 5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</si>
  <si>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23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2c</t>
    </r>
  </si>
  <si>
    <t>Tab.13</t>
  </si>
  <si>
    <t>: K2 :</t>
  </si>
  <si>
    <t>f</t>
  </si>
  <si>
    <t>6 AGUSTUS 2009</t>
  </si>
  <si>
    <t>Hari ke - 6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</si>
  <si>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42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4b</t>
    </r>
  </si>
  <si>
    <t>w</t>
  </si>
  <si>
    <t>7 AGUSTUS 2009</t>
  </si>
  <si>
    <t>Hari ke - 7</t>
  </si>
  <si>
    <t>1b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</si>
  <si>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44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4d</t>
    </r>
  </si>
  <si>
    <t>W</t>
  </si>
  <si>
    <t>8 AGUSTUS 2009</t>
  </si>
  <si>
    <t>Hari ke - 8</t>
  </si>
  <si>
    <t>SECTION VI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</si>
  <si>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10</t>
    </r>
  </si>
  <si>
    <t>1+W</t>
  </si>
  <si>
    <t>9 AGUSTUS 2009</t>
  </si>
  <si>
    <t>Hari ke - 9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</si>
  <si>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12+</t>
    </r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1b</t>
    </r>
  </si>
  <si>
    <t>w and 1+W for K1</t>
  </si>
  <si>
    <t>10 AGUSTUS 2009</t>
  </si>
  <si>
    <t>Hari ke - 10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</si>
  <si>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13+</t>
    </r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1c</t>
    </r>
  </si>
  <si>
    <t>2E</t>
  </si>
  <si>
    <t>11 AGUSTUS 2009</t>
  </si>
  <si>
    <t>Hari ke - 11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</si>
  <si>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20</t>
    </r>
  </si>
  <si>
    <t>u</t>
  </si>
  <si>
    <t>12 AGUSTUS 2009</t>
  </si>
  <si>
    <t>Hari ke - 12</t>
  </si>
  <si>
    <t>1c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</si>
  <si>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22</t>
    </r>
    <r>
      <rPr>
        <b/>
        <sz val="11"/>
        <color theme="1"/>
        <rFont val="Calibri"/>
        <charset val="134"/>
        <scheme val="minor"/>
      </rPr>
      <t>+X</t>
    </r>
    <r>
      <rPr>
        <b/>
        <sz val="8"/>
        <color theme="1"/>
        <rFont val="Calibri"/>
        <charset val="134"/>
        <scheme val="minor"/>
      </rPr>
      <t>2b</t>
    </r>
  </si>
  <si>
    <t>2E + u</t>
  </si>
  <si>
    <t>13 AGUSTUS 2009</t>
  </si>
  <si>
    <t>Hari ke - 13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</si>
  <si>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23</t>
    </r>
    <r>
      <rPr>
        <b/>
        <sz val="11"/>
        <color theme="1"/>
        <rFont val="Calibri"/>
        <charset val="134"/>
        <scheme val="minor"/>
      </rPr>
      <t>+X</t>
    </r>
    <r>
      <rPr>
        <b/>
        <sz val="8"/>
        <color theme="1"/>
        <rFont val="Calibri"/>
        <charset val="134"/>
        <scheme val="minor"/>
      </rPr>
      <t>2c</t>
    </r>
  </si>
  <si>
    <t>wf</t>
  </si>
  <si>
    <t>14 AGUSTUS 2009</t>
  </si>
  <si>
    <t>Hari ke - 14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</si>
  <si>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42</t>
    </r>
    <r>
      <rPr>
        <b/>
        <sz val="11"/>
        <color theme="1"/>
        <rFont val="Calibri"/>
        <charset val="134"/>
        <scheme val="minor"/>
      </rPr>
      <t>+X</t>
    </r>
    <r>
      <rPr>
        <b/>
        <sz val="8"/>
        <color theme="1"/>
        <rFont val="Calibri"/>
        <charset val="134"/>
        <scheme val="minor"/>
      </rPr>
      <t>4b</t>
    </r>
  </si>
  <si>
    <t>Wf</t>
  </si>
  <si>
    <t>15 AGUSTUS 2009</t>
  </si>
  <si>
    <t>Hari ke - 15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</si>
  <si>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44+</t>
    </r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4d</t>
    </r>
  </si>
  <si>
    <t>16 AGUSTUS 2009</t>
  </si>
  <si>
    <t>Hari ke - 16</t>
  </si>
  <si>
    <t>17 AGUSTUS 2009</t>
  </si>
  <si>
    <t>Hari ke - 17</t>
  </si>
  <si>
    <t>SECTION VII</t>
  </si>
  <si>
    <t>V  : SUM = PR cos r</t>
  </si>
  <si>
    <t>18 AGUSTUS 2009</t>
  </si>
  <si>
    <t>Hari ke - 18</t>
  </si>
  <si>
    <t>VI : SUM = PR sin r</t>
  </si>
  <si>
    <t>19 AGUSTUS 2009</t>
  </si>
  <si>
    <t>Hari ke - 19</t>
  </si>
  <si>
    <t>2b</t>
  </si>
  <si>
    <t>PR</t>
  </si>
  <si>
    <t>w and 1+W for N2</t>
  </si>
  <si>
    <t>20 AGUSTUS 2009</t>
  </si>
  <si>
    <t>Hari ke - 20</t>
  </si>
  <si>
    <t>TABLE 11.A : P</t>
  </si>
  <si>
    <t>: M2 :</t>
  </si>
  <si>
    <t>3E</t>
  </si>
  <si>
    <t>21 AGUSTUS 2009</t>
  </si>
  <si>
    <t>Hari ke - 21</t>
  </si>
  <si>
    <t>TABLE 13    : f</t>
  </si>
  <si>
    <t>: N2 :</t>
  </si>
  <si>
    <t>angel</t>
  </si>
  <si>
    <t>22 AGUSTUS 2009</t>
  </si>
  <si>
    <t>Hari ke - 22</t>
  </si>
  <si>
    <t>VIII               : 1 + W</t>
  </si>
  <si>
    <t>difference (M2-N2)</t>
  </si>
  <si>
    <t>23 AGUSTUS 2009</t>
  </si>
  <si>
    <t>Hari ke - 23</t>
  </si>
  <si>
    <t>TABLE 14 : E0</t>
  </si>
  <si>
    <t>24 AGUSTUS 2009</t>
  </si>
  <si>
    <t>Hari ke - 24</t>
  </si>
  <si>
    <t>2c</t>
  </si>
  <si>
    <t>TABLE 15 : E0'</t>
  </si>
  <si>
    <t>25 AGUSTUS 2009</t>
  </si>
  <si>
    <t>Hari ke - 25</t>
  </si>
  <si>
    <t>TABLE 16 : E0"</t>
  </si>
  <si>
    <t>M2, O1, M4</t>
  </si>
  <si>
    <t>: W= 0</t>
  </si>
  <si>
    <t>; w = 0</t>
  </si>
  <si>
    <t>26 AGUSTUS 2009</t>
  </si>
  <si>
    <t>Hari ke - 26</t>
  </si>
  <si>
    <t>E0+ E0' + E0" = E</t>
  </si>
  <si>
    <t>S2</t>
  </si>
  <si>
    <t>: f=1</t>
  </si>
  <si>
    <t>; E, u = 0</t>
  </si>
  <si>
    <t>27 AGUSTUS 2009</t>
  </si>
  <si>
    <t>Hari ke - 27</t>
  </si>
  <si>
    <t>TABLE 17     :  u</t>
  </si>
  <si>
    <t>N2, MS4</t>
  </si>
  <si>
    <t>: f, u as M2</t>
  </si>
  <si>
    <t>28 AGUSTUS 2009</t>
  </si>
  <si>
    <t>Hari ke - 28</t>
  </si>
  <si>
    <t>VIII                :  w</t>
  </si>
  <si>
    <t>M4</t>
  </si>
  <si>
    <t>: f = (f of M2) x (f of M2)</t>
  </si>
  <si>
    <t>29 AGUSTUS 2009</t>
  </si>
  <si>
    <t>Hari ke - 29</t>
  </si>
  <si>
    <t>4b</t>
  </si>
  <si>
    <t>TABLE 11.A  :  p</t>
  </si>
  <si>
    <t xml:space="preserve">  E = (E of M2) x 2</t>
  </si>
  <si>
    <t>TABLE 12     : r</t>
  </si>
  <si>
    <t xml:space="preserve">  u = (u of M2) x 2</t>
  </si>
  <si>
    <t>SUM             = g</t>
  </si>
  <si>
    <t>MS4</t>
  </si>
  <si>
    <t>: E = E of M2</t>
  </si>
  <si>
    <r>
      <rPr>
        <b/>
        <sz val="11"/>
        <color theme="1"/>
        <rFont val="Calibri"/>
        <charset val="134"/>
        <scheme val="minor"/>
      </rPr>
      <t>MULTIPLE OF 360</t>
    </r>
    <r>
      <rPr>
        <b/>
        <sz val="11"/>
        <color theme="1"/>
        <rFont val="Calibri"/>
        <charset val="134"/>
      </rPr>
      <t>°</t>
    </r>
  </si>
  <si>
    <t xml:space="preserve">  u = u of M2</t>
  </si>
  <si>
    <t>S0</t>
  </si>
  <si>
    <t>K2</t>
  </si>
  <si>
    <t>: H = (H of S2) x 0.27</t>
  </si>
  <si>
    <t>4d</t>
  </si>
  <si>
    <t xml:space="preserve">H </t>
  </si>
  <si>
    <t xml:space="preserve">  g = g of S2</t>
  </si>
  <si>
    <r>
      <rPr>
        <b/>
        <sz val="11"/>
        <color theme="1"/>
        <rFont val="Calibri"/>
        <charset val="134"/>
        <scheme val="minor"/>
      </rPr>
      <t>g</t>
    </r>
    <r>
      <rPr>
        <b/>
        <sz val="11"/>
        <color theme="1"/>
        <rFont val="Calibri"/>
        <charset val="134"/>
      </rPr>
      <t>°</t>
    </r>
  </si>
  <si>
    <t>P1</t>
  </si>
  <si>
    <t>: H = (H of K1) x 0.33</t>
  </si>
  <si>
    <t xml:space="preserve">  g = g of K1</t>
  </si>
  <si>
    <t>Formzahl</t>
  </si>
  <si>
    <t>Tinggi air max</t>
  </si>
  <si>
    <t>m</t>
  </si>
  <si>
    <t>Tinggi air min</t>
  </si>
  <si>
    <t>HASIL KONSTANTA HARMONIS</t>
  </si>
  <si>
    <t>Tunggang Pasut</t>
  </si>
  <si>
    <t>Konstanta</t>
  </si>
  <si>
    <r>
      <rPr>
        <b/>
        <sz val="11"/>
        <color theme="0"/>
        <rFont val="Arial"/>
        <charset val="134"/>
      </rPr>
      <t>S</t>
    </r>
    <r>
      <rPr>
        <b/>
        <vertAlign val="subscript"/>
        <sz val="11"/>
        <color theme="0"/>
        <rFont val="Arial"/>
        <charset val="134"/>
      </rPr>
      <t>0</t>
    </r>
  </si>
  <si>
    <r>
      <rPr>
        <b/>
        <sz val="11"/>
        <color theme="0"/>
        <rFont val="Arial"/>
        <charset val="134"/>
      </rPr>
      <t>M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</si>
  <si>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S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</si>
  <si>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N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</si>
  <si>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K</t>
    </r>
    <r>
      <rPr>
        <b/>
        <vertAlign val="subscript"/>
        <sz val="11"/>
        <color theme="0"/>
        <rFont val="Arial"/>
        <charset val="134"/>
      </rPr>
      <t>1</t>
    </r>
  </si>
  <si>
    <r>
      <rPr>
        <b/>
        <sz val="11"/>
        <color theme="0"/>
        <rFont val="Arial"/>
        <charset val="134"/>
      </rPr>
      <t>O</t>
    </r>
    <r>
      <rPr>
        <b/>
        <vertAlign val="subscript"/>
        <sz val="11"/>
        <color theme="0"/>
        <rFont val="Arial"/>
        <charset val="134"/>
      </rPr>
      <t>1</t>
    </r>
  </si>
  <si>
    <r>
      <rPr>
        <b/>
        <sz val="11"/>
        <color theme="0"/>
        <rFont val="Arial"/>
        <charset val="134"/>
      </rPr>
      <t>M</t>
    </r>
    <r>
      <rPr>
        <b/>
        <vertAlign val="subscript"/>
        <sz val="11"/>
        <color theme="0"/>
        <rFont val="Arial"/>
        <charset val="134"/>
      </rPr>
      <t>4</t>
    </r>
  </si>
  <si>
    <r>
      <rPr>
        <b/>
        <sz val="11"/>
        <color theme="0"/>
        <rFont val="Arial"/>
        <charset val="134"/>
      </rPr>
      <t>MS</t>
    </r>
    <r>
      <rPr>
        <b/>
        <vertAlign val="subscript"/>
        <sz val="11"/>
        <color theme="0"/>
        <rFont val="Arial"/>
        <charset val="134"/>
      </rPr>
      <t>4</t>
    </r>
  </si>
  <si>
    <r>
      <rPr>
        <b/>
        <sz val="11"/>
        <color theme="0"/>
        <rFont val="Arial"/>
        <charset val="134"/>
      </rPr>
      <t>K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</si>
  <si>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P</t>
    </r>
    <r>
      <rPr>
        <b/>
        <vertAlign val="subscript"/>
        <sz val="11"/>
        <color theme="0"/>
        <rFont val="Arial"/>
        <charset val="134"/>
      </rPr>
      <t>1</t>
    </r>
  </si>
  <si>
    <t>A  Cm</t>
  </si>
  <si>
    <t>g °</t>
  </si>
  <si>
    <t>Dimana Nilai Formzahl dan Tipe Pasutnya adalah;</t>
  </si>
  <si>
    <r>
      <rPr>
        <b/>
        <u/>
        <sz val="11"/>
        <color theme="1"/>
        <rFont val="Arial"/>
        <charset val="134"/>
      </rPr>
      <t>=</t>
    </r>
    <r>
      <rPr>
        <u/>
        <sz val="11"/>
        <color theme="1"/>
        <rFont val="Arial"/>
        <charset val="134"/>
      </rPr>
      <t xml:space="preserve"> Harian Ganda  0 &lt; F &lt;= 0.25</t>
    </r>
  </si>
  <si>
    <r>
      <rPr>
        <b/>
        <u/>
        <sz val="11"/>
        <color theme="1"/>
        <rFont val="Arial"/>
        <charset val="134"/>
      </rPr>
      <t xml:space="preserve">= </t>
    </r>
    <r>
      <rPr>
        <u/>
        <sz val="11"/>
        <color theme="1"/>
        <rFont val="Arial"/>
        <charset val="134"/>
      </rPr>
      <t>Campuran Condong Harian Ganda   0.25 &lt; F &lt;= 1.5</t>
    </r>
  </si>
  <si>
    <r>
      <rPr>
        <b/>
        <u/>
        <sz val="11"/>
        <color theme="1"/>
        <rFont val="Arial"/>
        <charset val="134"/>
      </rPr>
      <t>=</t>
    </r>
    <r>
      <rPr>
        <u/>
        <sz val="11"/>
        <color theme="1"/>
        <rFont val="Arial"/>
        <charset val="134"/>
      </rPr>
      <t xml:space="preserve"> Campuran Condong Harian tunggal   1.5 &lt; F &lt;= 3.0</t>
    </r>
  </si>
  <si>
    <r>
      <rPr>
        <b/>
        <u/>
        <sz val="11"/>
        <color theme="1"/>
        <rFont val="Arial"/>
        <charset val="134"/>
      </rPr>
      <t>=</t>
    </r>
    <r>
      <rPr>
        <u/>
        <sz val="11"/>
        <color theme="1"/>
        <rFont val="Arial"/>
        <charset val="134"/>
      </rPr>
      <t xml:space="preserve"> Harian Tunggal   F &gt; 3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</si>
</sst>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0.000"/>
    <numFmt numFmtId="181" formatCode="#,##0.000"/>
    <numFmt numFmtId="182" formatCode="0.0"/>
    <numFmt numFmtId="183" formatCode="0.0000000"/>
    <numFmt numFmtId="184" formatCode="0.00000000"/>
  </numFmts>
  <fonts count="4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name val="Times New Roman"/>
      <charset val="134"/>
    </font>
    <font>
      <b/>
      <sz val="18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name val="Arial"/>
      <charset val="134"/>
    </font>
    <font>
      <b/>
      <u/>
      <sz val="11"/>
      <color theme="1"/>
      <name val="Arial"/>
      <charset val="134"/>
    </font>
    <font>
      <i/>
      <u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0"/>
      <name val="Arial"/>
      <charset val="134"/>
    </font>
    <font>
      <b/>
      <i/>
      <u/>
      <sz val="11"/>
      <color theme="1"/>
      <name val="Arial"/>
      <charset val="134"/>
    </font>
    <font>
      <u/>
      <sz val="11"/>
      <color theme="1"/>
      <name val="Arial"/>
      <charset val="134"/>
    </font>
    <font>
      <b/>
      <i/>
      <u/>
      <sz val="11"/>
      <color rgb="FF0000FF"/>
      <name val="Arial"/>
      <charset val="134"/>
    </font>
    <font>
      <b/>
      <sz val="11"/>
      <color theme="0"/>
      <name val="Calibri"/>
      <charset val="134"/>
      <scheme val="minor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color theme="1"/>
      <name val="Calibri"/>
      <charset val="134"/>
      <scheme val="minor"/>
    </font>
    <font>
      <b/>
      <vertAlign val="subscript"/>
      <sz val="11"/>
      <color theme="0"/>
      <name val="Arial"/>
      <charset val="134"/>
    </font>
    <font>
      <b/>
      <sz val="6"/>
      <color theme="1"/>
      <name val="Calibri"/>
      <charset val="134"/>
      <scheme val="minor"/>
    </font>
    <font>
      <b/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5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53" applyNumberFormat="0" applyAlignment="0" applyProtection="0">
      <alignment vertical="center"/>
    </xf>
    <xf numFmtId="0" fontId="27" fillId="7" borderId="54" applyNumberFormat="0" applyAlignment="0" applyProtection="0">
      <alignment vertical="center"/>
    </xf>
    <xf numFmtId="0" fontId="28" fillId="7" borderId="53" applyNumberFormat="0" applyAlignment="0" applyProtection="0">
      <alignment vertical="center"/>
    </xf>
    <xf numFmtId="0" fontId="29" fillId="8" borderId="55" applyNumberFormat="0" applyAlignment="0" applyProtection="0">
      <alignment vertical="center"/>
    </xf>
    <xf numFmtId="0" fontId="30" fillId="0" borderId="56" applyNumberFormat="0" applyFill="0" applyAlignment="0" applyProtection="0">
      <alignment vertical="center"/>
    </xf>
    <xf numFmtId="0" fontId="31" fillId="0" borderId="57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</cellStyleXfs>
  <cellXfs count="1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80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58" fontId="0" fillId="0" borderId="8" xfId="0" applyNumberFormat="1" applyBorder="1" applyAlignment="1">
      <alignment horizontal="right"/>
    </xf>
    <xf numFmtId="180" fontId="0" fillId="0" borderId="9" xfId="0" applyNumberFormat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1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58" fontId="0" fillId="2" borderId="8" xfId="0" applyNumberFormat="1" applyFill="1" applyBorder="1" applyAlignment="1">
      <alignment horizontal="right"/>
    </xf>
    <xf numFmtId="180" fontId="0" fillId="2" borderId="1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58" fontId="0" fillId="0" borderId="12" xfId="0" applyNumberFormat="1" applyBorder="1" applyAlignment="1">
      <alignment horizontal="right"/>
    </xf>
    <xf numFmtId="180" fontId="0" fillId="0" borderId="13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0" fontId="4" fillId="0" borderId="0" xfId="0" applyFont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80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180" fontId="1" fillId="0" borderId="22" xfId="0" applyNumberFormat="1" applyFont="1" applyBorder="1" applyAlignment="1">
      <alignment horizontal="center" vertical="center"/>
    </xf>
    <xf numFmtId="180" fontId="1" fillId="0" borderId="23" xfId="0" applyNumberFormat="1" applyFont="1" applyBorder="1" applyAlignment="1">
      <alignment horizontal="center" vertical="center"/>
    </xf>
    <xf numFmtId="180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180" fontId="0" fillId="2" borderId="24" xfId="0" applyNumberFormat="1" applyFill="1" applyBorder="1" applyAlignment="1">
      <alignment horizontal="center" vertical="center"/>
    </xf>
    <xf numFmtId="180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180" fontId="1" fillId="0" borderId="0" xfId="0" applyNumberFormat="1" applyFont="1"/>
    <xf numFmtId="180" fontId="5" fillId="0" borderId="0" xfId="0" applyNumberFormat="1" applyFont="1" applyAlignment="1">
      <alignment horizontal="center" vertical="center"/>
    </xf>
    <xf numFmtId="180" fontId="5" fillId="0" borderId="0" xfId="0" applyNumberFormat="1" applyFont="1"/>
    <xf numFmtId="49" fontId="1" fillId="0" borderId="5" xfId="0" applyNumberFormat="1" applyFont="1" applyBorder="1" applyAlignment="1">
      <alignment horizontal="center"/>
    </xf>
    <xf numFmtId="180" fontId="1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180" fontId="0" fillId="0" borderId="0" xfId="0" applyNumberFormat="1"/>
    <xf numFmtId="0" fontId="1" fillId="0" borderId="5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80" fontId="1" fillId="0" borderId="15" xfId="0" applyNumberFormat="1" applyFont="1" applyBorder="1" applyAlignment="1">
      <alignment horizontal="center" vertical="center"/>
    </xf>
    <xf numFmtId="180" fontId="1" fillId="0" borderId="19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180" fontId="1" fillId="0" borderId="28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5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center"/>
    </xf>
    <xf numFmtId="180" fontId="1" fillId="0" borderId="31" xfId="0" applyNumberFormat="1" applyFont="1" applyBorder="1" applyAlignment="1">
      <alignment horizontal="center"/>
    </xf>
    <xf numFmtId="180" fontId="1" fillId="0" borderId="29" xfId="0" applyNumberFormat="1" applyFont="1" applyBorder="1" applyAlignment="1">
      <alignment horizontal="center"/>
    </xf>
    <xf numFmtId="180" fontId="1" fillId="0" borderId="30" xfId="0" applyNumberFormat="1" applyFont="1" applyBorder="1" applyAlignment="1">
      <alignment horizontal="center"/>
    </xf>
    <xf numFmtId="0" fontId="1" fillId="0" borderId="28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180" fontId="1" fillId="0" borderId="33" xfId="0" applyNumberFormat="1" applyFont="1" applyBorder="1" applyAlignment="1">
      <alignment horizontal="center"/>
    </xf>
    <xf numFmtId="180" fontId="1" fillId="0" borderId="32" xfId="0" applyNumberFormat="1" applyFont="1" applyBorder="1" applyAlignment="1">
      <alignment horizontal="center"/>
    </xf>
    <xf numFmtId="180" fontId="1" fillId="0" borderId="0" xfId="0" applyNumberFormat="1" applyFont="1" applyAlignment="1">
      <alignment horizontal="center"/>
    </xf>
    <xf numFmtId="0" fontId="1" fillId="0" borderId="28" xfId="0" applyFont="1" applyBorder="1"/>
    <xf numFmtId="0" fontId="1" fillId="0" borderId="32" xfId="0" applyFont="1" applyBorder="1"/>
    <xf numFmtId="0" fontId="1" fillId="0" borderId="19" xfId="0" applyFont="1" applyBorder="1"/>
    <xf numFmtId="0" fontId="1" fillId="0" borderId="34" xfId="0" applyFont="1" applyBorder="1"/>
    <xf numFmtId="0" fontId="1" fillId="0" borderId="35" xfId="0" applyFont="1" applyBorder="1" applyAlignment="1">
      <alignment horizontal="center"/>
    </xf>
    <xf numFmtId="180" fontId="1" fillId="0" borderId="36" xfId="0" applyNumberFormat="1" applyFont="1" applyBorder="1" applyAlignment="1">
      <alignment horizontal="center"/>
    </xf>
    <xf numFmtId="180" fontId="1" fillId="0" borderId="34" xfId="0" applyNumberFormat="1" applyFont="1" applyBorder="1" applyAlignment="1">
      <alignment horizontal="center"/>
    </xf>
    <xf numFmtId="180" fontId="1" fillId="0" borderId="35" xfId="0" applyNumberFormat="1" applyFont="1" applyBorder="1" applyAlignment="1">
      <alignment horizontal="center"/>
    </xf>
    <xf numFmtId="180" fontId="6" fillId="0" borderId="33" xfId="0" applyNumberFormat="1" applyFont="1" applyBorder="1" applyAlignment="1">
      <alignment horizontal="center"/>
    </xf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3" xfId="0" applyFont="1" applyBorder="1"/>
    <xf numFmtId="1" fontId="1" fillId="0" borderId="28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right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right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/>
    </xf>
    <xf numFmtId="180" fontId="1" fillId="0" borderId="37" xfId="0" applyNumberFormat="1" applyFont="1" applyBorder="1" applyAlignment="1">
      <alignment horizontal="center" vertical="center"/>
    </xf>
    <xf numFmtId="180" fontId="1" fillId="0" borderId="38" xfId="0" applyNumberFormat="1" applyFont="1" applyBorder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0" fontId="7" fillId="0" borderId="0" xfId="0" applyFont="1"/>
    <xf numFmtId="180" fontId="7" fillId="0" borderId="0" xfId="0" applyNumberFormat="1" applyFont="1" applyAlignment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180" fontId="1" fillId="3" borderId="28" xfId="0" applyNumberFormat="1" applyFont="1" applyFill="1" applyBorder="1" applyAlignment="1">
      <alignment horizontal="center" vertical="center"/>
    </xf>
    <xf numFmtId="0" fontId="1" fillId="2" borderId="29" xfId="0" applyFont="1" applyFill="1" applyBorder="1"/>
    <xf numFmtId="0" fontId="1" fillId="2" borderId="30" xfId="0" applyFont="1" applyFill="1" applyBorder="1"/>
    <xf numFmtId="0" fontId="1" fillId="2" borderId="32" xfId="0" applyFont="1" applyFill="1" applyBorder="1"/>
    <xf numFmtId="0" fontId="1" fillId="2" borderId="0" xfId="0" applyFont="1" applyFill="1"/>
    <xf numFmtId="0" fontId="1" fillId="2" borderId="34" xfId="0" applyFont="1" applyFill="1" applyBorder="1"/>
    <xf numFmtId="0" fontId="1" fillId="2" borderId="35" xfId="0" applyFont="1" applyFill="1" applyBorder="1"/>
    <xf numFmtId="0" fontId="8" fillId="0" borderId="0" xfId="0" applyFont="1" applyAlignment="1" applyProtection="1">
      <alignment horizontal="center" vertical="center"/>
      <protection locked="0"/>
    </xf>
    <xf numFmtId="181" fontId="8" fillId="0" borderId="0" xfId="0" applyNumberFormat="1" applyFont="1" applyAlignment="1">
      <alignment horizontal="right" vertical="center"/>
    </xf>
    <xf numFmtId="0" fontId="9" fillId="0" borderId="0" xfId="0" applyFont="1" applyAlignment="1" applyProtection="1">
      <alignment horizontal="left" vertical="center"/>
      <protection hidden="1"/>
    </xf>
    <xf numFmtId="0" fontId="10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181" fontId="8" fillId="0" borderId="0" xfId="0" applyNumberFormat="1" applyFont="1" applyAlignment="1" applyProtection="1">
      <alignment horizontal="right" vertical="center"/>
      <protection locked="0"/>
    </xf>
    <xf numFmtId="0" fontId="12" fillId="4" borderId="39" xfId="0" applyFont="1" applyFill="1" applyBorder="1" applyAlignment="1" applyProtection="1">
      <alignment horizontal="center" vertical="center"/>
      <protection hidden="1"/>
    </xf>
    <xf numFmtId="0" fontId="12" fillId="4" borderId="40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41" xfId="0" applyFont="1" applyFill="1" applyBorder="1" applyAlignment="1" applyProtection="1">
      <alignment horizontal="center" vertical="center"/>
      <protection hidden="1"/>
    </xf>
    <xf numFmtId="0" fontId="11" fillId="3" borderId="12" xfId="0" applyFont="1" applyFill="1" applyBorder="1" applyAlignment="1" applyProtection="1">
      <alignment horizontal="center" vertical="center"/>
      <protection hidden="1"/>
    </xf>
    <xf numFmtId="0" fontId="11" fillId="3" borderId="42" xfId="0" applyFont="1" applyFill="1" applyBorder="1" applyAlignment="1" applyProtection="1">
      <alignment horizontal="center" vertical="center"/>
      <protection hidden="1"/>
    </xf>
    <xf numFmtId="182" fontId="13" fillId="0" borderId="0" xfId="0" applyNumberFormat="1" applyFont="1" applyAlignment="1">
      <alignment horizontal="center" vertical="center"/>
    </xf>
    <xf numFmtId="0" fontId="14" fillId="0" borderId="0" xfId="0" applyFont="1" applyAlignment="1" applyProtection="1">
      <alignment horizontal="left" vertical="center"/>
      <protection hidden="1"/>
    </xf>
    <xf numFmtId="180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" fillId="0" borderId="31" xfId="0" applyFont="1" applyBorder="1" applyAlignment="1">
      <alignment horizontal="left"/>
    </xf>
    <xf numFmtId="183" fontId="1" fillId="0" borderId="0" xfId="0" applyNumberFormat="1" applyFont="1" applyAlignment="1">
      <alignment horizontal="right"/>
    </xf>
    <xf numFmtId="0" fontId="1" fillId="0" borderId="33" xfId="0" applyFont="1" applyBorder="1" applyAlignment="1">
      <alignment horizontal="left"/>
    </xf>
    <xf numFmtId="183" fontId="1" fillId="0" borderId="35" xfId="0" applyNumberFormat="1" applyFont="1" applyBorder="1" applyAlignment="1">
      <alignment horizontal="right"/>
    </xf>
    <xf numFmtId="0" fontId="1" fillId="0" borderId="36" xfId="0" applyFont="1" applyBorder="1" applyAlignment="1">
      <alignment horizontal="left"/>
    </xf>
    <xf numFmtId="184" fontId="1" fillId="0" borderId="33" xfId="0" applyNumberFormat="1" applyFont="1" applyBorder="1" applyAlignment="1">
      <alignment horizontal="right" vertical="center"/>
    </xf>
    <xf numFmtId="184" fontId="1" fillId="0" borderId="33" xfId="0" applyNumberFormat="1" applyFont="1" applyBorder="1" applyAlignment="1">
      <alignment horizontal="right"/>
    </xf>
    <xf numFmtId="184" fontId="1" fillId="0" borderId="36" xfId="0" applyNumberFormat="1" applyFont="1" applyBorder="1" applyAlignment="1">
      <alignment horizontal="right" vertical="center"/>
    </xf>
    <xf numFmtId="180" fontId="1" fillId="0" borderId="33" xfId="0" applyNumberFormat="1" applyFont="1" applyBorder="1" applyAlignment="1">
      <alignment horizontal="right"/>
    </xf>
    <xf numFmtId="0" fontId="16" fillId="0" borderId="0" xfId="0" applyFont="1"/>
    <xf numFmtId="180" fontId="1" fillId="0" borderId="33" xfId="0" applyNumberFormat="1" applyFont="1" applyBorder="1" applyAlignment="1">
      <alignment horizontal="right" vertical="center"/>
    </xf>
    <xf numFmtId="0" fontId="1" fillId="2" borderId="31" xfId="0" applyFont="1" applyFill="1" applyBorder="1"/>
    <xf numFmtId="0" fontId="1" fillId="2" borderId="33" xfId="0" applyFont="1" applyFill="1" applyBorder="1"/>
    <xf numFmtId="180" fontId="1" fillId="2" borderId="33" xfId="0" applyNumberFormat="1" applyFont="1" applyFill="1" applyBorder="1"/>
    <xf numFmtId="180" fontId="1" fillId="2" borderId="36" xfId="0" applyNumberFormat="1" applyFont="1" applyFill="1" applyBorder="1"/>
    <xf numFmtId="0" fontId="6" fillId="0" borderId="0" xfId="0" applyFont="1"/>
    <xf numFmtId="0" fontId="17" fillId="0" borderId="0" xfId="0" applyFont="1"/>
    <xf numFmtId="0" fontId="17" fillId="0" borderId="0" xfId="0" applyFont="1" applyProtection="1">
      <protection hidden="1"/>
    </xf>
    <xf numFmtId="0" fontId="12" fillId="4" borderId="43" xfId="0" applyFont="1" applyFill="1" applyBorder="1" applyAlignment="1" applyProtection="1">
      <alignment horizontal="center" vertical="center"/>
      <protection hidden="1"/>
    </xf>
    <xf numFmtId="0" fontId="12" fillId="4" borderId="44" xfId="0" applyFont="1" applyFill="1" applyBorder="1" applyAlignment="1" applyProtection="1">
      <alignment horizontal="center" vertical="center"/>
      <protection hidden="1"/>
    </xf>
    <xf numFmtId="180" fontId="11" fillId="3" borderId="45" xfId="0" applyNumberFormat="1" applyFont="1" applyFill="1" applyBorder="1" applyAlignment="1" applyProtection="1">
      <alignment horizontal="center" vertical="center"/>
      <protection hidden="1"/>
    </xf>
    <xf numFmtId="180" fontId="11" fillId="3" borderId="4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2" fillId="4" borderId="47" xfId="0" applyFont="1" applyFill="1" applyBorder="1" applyAlignment="1" applyProtection="1">
      <alignment horizontal="center" vertical="center"/>
      <protection hidden="1"/>
    </xf>
    <xf numFmtId="180" fontId="11" fillId="3" borderId="48" xfId="0" applyNumberFormat="1" applyFont="1" applyFill="1" applyBorder="1" applyAlignment="1" applyProtection="1">
      <alignment horizontal="center" vertical="center"/>
      <protection hidden="1"/>
    </xf>
    <xf numFmtId="180" fontId="11" fillId="3" borderId="49" xfId="0" applyNumberFormat="1" applyFont="1" applyFill="1" applyBorder="1" applyAlignment="1" applyProtection="1">
      <alignment horizontal="center" vertical="center"/>
      <protection hidden="1"/>
    </xf>
    <xf numFmtId="180" fontId="11" fillId="3" borderId="14" xfId="0" applyNumberFormat="1" applyFont="1" applyFill="1" applyBorder="1" applyAlignment="1" applyProtection="1">
      <alignment horizontal="center" vertical="center"/>
      <protection hidden="1"/>
    </xf>
    <xf numFmtId="180" fontId="11" fillId="3" borderId="26" xfId="0" applyNumberFormat="1" applyFont="1" applyFill="1" applyBorder="1" applyAlignment="1" applyProtection="1">
      <alignment horizontal="center" vertical="center"/>
      <protection hidden="1"/>
    </xf>
    <xf numFmtId="180" fontId="4" fillId="0" borderId="0" xfId="0" applyNumberFormat="1" applyFont="1"/>
    <xf numFmtId="0" fontId="11" fillId="3" borderId="12" xfId="0" applyFont="1" applyFill="1" applyBorder="1" applyAlignment="1" applyProtection="1" quotePrefix="1">
      <alignment horizontal="center" vertical="center"/>
      <protection hidden="1"/>
    </xf>
    <xf numFmtId="0" fontId="14" fillId="0" borderId="0" xfId="0" applyFont="1" applyAlignment="1" applyProtection="1" quotePrefix="1">
      <alignment horizontal="left" vertical="center"/>
      <protection hidden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Grafik Elevasi Muka Air Laut di Bitung</a:t>
            </a:r>
            <a:r>
              <a:rPr lang="en-US" sz="3200" baseline="0"/>
              <a:t> pada Agustus</a:t>
            </a:r>
            <a:r>
              <a:rPr lang="en-US" sz="3200"/>
              <a:t> 2009</a:t>
            </a:r>
            <a:endParaRPr lang="en-US" sz="3200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'Langkah Perhitungan'!$B$12</c:f>
              <c:strCache>
                <c:ptCount val="1"/>
                <c:pt idx="0">
                  <c:v>1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Perhitungan'!$C$12:$Z$12</c:f>
              <c:numCache>
                <c:formatCode>0.000</c:formatCode>
                <c:ptCount val="24"/>
                <c:pt idx="0">
                  <c:v>0.690991237694111</c:v>
                </c:pt>
                <c:pt idx="1">
                  <c:v>0.85215165906692</c:v>
                </c:pt>
                <c:pt idx="2">
                  <c:v>1.04710076510651</c:v>
                </c:pt>
                <c:pt idx="3">
                  <c:v>1.2786308708553</c:v>
                </c:pt>
                <c:pt idx="4">
                  <c:v>1.51056092162095</c:v>
                </c:pt>
                <c:pt idx="5">
                  <c:v>1.6870749372207</c:v>
                </c:pt>
                <c:pt idx="6">
                  <c:v>1.76332071129657</c:v>
                </c:pt>
                <c:pt idx="7">
                  <c:v>1.72624095853627</c:v>
                </c:pt>
                <c:pt idx="8">
                  <c:v>1.59584753703934</c:v>
                </c:pt>
                <c:pt idx="9">
                  <c:v>1.41205921788081</c:v>
                </c:pt>
                <c:pt idx="10">
                  <c:v>1.21865276613838</c:v>
                </c:pt>
                <c:pt idx="11">
                  <c:v>1.05203963559725</c:v>
                </c:pt>
                <c:pt idx="12">
                  <c:v>0.935555083920609</c:v>
                </c:pt>
                <c:pt idx="13">
                  <c:v>0.876911140666748</c:v>
                </c:pt>
                <c:pt idx="14">
                  <c:v>0.86817543343338</c:v>
                </c:pt>
                <c:pt idx="15">
                  <c:v>0.889637976371112</c:v>
                </c:pt>
                <c:pt idx="16">
                  <c:v>0.917665754011881</c:v>
                </c:pt>
                <c:pt idx="17">
                  <c:v>0.933400440622797</c:v>
                </c:pt>
                <c:pt idx="18">
                  <c:v>0.927956951115735</c:v>
                </c:pt>
                <c:pt idx="19">
                  <c:v>0.902359533419269</c:v>
                </c:pt>
                <c:pt idx="20">
                  <c:v>0.864288374982054</c:v>
                </c:pt>
                <c:pt idx="21">
                  <c:v>0.825076684964618</c:v>
                </c:pt>
                <c:pt idx="22">
                  <c:v>0.798399155698831</c:v>
                </c:pt>
                <c:pt idx="23">
                  <c:v>0.799239114975478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'Langkah Perhitungan'!$B$13</c:f>
              <c:strCache>
                <c:ptCount val="1"/>
                <c:pt idx="0">
                  <c:v>2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Perhitungan'!$C$13:$Z$13</c:f>
              <c:numCache>
                <c:formatCode>0.000</c:formatCode>
                <c:ptCount val="24"/>
                <c:pt idx="0">
                  <c:v>0.840985690243985</c:v>
                </c:pt>
                <c:pt idx="1">
                  <c:v>0.930389104938793</c:v>
                </c:pt>
                <c:pt idx="2">
                  <c:v>1.0626294842648</c:v>
                </c:pt>
                <c:pt idx="3">
                  <c:v>1.21976151426026</c:v>
                </c:pt>
                <c:pt idx="4">
                  <c:v>1.3745307691732</c:v>
                </c:pt>
                <c:pt idx="5">
                  <c:v>1.49871189630795</c:v>
                </c:pt>
                <c:pt idx="6">
                  <c:v>1.57234301514616</c:v>
                </c:pt>
                <c:pt idx="7">
                  <c:v>1.58938850717825</c:v>
                </c:pt>
                <c:pt idx="8">
                  <c:v>1.55724969544542</c:v>
                </c:pt>
                <c:pt idx="9">
                  <c:v>1.49105071033653</c:v>
                </c:pt>
                <c:pt idx="10">
                  <c:v>1.40643113215537</c:v>
                </c:pt>
                <c:pt idx="11">
                  <c:v>1.31479929331611</c:v>
                </c:pt>
                <c:pt idx="12">
                  <c:v>1.22258276648172</c:v>
                </c:pt>
                <c:pt idx="13">
                  <c:v>1.13294280155747</c:v>
                </c:pt>
                <c:pt idx="14">
                  <c:v>1.04732013098779</c:v>
                </c:pt>
                <c:pt idx="15">
                  <c:v>0.96588264089872</c:v>
                </c:pt>
                <c:pt idx="16">
                  <c:v>0.888305077376475</c:v>
                </c:pt>
                <c:pt idx="17">
                  <c:v>0.816236780085</c:v>
                </c:pt>
                <c:pt idx="18">
                  <c:v>0.756064029358673</c:v>
                </c:pt>
                <c:pt idx="19">
                  <c:v>0.718633799900706</c:v>
                </c:pt>
                <c:pt idx="20">
                  <c:v>0.714564842007606</c:v>
                </c:pt>
                <c:pt idx="21">
                  <c:v>0.748042909621148</c:v>
                </c:pt>
                <c:pt idx="22">
                  <c:v>0.81388539694573</c:v>
                </c:pt>
                <c:pt idx="23">
                  <c:v>0.900010276520238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'Langkah Perhitungan'!$B$14</c:f>
              <c:strCache>
                <c:ptCount val="1"/>
                <c:pt idx="0">
                  <c:v>3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Perhitungan'!$C$14:$Z$14</c:f>
              <c:numCache>
                <c:formatCode>0.000</c:formatCode>
                <c:ptCount val="24"/>
                <c:pt idx="0">
                  <c:v>0.993025378060955</c:v>
                </c:pt>
                <c:pt idx="1">
                  <c:v>1.08271940245761</c:v>
                </c:pt>
                <c:pt idx="2">
                  <c:v>1.16307211016943</c:v>
                </c:pt>
                <c:pt idx="3">
                  <c:v>1.23075007143462</c:v>
                </c:pt>
                <c:pt idx="4">
                  <c:v>1.28384932333957</c:v>
                </c:pt>
                <c:pt idx="5">
                  <c:v>1.32260160770077</c:v>
                </c:pt>
                <c:pt idx="6">
                  <c:v>1.3510457899009</c:v>
                </c:pt>
                <c:pt idx="7">
                  <c:v>1.37688345666664</c:v>
                </c:pt>
                <c:pt idx="8">
                  <c:v>1.40777579624747</c:v>
                </c:pt>
                <c:pt idx="9">
                  <c:v>1.44548849766228</c:v>
                </c:pt>
                <c:pt idx="10">
                  <c:v>1.48171957086974</c:v>
                </c:pt>
                <c:pt idx="11">
                  <c:v>1.49893243247664</c:v>
                </c:pt>
                <c:pt idx="12">
                  <c:v>1.47651182409465</c:v>
                </c:pt>
                <c:pt idx="13">
                  <c:v>1.39944292956116</c:v>
                </c:pt>
                <c:pt idx="14">
                  <c:v>1.26550057742176</c:v>
                </c:pt>
                <c:pt idx="15">
                  <c:v>1.08794639991276</c:v>
                </c:pt>
                <c:pt idx="16">
                  <c:v>0.89297175527153</c:v>
                </c:pt>
                <c:pt idx="17">
                  <c:v>0.713269742753746</c:v>
                </c:pt>
                <c:pt idx="18">
                  <c:v>0.580209266113897</c:v>
                </c:pt>
                <c:pt idx="19">
                  <c:v>0.516890256333632</c:v>
                </c:pt>
                <c:pt idx="20">
                  <c:v>0.533404495533625</c:v>
                </c:pt>
                <c:pt idx="21">
                  <c:v>0.624718650360146</c:v>
                </c:pt>
                <c:pt idx="22">
                  <c:v>0.771243304224508</c:v>
                </c:pt>
                <c:pt idx="23">
                  <c:v>0.942278138664576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'Langkah Perhitungan'!$B$15</c:f>
              <c:strCache>
                <c:ptCount val="1"/>
                <c:pt idx="0">
                  <c:v>4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Perhitungan'!$C$15:$Z$15</c:f>
              <c:numCache>
                <c:formatCode>0.000</c:formatCode>
                <c:ptCount val="24"/>
                <c:pt idx="0">
                  <c:v>1.10249835277192</c:v>
                </c:pt>
                <c:pt idx="1">
                  <c:v>1.22074730952018</c:v>
                </c:pt>
                <c:pt idx="2">
                  <c:v>1.27876143921444</c:v>
                </c:pt>
                <c:pt idx="3">
                  <c:v>1.27647529509696</c:v>
                </c:pt>
                <c:pt idx="4">
                  <c:v>1.23158991995553</c:v>
                </c:pt>
                <c:pt idx="5">
                  <c:v>1.17364955419941</c:v>
                </c:pt>
                <c:pt idx="6">
                  <c:v>1.13498842749149</c:v>
                </c:pt>
                <c:pt idx="7">
                  <c:v>1.14138913200662</c:v>
                </c:pt>
                <c:pt idx="8">
                  <c:v>1.20470357586853</c:v>
                </c:pt>
                <c:pt idx="9">
                  <c:v>1.31896199269819</c:v>
                </c:pt>
                <c:pt idx="10">
                  <c:v>1.46075487081352</c:v>
                </c:pt>
                <c:pt idx="11">
                  <c:v>1.59380924714962</c:v>
                </c:pt>
                <c:pt idx="12">
                  <c:v>1.67698212621886</c:v>
                </c:pt>
                <c:pt idx="13">
                  <c:v>1.67446493569453</c:v>
                </c:pt>
                <c:pt idx="14">
                  <c:v>1.56640724440029</c:v>
                </c:pt>
                <c:pt idx="15">
                  <c:v>1.35725163086607</c:v>
                </c:pt>
                <c:pt idx="16">
                  <c:v>1.07849872775849</c:v>
                </c:pt>
                <c:pt idx="17">
                  <c:v>0.783420779156747</c:v>
                </c:pt>
                <c:pt idx="18">
                  <c:v>0.533899458411757</c:v>
                </c:pt>
                <c:pt idx="19">
                  <c:v>0.383268223690518</c:v>
                </c:pt>
                <c:pt idx="20">
                  <c:v>0.361505776504615</c:v>
                </c:pt>
                <c:pt idx="21">
                  <c:v>0.468097902990513</c:v>
                </c:pt>
                <c:pt idx="22">
                  <c:v>0.673777864573109</c:v>
                </c:pt>
                <c:pt idx="23">
                  <c:v>0.928609035978886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'Langkah Perhitungan'!$B$16</c:f>
              <c:strCache>
                <c:ptCount val="1"/>
                <c:pt idx="0">
                  <c:v>5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Perhitungan'!$C$16:$Z$16</c:f>
              <c:numCache>
                <c:formatCode>0.000</c:formatCode>
                <c:ptCount val="24"/>
                <c:pt idx="0">
                  <c:v>1.17334668004108</c:v>
                </c:pt>
                <c:pt idx="1">
                  <c:v>1.35259445585532</c:v>
                </c:pt>
                <c:pt idx="2">
                  <c:v>1.42853890988156</c:v>
                </c:pt>
                <c:pt idx="3">
                  <c:v>1.39203651210787</c:v>
                </c:pt>
                <c:pt idx="4">
                  <c:v>1.26637837045239</c:v>
                </c:pt>
                <c:pt idx="5">
                  <c:v>1.10098756778915</c:v>
                </c:pt>
                <c:pt idx="6">
                  <c:v>0.956709178116548</c:v>
                </c:pt>
                <c:pt idx="7">
                  <c:v>0.887788652734905</c:v>
                </c:pt>
                <c:pt idx="8">
                  <c:v>0.926166711264217</c:v>
                </c:pt>
                <c:pt idx="9">
                  <c:v>1.07230890134353</c:v>
                </c:pt>
                <c:pt idx="10">
                  <c:v>1.29485643495836</c:v>
                </c:pt>
                <c:pt idx="11">
                  <c:v>1.53895719118512</c:v>
                </c:pt>
                <c:pt idx="12">
                  <c:v>1.74028424032543</c:v>
                </c:pt>
                <c:pt idx="13">
                  <c:v>1.84017646247664</c:v>
                </c:pt>
                <c:pt idx="14">
                  <c:v>1.79859126497467</c:v>
                </c:pt>
                <c:pt idx="15">
                  <c:v>1.60415495058825</c:v>
                </c:pt>
                <c:pt idx="16">
                  <c:v>1.28096907473542</c:v>
                </c:pt>
                <c:pt idx="17">
                  <c:v>0.889090332307729</c:v>
                </c:pt>
                <c:pt idx="18">
                  <c:v>0.513878685764042</c:v>
                </c:pt>
                <c:pt idx="19">
                  <c:v>0.243399848706213</c:v>
                </c:pt>
                <c:pt idx="20">
                  <c:v>0.141270842769407</c:v>
                </c:pt>
                <c:pt idx="21">
                  <c:v>0.22710777640921</c:v>
                </c:pt>
                <c:pt idx="22">
                  <c:v>0.472669797877247</c:v>
                </c:pt>
                <c:pt idx="23">
                  <c:v>0.8125025128486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'Langkah Perhitungan'!$B$17</c:f>
              <c:strCache>
                <c:ptCount val="1"/>
                <c:pt idx="0">
                  <c:v>6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Perhitungan'!$C$17:$Z$17</c:f>
              <c:numCache>
                <c:formatCode>0.000</c:formatCode>
                <c:ptCount val="24"/>
                <c:pt idx="0">
                  <c:v>1.16203422446185</c:v>
                </c:pt>
                <c:pt idx="1">
                  <c:v>1.43731050042569</c:v>
                </c:pt>
                <c:pt idx="2">
                  <c:v>1.57417631378116</c:v>
                </c:pt>
                <c:pt idx="3">
                  <c:v>1.54489106095449</c:v>
                </c:pt>
                <c:pt idx="4">
                  <c:v>1.36740447631802</c:v>
                </c:pt>
                <c:pt idx="5">
                  <c:v>1.10202431721122</c:v>
                </c:pt>
                <c:pt idx="6">
                  <c:v>0.834546512876894</c:v>
                </c:pt>
                <c:pt idx="7">
                  <c:v>0.651126149867691</c:v>
                </c:pt>
                <c:pt idx="8">
                  <c:v>0.61361933826531</c:v>
                </c:pt>
                <c:pt idx="9">
                  <c:v>0.743071277929992</c:v>
                </c:pt>
                <c:pt idx="10">
                  <c:v>1.01505985435307</c:v>
                </c:pt>
                <c:pt idx="11">
                  <c:v>1.36644948973775</c:v>
                </c:pt>
                <c:pt idx="12">
                  <c:v>1.71059458057165</c:v>
                </c:pt>
                <c:pt idx="13">
                  <c:v>1.95730300602532</c:v>
                </c:pt>
                <c:pt idx="14">
                  <c:v>2.03395113187545</c:v>
                </c:pt>
                <c:pt idx="15">
                  <c:v>1.90419552020327</c:v>
                </c:pt>
                <c:pt idx="16">
                  <c:v>1.58053750147011</c:v>
                </c:pt>
                <c:pt idx="17">
                  <c:v>1.12662455081362</c:v>
                </c:pt>
                <c:pt idx="18">
                  <c:v>0.645490728744149</c:v>
                </c:pt>
                <c:pt idx="19">
                  <c:v>0.25323689213643</c:v>
                </c:pt>
                <c:pt idx="20">
                  <c:v>0.0449046795548299</c:v>
                </c:pt>
                <c:pt idx="21">
                  <c:v>0.0660309399504147</c:v>
                </c:pt>
                <c:pt idx="22">
                  <c:v>0.302090526663226</c:v>
                </c:pt>
                <c:pt idx="23">
                  <c:v>0.687643086824244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'Langkah Perhitungan'!$B$18</c:f>
              <c:strCache>
                <c:ptCount val="1"/>
                <c:pt idx="0">
                  <c:v>7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Perhitungan'!$C$18:$Z$18</c:f>
              <c:numCache>
                <c:formatCode>0.000</c:formatCode>
                <c:ptCount val="24"/>
                <c:pt idx="0">
                  <c:v>1.12655348910302</c:v>
                </c:pt>
                <c:pt idx="1">
                  <c:v>1.51370659245771</c:v>
                </c:pt>
                <c:pt idx="2">
                  <c:v>1.7555918244157</c:v>
                </c:pt>
                <c:pt idx="3">
                  <c:v>1.79153381101317</c:v>
                </c:pt>
                <c:pt idx="4">
                  <c:v>1.61328934466156</c:v>
                </c:pt>
                <c:pt idx="5">
                  <c:v>1.27384475060427</c:v>
                </c:pt>
                <c:pt idx="6">
                  <c:v>0.876192754016561</c:v>
                </c:pt>
                <c:pt idx="7">
                  <c:v>0.542132792162667</c:v>
                </c:pt>
                <c:pt idx="8">
                  <c:v>0.37298319681753</c:v>
                </c:pt>
                <c:pt idx="9">
                  <c:v>0.419273420523802</c:v>
                </c:pt>
                <c:pt idx="10">
                  <c:v>0.670786022330817</c:v>
                </c:pt>
                <c:pt idx="11">
                  <c:v>1.06601053434432</c:v>
                </c:pt>
                <c:pt idx="12">
                  <c:v>1.51110986924069</c:v>
                </c:pt>
                <c:pt idx="13">
                  <c:v>1.89964667441017</c:v>
                </c:pt>
                <c:pt idx="14">
                  <c:v>2.1318737707806</c:v>
                </c:pt>
                <c:pt idx="15">
                  <c:v>2.13630507745654</c:v>
                </c:pt>
                <c:pt idx="16">
                  <c:v>1.89199704141173</c:v>
                </c:pt>
                <c:pt idx="17">
                  <c:v>1.44295799934147</c:v>
                </c:pt>
                <c:pt idx="18">
                  <c:v>0.894315745723131</c:v>
                </c:pt>
                <c:pt idx="19">
                  <c:v>0.385903083638782</c:v>
                </c:pt>
                <c:pt idx="20">
                  <c:v>0.049945611572391</c:v>
                </c:pt>
                <c:pt idx="21">
                  <c:v>-0.0304069363715836</c:v>
                </c:pt>
                <c:pt idx="22">
                  <c:v>0.156449904213876</c:v>
                </c:pt>
                <c:pt idx="23">
                  <c:v>0.554441035977078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'Langkah Perhitungan'!$B$19</c:f>
              <c:strCache>
                <c:ptCount val="1"/>
                <c:pt idx="0">
                  <c:v>8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Perhitungan'!$C$19:$Z$19</c:f>
              <c:numCache>
                <c:formatCode>0.000</c:formatCode>
                <c:ptCount val="24"/>
                <c:pt idx="0">
                  <c:v>1.06184950069277</c:v>
                </c:pt>
                <c:pt idx="1">
                  <c:v>1.5571323544264</c:v>
                </c:pt>
                <c:pt idx="2">
                  <c:v>1.92170930653368</c:v>
                </c:pt>
                <c:pt idx="3">
                  <c:v>2.06298358104014</c:v>
                </c:pt>
                <c:pt idx="4">
                  <c:v>1.93991279596753</c:v>
                </c:pt>
                <c:pt idx="5">
                  <c:v>1.58277436651763</c:v>
                </c:pt>
                <c:pt idx="6">
                  <c:v>1.09237726680311</c:v>
                </c:pt>
                <c:pt idx="7">
                  <c:v>0.611483837452042</c:v>
                </c:pt>
                <c:pt idx="8">
                  <c:v>0.277740857200629</c:v>
                </c:pt>
                <c:pt idx="9">
                  <c:v>0.179617288696171</c:v>
                </c:pt>
                <c:pt idx="10">
                  <c:v>0.334853466394773</c:v>
                </c:pt>
                <c:pt idx="11">
                  <c:v>0.695983822152277</c:v>
                </c:pt>
                <c:pt idx="12">
                  <c:v>1.17169014266014</c:v>
                </c:pt>
                <c:pt idx="13">
                  <c:v>1.64928071801174</c:v>
                </c:pt>
                <c:pt idx="14">
                  <c:v>2.01340833065645</c:v>
                </c:pt>
                <c:pt idx="15">
                  <c:v>2.16625461318446</c:v>
                </c:pt>
                <c:pt idx="16">
                  <c:v>2.05283696677322</c:v>
                </c:pt>
                <c:pt idx="17">
                  <c:v>1.68448251555349</c:v>
                </c:pt>
                <c:pt idx="18">
                  <c:v>1.14639743613093</c:v>
                </c:pt>
                <c:pt idx="19">
                  <c:v>0.579322598776992</c:v>
                </c:pt>
                <c:pt idx="20">
                  <c:v>0.137787248203687</c:v>
                </c:pt>
                <c:pt idx="21">
                  <c:v>-0.0593759878453018</c:v>
                </c:pt>
                <c:pt idx="22">
                  <c:v>0.0351198359112333</c:v>
                </c:pt>
                <c:pt idx="23">
                  <c:v>0.389149668556323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'Langkah Perhitungan'!$B$20</c:f>
              <c:strCache>
                <c:ptCount val="1"/>
                <c:pt idx="0">
                  <c:v>9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Perhitungan'!$C$20:$Z$20</c:f>
              <c:numCache>
                <c:formatCode>0.000</c:formatCode>
                <c:ptCount val="24"/>
                <c:pt idx="0">
                  <c:v>0.909154864482821</c:v>
                </c:pt>
                <c:pt idx="1">
                  <c:v>1.46904645583787</c:v>
                </c:pt>
                <c:pt idx="2">
                  <c:v>1.93699926743512</c:v>
                </c:pt>
                <c:pt idx="3">
                  <c:v>2.19887710503343</c:v>
                </c:pt>
                <c:pt idx="4">
                  <c:v>2.18310657617777</c:v>
                </c:pt>
                <c:pt idx="5">
                  <c:v>1.88497234709021</c:v>
                </c:pt>
                <c:pt idx="6">
                  <c:v>1.37788594231587</c:v>
                </c:pt>
                <c:pt idx="7">
                  <c:v>0.798776498574471</c:v>
                </c:pt>
                <c:pt idx="8">
                  <c:v>0.307192037577418</c:v>
                </c:pt>
                <c:pt idx="9">
                  <c:v>0.0338561499591067</c:v>
                </c:pt>
                <c:pt idx="10">
                  <c:v>0.0419089711933966</c:v>
                </c:pt>
                <c:pt idx="11">
                  <c:v>0.316312430838781</c:v>
                </c:pt>
                <c:pt idx="12">
                  <c:v>0.779149312856007</c:v>
                </c:pt>
                <c:pt idx="13">
                  <c:v>1.31552377608572</c:v>
                </c:pt>
                <c:pt idx="14">
                  <c:v>1.7972080845675</c:v>
                </c:pt>
                <c:pt idx="15">
                  <c:v>2.10369178442809</c:v>
                </c:pt>
                <c:pt idx="16">
                  <c:v>2.14709036753993</c:v>
                </c:pt>
                <c:pt idx="17">
                  <c:v>1.90056800008495</c:v>
                </c:pt>
                <c:pt idx="18">
                  <c:v>1.41781852941364</c:v>
                </c:pt>
                <c:pt idx="19">
                  <c:v>0.827610665286245</c:v>
                </c:pt>
                <c:pt idx="20">
                  <c:v>0.29759872847877</c:v>
                </c:pt>
                <c:pt idx="21">
                  <c:v>-0.0208550670938856</c:v>
                </c:pt>
                <c:pt idx="22">
                  <c:v>-0.0421979510988633</c:v>
                </c:pt>
                <c:pt idx="23">
                  <c:v>0.232040553430876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'Langkah Perhitungan'!$B$21</c:f>
              <c:strCache>
                <c:ptCount val="1"/>
                <c:pt idx="0">
                  <c:v>10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Perhitungan'!$C$21:$Z$21</c:f>
              <c:numCache>
                <c:formatCode>0.000</c:formatCode>
                <c:ptCount val="24"/>
                <c:pt idx="0">
                  <c:v>0.725241123447054</c:v>
                </c:pt>
                <c:pt idx="1">
                  <c:v>1.3163220165819</c:v>
                </c:pt>
                <c:pt idx="2">
                  <c:v>1.86968993467409</c:v>
                </c:pt>
                <c:pt idx="3">
                  <c:v>2.25756248919294</c:v>
                </c:pt>
                <c:pt idx="4">
                  <c:v>2.38098629218327</c:v>
                </c:pt>
                <c:pt idx="5">
                  <c:v>2.19492360455761</c:v>
                </c:pt>
                <c:pt idx="6">
                  <c:v>1.73053791160106</c:v>
                </c:pt>
                <c:pt idx="7">
                  <c:v>1.09920082143008</c:v>
                </c:pt>
                <c:pt idx="8">
                  <c:v>0.467196036042593</c:v>
                </c:pt>
                <c:pt idx="9">
                  <c:v>0.00502205608319322</c:v>
                </c:pt>
                <c:pt idx="10">
                  <c:v>-0.168928677335222</c:v>
                </c:pt>
                <c:pt idx="11">
                  <c:v>-0.0245983796632095</c:v>
                </c:pt>
                <c:pt idx="12">
                  <c:v>0.378962271783191</c:v>
                </c:pt>
                <c:pt idx="13">
                  <c:v>0.922744970492968</c:v>
                </c:pt>
                <c:pt idx="14">
                  <c:v>1.46642212078319</c:v>
                </c:pt>
                <c:pt idx="15">
                  <c:v>1.87913966181731</c:v>
                </c:pt>
                <c:pt idx="16">
                  <c:v>2.0604461828768</c:v>
                </c:pt>
                <c:pt idx="17">
                  <c:v>1.95923864890037</c:v>
                </c:pt>
                <c:pt idx="18">
                  <c:v>1.59296983888345</c:v>
                </c:pt>
                <c:pt idx="19">
                  <c:v>1.05601845357904</c:v>
                </c:pt>
                <c:pt idx="20">
                  <c:v>0.501713821358547</c:v>
                </c:pt>
                <c:pt idx="21">
                  <c:v>0.0952872235363403</c:v>
                </c:pt>
                <c:pt idx="22">
                  <c:v>-0.0436127674730194</c:v>
                </c:pt>
                <c:pt idx="23">
                  <c:v>0.120777632186567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'Langkah Perhitungan'!$B$22</c:f>
              <c:strCache>
                <c:ptCount val="1"/>
                <c:pt idx="0">
                  <c:v>11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Perhitungan'!$C$22:$Z$22</c:f>
              <c:numCache>
                <c:formatCode>0.000</c:formatCode>
                <c:ptCount val="24"/>
                <c:pt idx="0">
                  <c:v>0.539172543427793</c:v>
                </c:pt>
                <c:pt idx="1">
                  <c:v>1.1054900023744</c:v>
                </c:pt>
                <c:pt idx="2">
                  <c:v>1.69083067372691</c:v>
                </c:pt>
                <c:pt idx="3">
                  <c:v>2.16710892201309</c:v>
                </c:pt>
                <c:pt idx="4">
                  <c:v>2.4235824482938</c:v>
                </c:pt>
                <c:pt idx="5">
                  <c:v>2.38746224861852</c:v>
                </c:pt>
                <c:pt idx="6">
                  <c:v>2.0493232244307</c:v>
                </c:pt>
                <c:pt idx="7">
                  <c:v>1.47948343499773</c:v>
                </c:pt>
                <c:pt idx="8">
                  <c:v>0.818991018184223</c:v>
                </c:pt>
                <c:pt idx="9">
                  <c:v>0.240590899202067</c:v>
                </c:pt>
                <c:pt idx="10">
                  <c:v>-0.107553355791413</c:v>
                </c:pt>
                <c:pt idx="11">
                  <c:v>-0.150417755999285</c:v>
                </c:pt>
                <c:pt idx="12">
                  <c:v>0.0958736128838082</c:v>
                </c:pt>
                <c:pt idx="13">
                  <c:v>0.541536038672226</c:v>
                </c:pt>
                <c:pt idx="14">
                  <c:v>1.05987850642972</c:v>
                </c:pt>
                <c:pt idx="15">
                  <c:v>1.52103227302507</c:v>
                </c:pt>
                <c:pt idx="16">
                  <c:v>1.81373668949282</c:v>
                </c:pt>
                <c:pt idx="17">
                  <c:v>1.8624969593366</c:v>
                </c:pt>
                <c:pt idx="18">
                  <c:v>1.647840269854</c:v>
                </c:pt>
                <c:pt idx="19">
                  <c:v>1.22310828448025</c:v>
                </c:pt>
                <c:pt idx="20">
                  <c:v>0.710681600251421</c:v>
                </c:pt>
                <c:pt idx="21">
                  <c:v>0.267784637904647</c:v>
                </c:pt>
                <c:pt idx="22">
                  <c:v>0.0324461165766954</c:v>
                </c:pt>
                <c:pt idx="23">
                  <c:v>0.0761063821236547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'Langkah Perhitungan'!$B$23</c:f>
              <c:strCache>
                <c:ptCount val="1"/>
                <c:pt idx="0">
                  <c:v>12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Perhitungan'!$C$23:$Z$23</c:f>
              <c:numCache>
                <c:formatCode>0.000</c:formatCode>
                <c:ptCount val="24"/>
                <c:pt idx="0">
                  <c:v>0.386350770652441</c:v>
                </c:pt>
                <c:pt idx="1">
                  <c:v>0.883014543511331</c:v>
                </c:pt>
                <c:pt idx="2">
                  <c:v>1.45062413807857</c:v>
                </c:pt>
                <c:pt idx="3">
                  <c:v>1.96688550686902</c:v>
                </c:pt>
                <c:pt idx="4">
                  <c:v>2.32065066970372</c:v>
                </c:pt>
                <c:pt idx="5">
                  <c:v>2.4268655317138</c:v>
                </c:pt>
                <c:pt idx="6">
                  <c:v>2.24599323733234</c:v>
                </c:pt>
                <c:pt idx="7">
                  <c:v>1.8037917973126</c:v>
                </c:pt>
                <c:pt idx="8">
                  <c:v>1.19766226494412</c:v>
                </c:pt>
                <c:pt idx="9">
                  <c:v>0.57743537522412</c:v>
                </c:pt>
                <c:pt idx="10">
                  <c:v>0.100908723894954</c:v>
                </c:pt>
                <c:pt idx="11">
                  <c:v>-0.1193483464881</c:v>
                </c:pt>
                <c:pt idx="12">
                  <c:v>-0.0523355527519299</c:v>
                </c:pt>
                <c:pt idx="13">
                  <c:v>0.249728549156469</c:v>
                </c:pt>
                <c:pt idx="14">
                  <c:v>0.680532435100788</c:v>
                </c:pt>
                <c:pt idx="15">
                  <c:v>1.11804362185906</c:v>
                </c:pt>
                <c:pt idx="16">
                  <c:v>1.45303634450463</c:v>
                </c:pt>
                <c:pt idx="17">
                  <c:v>1.6056631489573</c:v>
                </c:pt>
                <c:pt idx="18">
                  <c:v>1.53881185305973</c:v>
                </c:pt>
                <c:pt idx="19">
                  <c:v>1.27106805397753</c:v>
                </c:pt>
                <c:pt idx="20">
                  <c:v>0.879991846420511</c:v>
                </c:pt>
                <c:pt idx="21">
                  <c:v>0.484789519110935</c:v>
                </c:pt>
                <c:pt idx="22">
                  <c:v>0.209607586501168</c:v>
                </c:pt>
                <c:pt idx="23">
                  <c:v>0.14298907737883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'Langkah Perhitungan'!$B$24</c:f>
              <c:strCache>
                <c:ptCount val="1"/>
                <c:pt idx="0">
                  <c:v>13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Perhitungan'!$C$24:$Z$24</c:f>
              <c:numCache>
                <c:formatCode>0.000</c:formatCode>
                <c:ptCount val="24"/>
                <c:pt idx="0">
                  <c:v>0.312339440561695</c:v>
                </c:pt>
                <c:pt idx="1">
                  <c:v>0.682047904805076</c:v>
                </c:pt>
                <c:pt idx="2">
                  <c:v>1.16974448099406</c:v>
                </c:pt>
                <c:pt idx="3">
                  <c:v>1.66903004096668</c:v>
                </c:pt>
                <c:pt idx="4">
                  <c:v>2.0714153903897</c:v>
                </c:pt>
                <c:pt idx="5">
                  <c:v>2.28681323322658</c:v>
                </c:pt>
                <c:pt idx="6">
                  <c:v>2.26267327634647</c:v>
                </c:pt>
                <c:pt idx="7">
                  <c:v>1.99813211871573</c:v>
                </c:pt>
                <c:pt idx="8">
                  <c:v>1.54785872814646</c:v>
                </c:pt>
                <c:pt idx="9">
                  <c:v>1.01248340285575</c:v>
                </c:pt>
                <c:pt idx="10">
                  <c:v>0.515683368354131</c:v>
                </c:pt>
                <c:pt idx="11">
                  <c:v>0.17151560843892</c:v>
                </c:pt>
                <c:pt idx="12">
                  <c:v>0.0510350792641252</c:v>
                </c:pt>
                <c:pt idx="13">
                  <c:v>0.161467012993436</c:v>
                </c:pt>
                <c:pt idx="14">
                  <c:v>0.447445724899634</c:v>
                </c:pt>
                <c:pt idx="15">
                  <c:v>0.812346680299246</c:v>
                </c:pt>
                <c:pt idx="16">
                  <c:v>1.14837703655151</c:v>
                </c:pt>
                <c:pt idx="17">
                  <c:v>1.36442425886915</c:v>
                </c:pt>
                <c:pt idx="18">
                  <c:v>1.40683105192793</c:v>
                </c:pt>
                <c:pt idx="19">
                  <c:v>1.27164726276299</c:v>
                </c:pt>
                <c:pt idx="20">
                  <c:v>1.00577786503669</c:v>
                </c:pt>
                <c:pt idx="21">
                  <c:v>0.694315968251187</c:v>
                </c:pt>
                <c:pt idx="22">
                  <c:v>0.435886431122691</c:v>
                </c:pt>
                <c:pt idx="23">
                  <c:v>0.313969879908105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'Langkah Perhitungan'!$B$25</c:f>
              <c:strCache>
                <c:ptCount val="1"/>
                <c:pt idx="0">
                  <c:v>14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Perhitungan'!$C$25:$Z$25</c:f>
              <c:numCache>
                <c:formatCode>0.000</c:formatCode>
                <c:ptCount val="24"/>
                <c:pt idx="0">
                  <c:v>0.374351079421997</c:v>
                </c:pt>
                <c:pt idx="1">
                  <c:v>0.61517109097759</c:v>
                </c:pt>
                <c:pt idx="2">
                  <c:v>0.989899433052148</c:v>
                </c:pt>
                <c:pt idx="3">
                  <c:v>1.41977441172468</c:v>
                </c:pt>
                <c:pt idx="4">
                  <c:v>1.81222222778105</c:v>
                </c:pt>
                <c:pt idx="5">
                  <c:v>2.08225407056777</c:v>
                </c:pt>
                <c:pt idx="6">
                  <c:v>2.172257078594</c:v>
                </c:pt>
                <c:pt idx="7">
                  <c:v>2.06433142890804</c:v>
                </c:pt>
                <c:pt idx="8">
                  <c:v>1.7820776488344</c:v>
                </c:pt>
                <c:pt idx="9">
                  <c:v>1.38384494690557</c:v>
                </c:pt>
                <c:pt idx="10">
                  <c:v>0.951250844164015</c:v>
                </c:pt>
                <c:pt idx="11">
                  <c:v>0.573933923283175</c:v>
                </c:pt>
                <c:pt idx="12">
                  <c:v>0.329628948533488</c:v>
                </c:pt>
                <c:pt idx="13">
                  <c:v>0.262434878385099</c:v>
                </c:pt>
                <c:pt idx="14">
                  <c:v>0.367958736418746</c:v>
                </c:pt>
                <c:pt idx="15">
                  <c:v>0.594111202593416</c:v>
                </c:pt>
                <c:pt idx="16">
                  <c:v>0.858896144201965</c:v>
                </c:pt>
                <c:pt idx="17">
                  <c:v>1.07777350114704</c:v>
                </c:pt>
                <c:pt idx="18">
                  <c:v>1.18957213827264</c:v>
                </c:pt>
                <c:pt idx="19">
                  <c:v>1.17221244971477</c:v>
                </c:pt>
                <c:pt idx="20">
                  <c:v>1.04462626086433</c:v>
                </c:pt>
                <c:pt idx="21">
                  <c:v>0.856581735754503</c:v>
                </c:pt>
                <c:pt idx="22">
                  <c:v>0.6718891541176</c:v>
                </c:pt>
                <c:pt idx="23">
                  <c:v>0.551178303234305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'Langkah Perhitungan'!$B$26</c:f>
              <c:strCache>
                <c:ptCount val="1"/>
                <c:pt idx="0">
                  <c:v>15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Perhitungan'!$C$26:$Z$26</c:f>
              <c:numCache>
                <c:formatCode>0.000</c:formatCode>
                <c:ptCount val="24"/>
                <c:pt idx="0">
                  <c:v>0.538154056628631</c:v>
                </c:pt>
                <c:pt idx="1">
                  <c:v>0.650388813844139</c:v>
                </c:pt>
                <c:pt idx="2">
                  <c:v>0.874878282010546</c:v>
                </c:pt>
                <c:pt idx="3">
                  <c:v>1.16968554224257</c:v>
                </c:pt>
                <c:pt idx="4">
                  <c:v>1.47339835703403</c:v>
                </c:pt>
                <c:pt idx="5">
                  <c:v>1.72153417908955</c:v>
                </c:pt>
                <c:pt idx="6">
                  <c:v>1.86442401742814</c:v>
                </c:pt>
                <c:pt idx="7">
                  <c:v>1.8787691156715</c:v>
                </c:pt>
                <c:pt idx="8">
                  <c:v>1.76849321743874</c:v>
                </c:pt>
                <c:pt idx="9">
                  <c:v>1.55770501525042</c:v>
                </c:pt>
                <c:pt idx="10">
                  <c:v>1.28288822189777</c:v>
                </c:pt>
                <c:pt idx="11">
                  <c:v>0.98856962774525</c:v>
                </c:pt>
                <c:pt idx="12">
                  <c:v>0.724026217791691</c:v>
                </c:pt>
                <c:pt idx="13">
                  <c:v>0.535667738862617</c:v>
                </c:pt>
                <c:pt idx="14">
                  <c:v>0.454011792297216</c:v>
                </c:pt>
                <c:pt idx="15">
                  <c:v>0.481320054012338</c:v>
                </c:pt>
                <c:pt idx="16">
                  <c:v>0.588661537179541</c:v>
                </c:pt>
                <c:pt idx="17">
                  <c:v>0.726392542139123</c:v>
                </c:pt>
                <c:pt idx="18">
                  <c:v>0.843524551185527</c:v>
                </c:pt>
                <c:pt idx="19">
                  <c:v>0.90596462403078</c:v>
                </c:pt>
                <c:pt idx="20">
                  <c:v>0.905163864897579</c:v>
                </c:pt>
                <c:pt idx="21">
                  <c:v>0.855483961947897</c:v>
                </c:pt>
                <c:pt idx="22">
                  <c:v>0.784941701904702</c:v>
                </c:pt>
                <c:pt idx="23">
                  <c:v>0.725497481819074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'Langkah Perhitungan'!$B$27</c:f>
              <c:strCache>
                <c:ptCount val="1"/>
                <c:pt idx="0">
                  <c:v>16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Perhitungan'!$C$27:$Z$27</c:f>
              <c:numCache>
                <c:formatCode>0.000</c:formatCode>
                <c:ptCount val="24"/>
                <c:pt idx="0">
                  <c:v>0.705951226423267</c:v>
                </c:pt>
                <c:pt idx="1">
                  <c:v>0.746681012739574</c:v>
                </c:pt>
                <c:pt idx="2">
                  <c:v>0.854609795003704</c:v>
                </c:pt>
                <c:pt idx="3">
                  <c:v>1.01927724557074</c:v>
                </c:pt>
                <c:pt idx="4">
                  <c:v>1.21352093978865</c:v>
                </c:pt>
                <c:pt idx="5">
                  <c:v>1.40125074736522</c:v>
                </c:pt>
                <c:pt idx="6">
                  <c:v>1.54983837919183</c:v>
                </c:pt>
                <c:pt idx="7">
                  <c:v>1.64005982565824</c:v>
                </c:pt>
                <c:pt idx="8">
                  <c:v>1.66741488682026</c:v>
                </c:pt>
                <c:pt idx="9">
                  <c:v>1.63532099473296</c:v>
                </c:pt>
                <c:pt idx="10">
                  <c:v>1.5474203527495</c:v>
                </c:pt>
                <c:pt idx="11">
                  <c:v>1.4065324807068</c:v>
                </c:pt>
                <c:pt idx="12">
                  <c:v>1.22101932214951</c:v>
                </c:pt>
                <c:pt idx="13">
                  <c:v>1.01171789984351</c:v>
                </c:pt>
                <c:pt idx="14">
                  <c:v>0.811220015399999</c:v>
                </c:pt>
                <c:pt idx="15">
                  <c:v>0.65350842097064</c:v>
                </c:pt>
                <c:pt idx="16">
                  <c:v>0.560360650259689</c:v>
                </c:pt>
                <c:pt idx="17">
                  <c:v>0.534075272036582</c:v>
                </c:pt>
                <c:pt idx="18">
                  <c:v>0.561037429605764</c:v>
                </c:pt>
                <c:pt idx="19">
                  <c:v>0.621942793913919</c:v>
                </c:pt>
                <c:pt idx="20">
                  <c:v>0.7002328535572</c:v>
                </c:pt>
                <c:pt idx="21">
                  <c:v>0.784057304480828</c:v>
                </c:pt>
                <c:pt idx="22">
                  <c:v>0.864142808637212</c:v>
                </c:pt>
                <c:pt idx="23">
                  <c:v>0.932718844940046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'Langkah Perhitungan'!$B$28</c:f>
              <c:strCache>
                <c:ptCount val="1"/>
                <c:pt idx="0">
                  <c:v>17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Perhitungan'!$C$28:$Z$28</c:f>
              <c:numCache>
                <c:formatCode>0.000</c:formatCode>
                <c:ptCount val="24"/>
                <c:pt idx="0">
                  <c:v>0.985265206508096</c:v>
                </c:pt>
                <c:pt idx="1">
                  <c:v>1.02246361000605</c:v>
                </c:pt>
                <c:pt idx="2">
                  <c:v>1.04954982802673</c:v>
                </c:pt>
                <c:pt idx="3">
                  <c:v>1.07356304433826</c:v>
                </c:pt>
                <c:pt idx="4">
                  <c:v>1.10119491358124</c:v>
                </c:pt>
                <c:pt idx="5">
                  <c:v>1.13866552057815</c:v>
                </c:pt>
                <c:pt idx="6">
                  <c:v>1.19224240779116</c:v>
                </c:pt>
                <c:pt idx="7">
                  <c:v>1.26684251261472</c:v>
                </c:pt>
                <c:pt idx="8">
                  <c:v>1.3617019763811</c:v>
                </c:pt>
                <c:pt idx="9">
                  <c:v>1.46512038187111</c:v>
                </c:pt>
                <c:pt idx="10">
                  <c:v>1.55255857417912</c:v>
                </c:pt>
                <c:pt idx="11">
                  <c:v>1.59179610677397</c:v>
                </c:pt>
                <c:pt idx="12">
                  <c:v>1.55480092708649</c:v>
                </c:pt>
                <c:pt idx="13">
                  <c:v>1.43076467221463</c:v>
                </c:pt>
                <c:pt idx="14">
                  <c:v>1.232868682774</c:v>
                </c:pt>
                <c:pt idx="15">
                  <c:v>0.995100958352266</c:v>
                </c:pt>
                <c:pt idx="16">
                  <c:v>0.76179120208722</c:v>
                </c:pt>
                <c:pt idx="17">
                  <c:v>0.57582137379341</c:v>
                </c:pt>
                <c:pt idx="18">
                  <c:v>0.46968016907502</c:v>
                </c:pt>
                <c:pt idx="19">
                  <c:v>0.45997025187093</c:v>
                </c:pt>
                <c:pt idx="20">
                  <c:v>0.544576068494652</c:v>
                </c:pt>
                <c:pt idx="21">
                  <c:v>0.702631340999876</c:v>
                </c:pt>
                <c:pt idx="22">
                  <c:v>0.898234261372788</c:v>
                </c:pt>
                <c:pt idx="23">
                  <c:v>1.08814006428769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'Langkah Perhitungan'!$B$29</c:f>
              <c:strCache>
                <c:ptCount val="1"/>
                <c:pt idx="0">
                  <c:v>18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Perhitungan'!$C$29:$Z$29</c:f>
              <c:numCache>
                <c:formatCode>0.000</c:formatCode>
                <c:ptCount val="24"/>
                <c:pt idx="0">
                  <c:v>1.23210710672396</c:v>
                </c:pt>
                <c:pt idx="1">
                  <c:v>1.30328204252622</c:v>
                </c:pt>
                <c:pt idx="2">
                  <c:v>1.29542322365956</c:v>
                </c:pt>
                <c:pt idx="3">
                  <c:v>1.22424312729695</c:v>
                </c:pt>
                <c:pt idx="4">
                  <c:v>1.12213458092312</c:v>
                </c:pt>
                <c:pt idx="5">
                  <c:v>1.0284078329788</c:v>
                </c:pt>
                <c:pt idx="6">
                  <c:v>0.978930469793871</c:v>
                </c:pt>
                <c:pt idx="7">
                  <c:v>0.998261233737155</c:v>
                </c:pt>
                <c:pt idx="8">
                  <c:v>1.09487439991507</c:v>
                </c:pt>
                <c:pt idx="9">
                  <c:v>1.25837668197137</c:v>
                </c:pt>
                <c:pt idx="10">
                  <c:v>1.45835080603569</c:v>
                </c:pt>
                <c:pt idx="11">
                  <c:v>1.64674533205073</c:v>
                </c:pt>
                <c:pt idx="12">
                  <c:v>1.76675791679179</c:v>
                </c:pt>
                <c:pt idx="13">
                  <c:v>1.76868129094034</c:v>
                </c:pt>
                <c:pt idx="14">
                  <c:v>1.62820687920802</c:v>
                </c:pt>
                <c:pt idx="15">
                  <c:v>1.35922803447205</c:v>
                </c:pt>
                <c:pt idx="16">
                  <c:v>1.01437868176635</c:v>
                </c:pt>
                <c:pt idx="17">
                  <c:v>0.671639545011535</c:v>
                </c:pt>
                <c:pt idx="18">
                  <c:v>0.411327782275365</c:v>
                </c:pt>
                <c:pt idx="19">
                  <c:v>0.292105637609979</c:v>
                </c:pt>
                <c:pt idx="20">
                  <c:v>0.335266362151557</c:v>
                </c:pt>
                <c:pt idx="21">
                  <c:v>0.522248354048674</c:v>
                </c:pt>
                <c:pt idx="22">
                  <c:v>0.803306112127311</c:v>
                </c:pt>
                <c:pt idx="23">
                  <c:v>1.11106337644052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'Langkah Perhitungan'!$B$30</c:f>
              <c:strCache>
                <c:ptCount val="1"/>
                <c:pt idx="0">
                  <c:v>19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Perhitungan'!$C$30:$Z$30</c:f>
              <c:numCache>
                <c:formatCode>0.000</c:formatCode>
                <c:ptCount val="24"/>
                <c:pt idx="0">
                  <c:v>1.37442265465082</c:v>
                </c:pt>
                <c:pt idx="1">
                  <c:v>1.53255334667483</c:v>
                </c:pt>
                <c:pt idx="2">
                  <c:v>1.54946751608477</c:v>
                </c:pt>
                <c:pt idx="3">
                  <c:v>1.42601202579063</c:v>
                </c:pt>
                <c:pt idx="4">
                  <c:v>1.20292810531937</c:v>
                </c:pt>
                <c:pt idx="5">
                  <c:v>0.950634522210812</c:v>
                </c:pt>
                <c:pt idx="6">
                  <c:v>0.747857898037667</c:v>
                </c:pt>
                <c:pt idx="7">
                  <c:v>0.65739512009479</c:v>
                </c:pt>
                <c:pt idx="8">
                  <c:v>0.708761143226412</c:v>
                </c:pt>
                <c:pt idx="9">
                  <c:v>0.893174473347907</c:v>
                </c:pt>
                <c:pt idx="10">
                  <c:v>1.16931215351134</c:v>
                </c:pt>
                <c:pt idx="11">
                  <c:v>1.47400710037454</c:v>
                </c:pt>
                <c:pt idx="12">
                  <c:v>1.73372713880637</c:v>
                </c:pt>
                <c:pt idx="13">
                  <c:v>1.87739322633833</c:v>
                </c:pt>
                <c:pt idx="14">
                  <c:v>1.85271134746414</c:v>
                </c:pt>
                <c:pt idx="15">
                  <c:v>1.64421210100569</c:v>
                </c:pt>
                <c:pt idx="16">
                  <c:v>1.2855189404811</c:v>
                </c:pt>
                <c:pt idx="17">
                  <c:v>0.856986803359384</c:v>
                </c:pt>
                <c:pt idx="18">
                  <c:v>0.465217975885251</c:v>
                </c:pt>
                <c:pt idx="19">
                  <c:v>0.210402811174989</c:v>
                </c:pt>
                <c:pt idx="20">
                  <c:v>0.154963003507621</c:v>
                </c:pt>
                <c:pt idx="21">
                  <c:v>0.306753142871347</c:v>
                </c:pt>
                <c:pt idx="22">
                  <c:v>0.621366095337852</c:v>
                </c:pt>
                <c:pt idx="23">
                  <c:v>1.01779877862599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'Langkah Perhitungan'!$B$31</c:f>
              <c:strCache>
                <c:ptCount val="1"/>
                <c:pt idx="0">
                  <c:v>20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Perhitungan'!$C$31:$Z$31</c:f>
              <c:numCache>
                <c:formatCode>0.000</c:formatCode>
                <c:ptCount val="24"/>
                <c:pt idx="0">
                  <c:v>1.39863911803427</c:v>
                </c:pt>
                <c:pt idx="1">
                  <c:v>1.67071292135381</c:v>
                </c:pt>
                <c:pt idx="2">
                  <c:v>1.76642969768376</c:v>
                </c:pt>
                <c:pt idx="3">
                  <c:v>1.6634054886042</c:v>
                </c:pt>
                <c:pt idx="4">
                  <c:v>1.39422191082434</c:v>
                </c:pt>
                <c:pt idx="5">
                  <c:v>1.03842781110382</c:v>
                </c:pt>
                <c:pt idx="6">
                  <c:v>0.697644345691323</c:v>
                </c:pt>
                <c:pt idx="7">
                  <c:v>0.464719981287522</c:v>
                </c:pt>
                <c:pt idx="8">
                  <c:v>0.400210100902755</c:v>
                </c:pt>
                <c:pt idx="9">
                  <c:v>0.522334841497857</c:v>
                </c:pt>
                <c:pt idx="10">
                  <c:v>0.807323634884511</c:v>
                </c:pt>
                <c:pt idx="11">
                  <c:v>1.1944356677557</c:v>
                </c:pt>
                <c:pt idx="12">
                  <c:v>1.59467001480405</c:v>
                </c:pt>
                <c:pt idx="13">
                  <c:v>1.90658655837546</c:v>
                </c:pt>
                <c:pt idx="14">
                  <c:v>2.040444870299</c:v>
                </c:pt>
                <c:pt idx="15">
                  <c:v>1.94525251738672</c:v>
                </c:pt>
                <c:pt idx="16">
                  <c:v>1.62893792893107</c:v>
                </c:pt>
                <c:pt idx="17">
                  <c:v>1.16277185590496</c:v>
                </c:pt>
                <c:pt idx="18">
                  <c:v>0.665706482297856</c:v>
                </c:pt>
                <c:pt idx="19">
                  <c:v>0.270803590467171</c:v>
                </c:pt>
                <c:pt idx="20">
                  <c:v>0.0838996665924708</c:v>
                </c:pt>
                <c:pt idx="21">
                  <c:v>0.150703295787137</c:v>
                </c:pt>
                <c:pt idx="22">
                  <c:v>0.446152186026762</c:v>
                </c:pt>
                <c:pt idx="23">
                  <c:v>0.887850663936121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'Langkah Perhitungan'!$B$32</c:f>
              <c:strCache>
                <c:ptCount val="1"/>
                <c:pt idx="0">
                  <c:v>21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Perhitungan'!$C$32:$Z$32</c:f>
              <c:numCache>
                <c:formatCode>0.000</c:formatCode>
                <c:ptCount val="24"/>
                <c:pt idx="0">
                  <c:v>1.36300362606769</c:v>
                </c:pt>
                <c:pt idx="1">
                  <c:v>1.75616773743243</c:v>
                </c:pt>
                <c:pt idx="2">
                  <c:v>1.97254222735381</c:v>
                </c:pt>
                <c:pt idx="3">
                  <c:v>1.95761195025387</c:v>
                </c:pt>
                <c:pt idx="4">
                  <c:v>1.71217285827038</c:v>
                </c:pt>
                <c:pt idx="5">
                  <c:v>1.29686648045089</c:v>
                </c:pt>
                <c:pt idx="6">
                  <c:v>0.82024675271571</c:v>
                </c:pt>
                <c:pt idx="7">
                  <c:v>0.410507104581004</c:v>
                </c:pt>
                <c:pt idx="8">
                  <c:v>0.17884027530636</c:v>
                </c:pt>
                <c:pt idx="9">
                  <c:v>0.187179448359165</c:v>
                </c:pt>
                <c:pt idx="10">
                  <c:v>0.431926640784738</c:v>
                </c:pt>
                <c:pt idx="11">
                  <c:v>0.848133907823638</c:v>
                </c:pt>
                <c:pt idx="12">
                  <c:v>1.32958680963955</c:v>
                </c:pt>
                <c:pt idx="13">
                  <c:v>1.75561759810081</c:v>
                </c:pt>
                <c:pt idx="14">
                  <c:v>2.01760295075434</c:v>
                </c:pt>
                <c:pt idx="15">
                  <c:v>2.04270310153362</c:v>
                </c:pt>
                <c:pt idx="16">
                  <c:v>1.81350475622676</c:v>
                </c:pt>
                <c:pt idx="17">
                  <c:v>1.37886714710895</c:v>
                </c:pt>
                <c:pt idx="18">
                  <c:v>0.848240973753821</c:v>
                </c:pt>
                <c:pt idx="19">
                  <c:v>0.364708239181387</c:v>
                </c:pt>
                <c:pt idx="20">
                  <c:v>0.0620661509512184</c:v>
                </c:pt>
                <c:pt idx="21">
                  <c:v>0.0224131181796032</c:v>
                </c:pt>
                <c:pt idx="22">
                  <c:v>0.252952984195779</c:v>
                </c:pt>
                <c:pt idx="23">
                  <c:v>0.689890144347505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'Langkah Perhitungan'!$B$33</c:f>
              <c:strCache>
                <c:ptCount val="1"/>
                <c:pt idx="0">
                  <c:v>22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Perhitungan'!$C$33:$Z$33</c:f>
              <c:numCache>
                <c:formatCode>0.000</c:formatCode>
                <c:ptCount val="24"/>
                <c:pt idx="0">
                  <c:v>1.22180212227194</c:v>
                </c:pt>
                <c:pt idx="1">
                  <c:v>1.71861126600074</c:v>
                </c:pt>
                <c:pt idx="2">
                  <c:v>2.0586524522447</c:v>
                </c:pt>
                <c:pt idx="3">
                  <c:v>2.1544422685089</c:v>
                </c:pt>
                <c:pt idx="4">
                  <c:v>1.97669416554847</c:v>
                </c:pt>
                <c:pt idx="5">
                  <c:v>1.56845048213186</c:v>
                </c:pt>
                <c:pt idx="6">
                  <c:v>1.03834219367105</c:v>
                </c:pt>
                <c:pt idx="7">
                  <c:v>0.529898777930105</c:v>
                </c:pt>
                <c:pt idx="8">
                  <c:v>0.177280259139353</c:v>
                </c:pt>
                <c:pt idx="9">
                  <c:v>0.06626327850637</c:v>
                </c:pt>
                <c:pt idx="10">
                  <c:v>0.21567296511254</c:v>
                </c:pt>
                <c:pt idx="11">
                  <c:v>0.581141520408817</c:v>
                </c:pt>
                <c:pt idx="12">
                  <c:v>1.07158436217651</c:v>
                </c:pt>
                <c:pt idx="13">
                  <c:v>1.56892721505875</c:v>
                </c:pt>
                <c:pt idx="14">
                  <c:v>1.949962593324</c:v>
                </c:pt>
                <c:pt idx="15">
                  <c:v>2.11322359521576</c:v>
                </c:pt>
                <c:pt idx="16">
                  <c:v>2.00798430551922</c:v>
                </c:pt>
                <c:pt idx="17">
                  <c:v>1.65459196175116</c:v>
                </c:pt>
                <c:pt idx="18">
                  <c:v>1.14488509429936</c:v>
                </c:pt>
                <c:pt idx="19">
                  <c:v>0.618994550128366</c:v>
                </c:pt>
                <c:pt idx="20">
                  <c:v>0.22456319809775</c:v>
                </c:pt>
                <c:pt idx="21">
                  <c:v>0.0719646386831815</c:v>
                </c:pt>
                <c:pt idx="22">
                  <c:v>0.201974297322181</c:v>
                </c:pt>
                <c:pt idx="23">
                  <c:v>0.577614919171157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'Langkah Perhitungan'!$B$34</c:f>
              <c:strCache>
                <c:ptCount val="1"/>
                <c:pt idx="0">
                  <c:v>23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Perhitungan'!$C$34:$Z$34</c:f>
              <c:numCache>
                <c:formatCode>0.000</c:formatCode>
                <c:ptCount val="24"/>
                <c:pt idx="0">
                  <c:v>1.1001106692812</c:v>
                </c:pt>
                <c:pt idx="1">
                  <c:v>1.63813070717876</c:v>
                </c:pt>
                <c:pt idx="2">
                  <c:v>2.05854004984087</c:v>
                </c:pt>
                <c:pt idx="3">
                  <c:v>2.25409233606807</c:v>
                </c:pt>
                <c:pt idx="4">
                  <c:v>2.16837319626784</c:v>
                </c:pt>
                <c:pt idx="5">
                  <c:v>1.81478451518234</c:v>
                </c:pt>
                <c:pt idx="6">
                  <c:v>1.28012911952466</c:v>
                </c:pt>
                <c:pt idx="7">
                  <c:v>0.704285803814612</c:v>
                </c:pt>
                <c:pt idx="8">
                  <c:v>0.238387552393598</c:v>
                </c:pt>
                <c:pt idx="9">
                  <c:v>-0.00233951932669045</c:v>
                </c:pt>
                <c:pt idx="10">
                  <c:v>0.0300026643873534</c:v>
                </c:pt>
                <c:pt idx="11">
                  <c:v>0.311420776776177</c:v>
                </c:pt>
                <c:pt idx="12">
                  <c:v>0.76225577464436</c:v>
                </c:pt>
                <c:pt idx="13">
                  <c:v>1.26977269055444</c:v>
                </c:pt>
                <c:pt idx="14">
                  <c:v>1.7095630972359</c:v>
                </c:pt>
                <c:pt idx="15">
                  <c:v>1.96883096066415</c:v>
                </c:pt>
                <c:pt idx="16">
                  <c:v>1.97458342276233</c:v>
                </c:pt>
                <c:pt idx="17">
                  <c:v>1.71969330831216</c:v>
                </c:pt>
                <c:pt idx="18">
                  <c:v>1.27268995245797</c:v>
                </c:pt>
                <c:pt idx="19">
                  <c:v>0.761601777469025</c:v>
                </c:pt>
                <c:pt idx="20">
                  <c:v>0.334908385346874</c:v>
                </c:pt>
                <c:pt idx="21">
                  <c:v>0.114662025178426</c:v>
                </c:pt>
                <c:pt idx="22">
                  <c:v>0.160946896447464</c:v>
                </c:pt>
                <c:pt idx="23">
                  <c:v>0.460340729010362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'Langkah Perhitungan'!$B$35</c:f>
              <c:strCache>
                <c:ptCount val="1"/>
                <c:pt idx="0">
                  <c:v>24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Perhitungan'!$C$35:$Z$35</c:f>
              <c:numCache>
                <c:formatCode>0.000</c:formatCode>
                <c:ptCount val="24"/>
                <c:pt idx="0">
                  <c:v>0.93757110519766</c:v>
                </c:pt>
                <c:pt idx="1">
                  <c:v>1.47903955750243</c:v>
                </c:pt>
                <c:pt idx="2">
                  <c:v>1.95745396491138</c:v>
                </c:pt>
                <c:pt idx="3">
                  <c:v>2.25529142133028</c:v>
                </c:pt>
                <c:pt idx="4">
                  <c:v>2.28982927662199</c:v>
                </c:pt>
                <c:pt idx="5">
                  <c:v>2.03808020238558</c:v>
                </c:pt>
                <c:pt idx="6">
                  <c:v>1.55198054552784</c:v>
                </c:pt>
                <c:pt idx="7">
                  <c:v>0.952190228499992</c:v>
                </c:pt>
                <c:pt idx="8">
                  <c:v>0.396239919567452</c:v>
                </c:pt>
                <c:pt idx="9">
                  <c:v>0.0296329908819219</c:v>
                </c:pt>
                <c:pt idx="10">
                  <c:v>-0.0606056269171309</c:v>
                </c:pt>
                <c:pt idx="11">
                  <c:v>0.130409392716331</c:v>
                </c:pt>
                <c:pt idx="12">
                  <c:v>0.532688488498082</c:v>
                </c:pt>
                <c:pt idx="13">
                  <c:v>1.03040460565043</c:v>
                </c:pt>
                <c:pt idx="14">
                  <c:v>1.49535936444345</c:v>
                </c:pt>
                <c:pt idx="15">
                  <c:v>1.81396402177487</c:v>
                </c:pt>
                <c:pt idx="16">
                  <c:v>1.9081711406591</c:v>
                </c:pt>
                <c:pt idx="17">
                  <c:v>1.75376571225185</c:v>
                </c:pt>
                <c:pt idx="18">
                  <c:v>1.39238186987018</c:v>
                </c:pt>
                <c:pt idx="19">
                  <c:v>0.926995259404734</c:v>
                </c:pt>
                <c:pt idx="20">
                  <c:v>0.494417851318638</c:v>
                </c:pt>
                <c:pt idx="21">
                  <c:v>0.22183148750821</c:v>
                </c:pt>
                <c:pt idx="22">
                  <c:v>0.18676217447759</c:v>
                </c:pt>
                <c:pt idx="23">
                  <c:v>0.399008530602234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'Langkah Perhitungan'!$B$36</c:f>
              <c:strCache>
                <c:ptCount val="1"/>
                <c:pt idx="0">
                  <c:v>25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Perhitungan'!$C$36:$Z$36</c:f>
              <c:numCache>
                <c:formatCode>0.000</c:formatCode>
                <c:ptCount val="24"/>
                <c:pt idx="0">
                  <c:v>0.807665075219473</c:v>
                </c:pt>
                <c:pt idx="1">
                  <c:v>1.32052376471356</c:v>
                </c:pt>
                <c:pt idx="2">
                  <c:v>1.82265388460438</c:v>
                </c:pt>
                <c:pt idx="3">
                  <c:v>2.19404429275169</c:v>
                </c:pt>
                <c:pt idx="4">
                  <c:v>2.33442717219156</c:v>
                </c:pt>
                <c:pt idx="5">
                  <c:v>2.19524737448309</c:v>
                </c:pt>
                <c:pt idx="6">
                  <c:v>1.80402765402796</c:v>
                </c:pt>
                <c:pt idx="7">
                  <c:v>1.26305179984499</c:v>
                </c:pt>
                <c:pt idx="8">
                  <c:v>0.717463060278271</c:v>
                </c:pt>
                <c:pt idx="9">
                  <c:v>0.306514769272943</c:v>
                </c:pt>
                <c:pt idx="10">
                  <c:v>0.121121611252348</c:v>
                </c:pt>
                <c:pt idx="11">
                  <c:v>0.184891039736293</c:v>
                </c:pt>
                <c:pt idx="12">
                  <c:v>0.460096101219501</c:v>
                </c:pt>
                <c:pt idx="13">
                  <c:v>0.866883606001072</c:v>
                </c:pt>
                <c:pt idx="14">
                  <c:v>1.30292144989628</c:v>
                </c:pt>
                <c:pt idx="15">
                  <c:v>1.66038449081118</c:v>
                </c:pt>
                <c:pt idx="16">
                  <c:v>1.84596311005952</c:v>
                </c:pt>
                <c:pt idx="17">
                  <c:v>1.80677596524521</c:v>
                </c:pt>
                <c:pt idx="18">
                  <c:v>1.55329945896905</c:v>
                </c:pt>
                <c:pt idx="19">
                  <c:v>1.16349293554201</c:v>
                </c:pt>
                <c:pt idx="20">
                  <c:v>0.759678923297997</c:v>
                </c:pt>
                <c:pt idx="21">
                  <c:v>0.466336516251165</c:v>
                </c:pt>
                <c:pt idx="22">
                  <c:v>0.369085183067074</c:v>
                </c:pt>
                <c:pt idx="23">
                  <c:v>0.493350895286178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'Langkah Perhitungan'!$B$37</c:f>
              <c:strCache>
                <c:ptCount val="1"/>
                <c:pt idx="0">
                  <c:v>26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Perhitungan'!$C$37:$Z$37</c:f>
              <c:numCache>
                <c:formatCode>0.000</c:formatCode>
                <c:ptCount val="24"/>
                <c:pt idx="0">
                  <c:v>0.807347649025937</c:v>
                </c:pt>
                <c:pt idx="1">
                  <c:v>1.23939631669741</c:v>
                </c:pt>
                <c:pt idx="2">
                  <c:v>1.69612595730784</c:v>
                </c:pt>
                <c:pt idx="3">
                  <c:v>2.07692064043012</c:v>
                </c:pt>
                <c:pt idx="4">
                  <c:v>2.28962056871091</c:v>
                </c:pt>
                <c:pt idx="5">
                  <c:v>2.27176923272577</c:v>
                </c:pt>
                <c:pt idx="6">
                  <c:v>2.01261448010029</c:v>
                </c:pt>
                <c:pt idx="7">
                  <c:v>1.56466142233101</c:v>
                </c:pt>
                <c:pt idx="8">
                  <c:v>1.03583482687456</c:v>
                </c:pt>
                <c:pt idx="9">
                  <c:v>0.561184830343359</c:v>
                </c:pt>
                <c:pt idx="10">
                  <c:v>0.261905482939559</c:v>
                </c:pt>
                <c:pt idx="11">
                  <c:v>0.20652261984961</c:v>
                </c:pt>
                <c:pt idx="12">
                  <c:v>0.390434270377989</c:v>
                </c:pt>
                <c:pt idx="13">
                  <c:v>0.741964998370379</c:v>
                </c:pt>
                <c:pt idx="14">
                  <c:v>1.14968393382325</c:v>
                </c:pt>
                <c:pt idx="15">
                  <c:v>1.49716999153497</c:v>
                </c:pt>
                <c:pt idx="16">
                  <c:v>1.69295955414341</c:v>
                </c:pt>
                <c:pt idx="17">
                  <c:v>1.69022312852025</c:v>
                </c:pt>
                <c:pt idx="18">
                  <c:v>1.4954730633108</c:v>
                </c:pt>
                <c:pt idx="19">
                  <c:v>1.16639025653276</c:v>
                </c:pt>
                <c:pt idx="20">
                  <c:v>0.798182495970138</c:v>
                </c:pt>
                <c:pt idx="21">
                  <c:v>0.498889628262173</c:v>
                </c:pt>
                <c:pt idx="22">
                  <c:v>0.358491512211365</c:v>
                </c:pt>
                <c:pt idx="23">
                  <c:v>0.422326507905788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'Langkah Perhitungan'!$B$38</c:f>
              <c:strCache>
                <c:ptCount val="1"/>
                <c:pt idx="0">
                  <c:v>27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Perhitungan'!$C$38:$Z$38</c:f>
              <c:numCache>
                <c:formatCode>0.000</c:formatCode>
                <c:ptCount val="24"/>
                <c:pt idx="0">
                  <c:v>0.679863320930698</c:v>
                </c:pt>
                <c:pt idx="1">
                  <c:v>1.07201022633048</c:v>
                </c:pt>
                <c:pt idx="2">
                  <c:v>1.51000487150623</c:v>
                </c:pt>
                <c:pt idx="3">
                  <c:v>1.8960887897686</c:v>
                </c:pt>
                <c:pt idx="4">
                  <c:v>2.14172892620185</c:v>
                </c:pt>
                <c:pt idx="5">
                  <c:v>2.18468435708393</c:v>
                </c:pt>
                <c:pt idx="6">
                  <c:v>2.00513619326401</c:v>
                </c:pt>
                <c:pt idx="7">
                  <c:v>1.63605590348416</c:v>
                </c:pt>
                <c:pt idx="8">
                  <c:v>1.16068486114458</c:v>
                </c:pt>
                <c:pt idx="9">
                  <c:v>0.693279600807498</c:v>
                </c:pt>
                <c:pt idx="10">
                  <c:v>0.346491989862598</c:v>
                </c:pt>
                <c:pt idx="11">
                  <c:v>0.196516514233849</c:v>
                </c:pt>
                <c:pt idx="12">
                  <c:v>0.260698687481093</c:v>
                </c:pt>
                <c:pt idx="13">
                  <c:v>0.497272799646706</c:v>
                </c:pt>
                <c:pt idx="14">
                  <c:v>0.824922016602448</c:v>
                </c:pt>
                <c:pt idx="15">
                  <c:v>1.15000847353127</c:v>
                </c:pt>
                <c:pt idx="16">
                  <c:v>1.38957732391013</c:v>
                </c:pt>
                <c:pt idx="17">
                  <c:v>1.486451020931</c:v>
                </c:pt>
                <c:pt idx="18">
                  <c:v>1.41929553129672</c:v>
                </c:pt>
                <c:pt idx="19">
                  <c:v>1.20938718086586</c:v>
                </c:pt>
                <c:pt idx="20">
                  <c:v>0.92019799241001</c:v>
                </c:pt>
                <c:pt idx="21">
                  <c:v>0.643762401688195</c:v>
                </c:pt>
                <c:pt idx="22">
                  <c:v>0.473316301168455</c:v>
                </c:pt>
                <c:pt idx="23">
                  <c:v>0.471467444694643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'Langkah Perhitungan'!$B$39</c:f>
              <c:strCache>
                <c:ptCount val="1"/>
                <c:pt idx="0">
                  <c:v>28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Perhitungan'!$C$39:$Z$39</c:f>
              <c:numCache>
                <c:formatCode>0.000</c:formatCode>
                <c:ptCount val="24"/>
                <c:pt idx="0">
                  <c:v>0.648787817941724</c:v>
                </c:pt>
                <c:pt idx="1">
                  <c:v>0.963176162605584</c:v>
                </c:pt>
                <c:pt idx="2">
                  <c:v>1.33811377683495</c:v>
                </c:pt>
                <c:pt idx="3">
                  <c:v>1.687761217111</c:v>
                </c:pt>
                <c:pt idx="4">
                  <c:v>1.93680361214373</c:v>
                </c:pt>
                <c:pt idx="5">
                  <c:v>2.0315781783534</c:v>
                </c:pt>
                <c:pt idx="6">
                  <c:v>1.94698885363157</c:v>
                </c:pt>
                <c:pt idx="7">
                  <c:v>1.69352308778424</c:v>
                </c:pt>
                <c:pt idx="8">
                  <c:v>1.32179551254314</c:v>
                </c:pt>
                <c:pt idx="9">
                  <c:v>0.916635595351262</c:v>
                </c:pt>
                <c:pt idx="10">
                  <c:v>0.575666294920668</c:v>
                </c:pt>
                <c:pt idx="11">
                  <c:v>0.377810387743064</c:v>
                </c:pt>
                <c:pt idx="12">
                  <c:v>0.356654217643915</c:v>
                </c:pt>
                <c:pt idx="13">
                  <c:v>0.492728732505072</c:v>
                </c:pt>
                <c:pt idx="14">
                  <c:v>0.726925360549952</c:v>
                </c:pt>
                <c:pt idx="15">
                  <c:v>0.984519923950945</c:v>
                </c:pt>
                <c:pt idx="16">
                  <c:v>1.1964608707359</c:v>
                </c:pt>
                <c:pt idx="17">
                  <c:v>1.312130158738</c:v>
                </c:pt>
                <c:pt idx="18">
                  <c:v>1.306358507448</c:v>
                </c:pt>
                <c:pt idx="19">
                  <c:v>1.18471400284085</c:v>
                </c:pt>
                <c:pt idx="20">
                  <c:v>0.98578859069727</c:v>
                </c:pt>
                <c:pt idx="21">
                  <c:v>0.775005880737789</c:v>
                </c:pt>
                <c:pt idx="22">
                  <c:v>0.627057785952905</c:v>
                </c:pt>
                <c:pt idx="23">
                  <c:v>0.601617175326437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'Langkah Perhitungan'!$B$40</c:f>
              <c:strCache>
                <c:ptCount val="1"/>
                <c:pt idx="0">
                  <c:v>29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Perhitungan'!$C$40:$Z$40</c:f>
              <c:numCache>
                <c:formatCode>0.000</c:formatCode>
                <c:ptCount val="24"/>
                <c:pt idx="0">
                  <c:v>0.7226352414442</c:v>
                </c:pt>
                <c:pt idx="1">
                  <c:v>0.970461472178654</c:v>
                </c:pt>
                <c:pt idx="2">
                  <c:v>1.28937914654548</c:v>
                </c:pt>
                <c:pt idx="3">
                  <c:v>1.60595327668428</c:v>
                </c:pt>
                <c:pt idx="4">
                  <c:v>1.84996306698286</c:v>
                </c:pt>
                <c:pt idx="5">
                  <c:v>1.97061270657307</c:v>
                </c:pt>
                <c:pt idx="6">
                  <c:v>1.9448391081762</c:v>
                </c:pt>
                <c:pt idx="7">
                  <c:v>1.77915074780672</c:v>
                </c:pt>
                <c:pt idx="8">
                  <c:v>1.50809842967565</c:v>
                </c:pt>
                <c:pt idx="9">
                  <c:v>1.18971907940926</c:v>
                </c:pt>
                <c:pt idx="10">
                  <c:v>0.894691775515936</c:v>
                </c:pt>
                <c:pt idx="11">
                  <c:v>0.687575908356993</c:v>
                </c:pt>
                <c:pt idx="12">
                  <c:v>0.605927373124584</c:v>
                </c:pt>
                <c:pt idx="13">
                  <c:v>0.648515965297568</c:v>
                </c:pt>
                <c:pt idx="14">
                  <c:v>0.779776591499112</c:v>
                </c:pt>
                <c:pt idx="15">
                  <c:v>0.94673821134333</c:v>
                </c:pt>
                <c:pt idx="16">
                  <c:v>1.0974853046025</c:v>
                </c:pt>
                <c:pt idx="17">
                  <c:v>1.1929133063389</c:v>
                </c:pt>
                <c:pt idx="18">
                  <c:v>1.21165461000111</c:v>
                </c:pt>
                <c:pt idx="19">
                  <c:v>1.15250669612543</c:v>
                </c:pt>
                <c:pt idx="20">
                  <c:v>1.03598761047058</c:v>
                </c:pt>
                <c:pt idx="21">
                  <c:v>0.901769702345011</c:v>
                </c:pt>
                <c:pt idx="22">
                  <c:v>0.798666347099185</c:v>
                </c:pt>
                <c:pt idx="23">
                  <c:v>0.769247166786895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2432"/>
        <c:axId val="105695872"/>
        <c:extLst>
          <c:ext xmlns:c15="http://schemas.microsoft.com/office/drawing/2012/chart" uri="{02D57815-91ED-43cb-92C2-25804820EDAC}">
            <c15:filteredScatterSeries>
              <c15:ser>
                <c:idx val="29"/>
                <c:order val="29"/>
                <c:tx>
                  <c:strRef>
                    <c:extLst>
                      <c:ext uri="{02D57815-91ED-43cb-92C2-25804820EDAC}">
                        <c15:formulaRef>
                          <c15:sqref>'Langkah Perhitungan'!$B$41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'Langkah Perhitungan'!$B$42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5682432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Jam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695872"/>
        <c:crosses val="autoZero"/>
        <c:crossBetween val="midCat"/>
        <c:majorUnit val="1"/>
        <c:minorUnit val="1"/>
      </c:valAx>
      <c:valAx>
        <c:axId val="10569587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Tinggi Elevasi Muka Air Laut</a:t>
                </a:r>
                <a:endParaRPr lang="en-US" sz="2000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68243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f4eca8f-a529-4e3b-bfed-469fe89ea643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Grafik Elevasi Muka Air Laut di Bitung pada Tanggal 15 Agustus 2009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"hari ke 15"</c:f>
              <c:strCache>
                <c:ptCount val="1"/>
                <c:pt idx="0">
                  <c:v>hari ke 15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'Langkah Perhitungan'!$C$26:$Z$26</c:f>
              <c:numCache>
                <c:formatCode>0.000</c:formatCode>
                <c:ptCount val="24"/>
                <c:pt idx="0">
                  <c:v>0.538154056628631</c:v>
                </c:pt>
                <c:pt idx="1">
                  <c:v>0.650388813844139</c:v>
                </c:pt>
                <c:pt idx="2">
                  <c:v>0.874878282010546</c:v>
                </c:pt>
                <c:pt idx="3">
                  <c:v>1.16968554224257</c:v>
                </c:pt>
                <c:pt idx="4">
                  <c:v>1.47339835703403</c:v>
                </c:pt>
                <c:pt idx="5">
                  <c:v>1.72153417908955</c:v>
                </c:pt>
                <c:pt idx="6">
                  <c:v>1.86442401742814</c:v>
                </c:pt>
                <c:pt idx="7">
                  <c:v>1.8787691156715</c:v>
                </c:pt>
                <c:pt idx="8">
                  <c:v>1.76849321743874</c:v>
                </c:pt>
                <c:pt idx="9">
                  <c:v>1.55770501525042</c:v>
                </c:pt>
                <c:pt idx="10">
                  <c:v>1.28288822189777</c:v>
                </c:pt>
                <c:pt idx="11">
                  <c:v>0.98856962774525</c:v>
                </c:pt>
                <c:pt idx="12">
                  <c:v>0.724026217791691</c:v>
                </c:pt>
                <c:pt idx="13">
                  <c:v>0.535667738862617</c:v>
                </c:pt>
                <c:pt idx="14">
                  <c:v>0.454011792297216</c:v>
                </c:pt>
                <c:pt idx="15">
                  <c:v>0.481320054012338</c:v>
                </c:pt>
                <c:pt idx="16">
                  <c:v>0.588661537179541</c:v>
                </c:pt>
                <c:pt idx="17">
                  <c:v>0.726392542139123</c:v>
                </c:pt>
                <c:pt idx="18">
                  <c:v>0.843524551185527</c:v>
                </c:pt>
                <c:pt idx="19">
                  <c:v>0.90596462403078</c:v>
                </c:pt>
                <c:pt idx="20">
                  <c:v>0.905163864897579</c:v>
                </c:pt>
                <c:pt idx="21">
                  <c:v>0.855483961947897</c:v>
                </c:pt>
                <c:pt idx="22">
                  <c:v>0.784941701904702</c:v>
                </c:pt>
                <c:pt idx="23">
                  <c:v>0.725497481819074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158528"/>
        <c:axId val="107161472"/>
      </c:lineChart>
      <c:catAx>
        <c:axId val="1071585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JAM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61472"/>
        <c:crosses val="autoZero"/>
        <c:auto val="1"/>
        <c:lblAlgn val="ctr"/>
        <c:lblOffset val="100"/>
        <c:noMultiLvlLbl val="0"/>
      </c:catAx>
      <c:valAx>
        <c:axId val="1071614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TINGGI</a:t>
                </a:r>
                <a:r>
                  <a:rPr lang="en-US" sz="1600" baseline="0"/>
                  <a:t> AIR (m)</a:t>
                </a:r>
                <a:endParaRPr lang="en-US" sz="1600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b40619b-1ba8-465c-b0e3-d578811ae728}"/>
      </c:ext>
    </c:extLst>
  </c:chart>
  <c:spPr>
    <a:solidFill>
      <a:schemeClr val="bg1"/>
    </a:solidFill>
    <a:ln w="127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GRAFIK ELEVASI MUKA AIR DI BITUNG PADA TANGGAL 15 AGUSTUS 2009</a:t>
            </a:r>
            <a:endParaRPr lang="en-US" sz="1800">
              <a:effectLst/>
            </a:endParaRPr>
          </a:p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DENGAN TIPE PASUT CAMPURAN CONDONG HARIAN GANDA</a:t>
            </a:r>
            <a:endParaRPr lang="en-US" sz="18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"hari ke 15"</c:f>
              <c:strCache>
                <c:ptCount val="1"/>
                <c:pt idx="0">
                  <c:v>hari ke 15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'Langkah Perhitungan'!$C$26:$Z$26</c:f>
              <c:numCache>
                <c:formatCode>0.000</c:formatCode>
                <c:ptCount val="24"/>
                <c:pt idx="0">
                  <c:v>0.538154056628631</c:v>
                </c:pt>
                <c:pt idx="1">
                  <c:v>0.650388813844139</c:v>
                </c:pt>
                <c:pt idx="2">
                  <c:v>0.874878282010546</c:v>
                </c:pt>
                <c:pt idx="3">
                  <c:v>1.16968554224257</c:v>
                </c:pt>
                <c:pt idx="4">
                  <c:v>1.47339835703403</c:v>
                </c:pt>
                <c:pt idx="5">
                  <c:v>1.72153417908955</c:v>
                </c:pt>
                <c:pt idx="6">
                  <c:v>1.86442401742814</c:v>
                </c:pt>
                <c:pt idx="7">
                  <c:v>1.8787691156715</c:v>
                </c:pt>
                <c:pt idx="8">
                  <c:v>1.76849321743874</c:v>
                </c:pt>
                <c:pt idx="9">
                  <c:v>1.55770501525042</c:v>
                </c:pt>
                <c:pt idx="10">
                  <c:v>1.28288822189777</c:v>
                </c:pt>
                <c:pt idx="11">
                  <c:v>0.98856962774525</c:v>
                </c:pt>
                <c:pt idx="12">
                  <c:v>0.724026217791691</c:v>
                </c:pt>
                <c:pt idx="13">
                  <c:v>0.535667738862617</c:v>
                </c:pt>
                <c:pt idx="14">
                  <c:v>0.454011792297216</c:v>
                </c:pt>
                <c:pt idx="15">
                  <c:v>0.481320054012338</c:v>
                </c:pt>
                <c:pt idx="16">
                  <c:v>0.588661537179541</c:v>
                </c:pt>
                <c:pt idx="17">
                  <c:v>0.726392542139123</c:v>
                </c:pt>
                <c:pt idx="18">
                  <c:v>0.843524551185527</c:v>
                </c:pt>
                <c:pt idx="19">
                  <c:v>0.90596462403078</c:v>
                </c:pt>
                <c:pt idx="20">
                  <c:v>0.905163864897579</c:v>
                </c:pt>
                <c:pt idx="21">
                  <c:v>0.855483961947897</c:v>
                </c:pt>
                <c:pt idx="22">
                  <c:v>0.784941701904702</c:v>
                </c:pt>
                <c:pt idx="23">
                  <c:v>0.725497481819074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0"/>
        <c:smooth val="0"/>
        <c:axId val="107187200"/>
        <c:axId val="107198720"/>
      </c:lineChart>
      <c:catAx>
        <c:axId val="107187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JAM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98720"/>
        <c:crosses val="autoZero"/>
        <c:auto val="1"/>
        <c:lblAlgn val="ctr"/>
        <c:lblOffset val="100"/>
        <c:noMultiLvlLbl val="0"/>
      </c:catAx>
      <c:valAx>
        <c:axId val="1071987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TINGGI</a:t>
                </a:r>
                <a:r>
                  <a:rPr lang="en-US" sz="1600" baseline="0"/>
                  <a:t> AIR (m)</a:t>
                </a:r>
                <a:endParaRPr lang="en-US" sz="1600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b1bea5a-a2a4-49bb-a903-0b0b146f3f8b}"/>
      </c:ext>
    </c:extLst>
  </c:chart>
  <c:spPr>
    <a:solidFill>
      <a:schemeClr val="bg1"/>
    </a:solidFill>
    <a:ln w="127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jpe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65</xdr:col>
      <xdr:colOff>276225</xdr:colOff>
      <xdr:row>55</xdr:row>
      <xdr:rowOff>171450</xdr:rowOff>
    </xdr:from>
    <xdr:to>
      <xdr:col>69</xdr:col>
      <xdr:colOff>66675</xdr:colOff>
      <xdr:row>62</xdr:row>
      <xdr:rowOff>19050</xdr:rowOff>
    </xdr:to>
    <xdr:pic>
      <xdr:nvPicPr>
        <xdr:cNvPr id="5" name="Picture 4" descr="https://encrypted-tbn0.gstatic.com/images?q=tbn:ANd9GcQhL5MVsi4FCTh2pyPLXF9wJ8mtibwIsxeYrkhUdS877w&amp;s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636565" y="11057890"/>
          <a:ext cx="3013075" cy="1192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1142999</xdr:colOff>
      <xdr:row>40</xdr:row>
      <xdr:rowOff>200023</xdr:rowOff>
    </xdr:from>
    <xdr:to>
      <xdr:col>21</xdr:col>
      <xdr:colOff>600074</xdr:colOff>
      <xdr:row>94</xdr:row>
      <xdr:rowOff>9525</xdr:rowOff>
    </xdr:to>
    <xdr:graphicFrame>
      <xdr:nvGraphicFramePr>
        <xdr:cNvPr id="13" name="Chart 12"/>
        <xdr:cNvGraphicFramePr/>
      </xdr:nvGraphicFramePr>
      <xdr:xfrm>
        <a:off x="1773555" y="8149590"/>
        <a:ext cx="12629515" cy="9943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609599</xdr:colOff>
      <xdr:row>45</xdr:row>
      <xdr:rowOff>0</xdr:rowOff>
    </xdr:from>
    <xdr:to>
      <xdr:col>40</xdr:col>
      <xdr:colOff>19049</xdr:colOff>
      <xdr:row>67</xdr:row>
      <xdr:rowOff>180975</xdr:rowOff>
    </xdr:to>
    <xdr:graphicFrame>
      <xdr:nvGraphicFramePr>
        <xdr:cNvPr id="14" name="Chart 13"/>
        <xdr:cNvGraphicFramePr/>
      </xdr:nvGraphicFramePr>
      <xdr:xfrm>
        <a:off x="15043785" y="8928735"/>
        <a:ext cx="10976610" cy="439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590549</xdr:colOff>
      <xdr:row>70</xdr:row>
      <xdr:rowOff>9525</xdr:rowOff>
    </xdr:from>
    <xdr:to>
      <xdr:col>39</xdr:col>
      <xdr:colOff>609599</xdr:colOff>
      <xdr:row>94</xdr:row>
      <xdr:rowOff>0</xdr:rowOff>
    </xdr:to>
    <xdr:graphicFrame>
      <xdr:nvGraphicFramePr>
        <xdr:cNvPr id="16" name="Chart 15"/>
        <xdr:cNvGraphicFramePr/>
      </xdr:nvGraphicFramePr>
      <xdr:xfrm>
        <a:off x="15024735" y="13703935"/>
        <a:ext cx="10955020" cy="4379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1"/>
  <sheetViews>
    <sheetView tabSelected="1" zoomScale="86" zoomScaleNormal="86" topLeftCell="BH29" workbookViewId="0">
      <selection activeCell="CD56" sqref="CD56"/>
    </sheetView>
  </sheetViews>
  <sheetFormatPr defaultColWidth="9.2037037037037" defaultRowHeight="14.4"/>
  <cols>
    <col min="1" max="1" width="9.2037037037037" style="2"/>
    <col min="2" max="2" width="17.2037037037037" style="2" customWidth="1"/>
    <col min="3" max="27" width="9.2037037037037" style="2"/>
    <col min="28" max="28" width="12.2037037037037" style="2" customWidth="1"/>
    <col min="29" max="41" width="9.2037037037037" style="2"/>
    <col min="42" max="42" width="11.2685185185185" style="2" customWidth="1"/>
    <col min="43" max="47" width="9.2037037037037" style="2"/>
    <col min="48" max="49" width="9.26851851851852" style="2" customWidth="1"/>
    <col min="50" max="50" width="9.2037037037037" style="2"/>
    <col min="51" max="51" width="9.26851851851852" style="2" customWidth="1"/>
    <col min="52" max="52" width="9.2037037037037" style="2"/>
    <col min="53" max="53" width="11" style="2" customWidth="1"/>
    <col min="54" max="54" width="11.2685185185185" style="2" customWidth="1"/>
    <col min="55" max="55" width="12" style="2" customWidth="1"/>
    <col min="56" max="56" width="10.7962962962963" style="2" customWidth="1"/>
    <col min="57" max="57" width="9.2037037037037" style="2"/>
    <col min="58" max="58" width="15" style="2" customWidth="1"/>
    <col min="59" max="60" width="9.2037037037037" style="2"/>
    <col min="61" max="61" width="11.2685185185185" style="2" customWidth="1"/>
    <col min="62" max="63" width="11.462962962963" style="2" customWidth="1"/>
    <col min="64" max="66" width="9.26851851851852" style="2" customWidth="1"/>
    <col min="67" max="67" width="12.7962962962963" style="2" customWidth="1"/>
    <col min="68" max="69" width="12.462962962963" style="2" customWidth="1"/>
    <col min="70" max="73" width="9.2037037037037" style="2"/>
    <col min="74" max="74" width="11.7962962962963" style="2" customWidth="1"/>
    <col min="75" max="75" width="12.7962962962963" style="2" customWidth="1"/>
    <col min="76" max="16384" width="9.2037037037037" style="2"/>
  </cols>
  <sheetData>
    <row r="1" ht="22.8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2.8" spans="1: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3.4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5" spans="2:5">
      <c r="B5" s="5" t="s">
        <v>2</v>
      </c>
      <c r="C5" s="6" t="s">
        <v>3</v>
      </c>
      <c r="D5" s="7"/>
      <c r="E5" s="8"/>
    </row>
    <row r="6" spans="2:5">
      <c r="B6" s="5" t="s">
        <v>4</v>
      </c>
      <c r="C6" s="6" t="s">
        <v>5</v>
      </c>
      <c r="D6" s="7"/>
      <c r="E6" s="8"/>
    </row>
    <row r="7" spans="2:5">
      <c r="B7" s="5" t="s">
        <v>6</v>
      </c>
      <c r="C7" s="6" t="str">
        <f>B26</f>
        <v>15 AGUSTUS 2009</v>
      </c>
      <c r="D7" s="7"/>
      <c r="E7" s="8"/>
    </row>
    <row r="8" ht="15.15" spans="2:5">
      <c r="B8" s="5" t="s">
        <v>7</v>
      </c>
      <c r="C8" s="6" t="s">
        <v>8</v>
      </c>
      <c r="D8" s="7"/>
      <c r="E8" s="8"/>
    </row>
    <row r="9" ht="15.15" spans="3:7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B9" s="2" t="s">
        <v>9</v>
      </c>
      <c r="AQ9" s="2" t="s">
        <v>10</v>
      </c>
      <c r="AY9" s="2" t="s">
        <v>11</v>
      </c>
      <c r="BJ9" s="10" t="s">
        <v>12</v>
      </c>
      <c r="BK9" s="10" t="s">
        <v>13</v>
      </c>
      <c r="BL9" s="10" t="s">
        <v>14</v>
      </c>
      <c r="BM9" s="10" t="s">
        <v>15</v>
      </c>
      <c r="BN9" s="10" t="s">
        <v>16</v>
      </c>
      <c r="BO9" s="10" t="s">
        <v>17</v>
      </c>
      <c r="BP9" s="10" t="s">
        <v>18</v>
      </c>
      <c r="BQ9" s="10" t="s">
        <v>19</v>
      </c>
      <c r="BS9" s="2" t="s">
        <v>20</v>
      </c>
    </row>
    <row r="10" ht="15.15" spans="2:78">
      <c r="B10" s="2" t="s">
        <v>21</v>
      </c>
      <c r="AB10" s="25"/>
      <c r="AC10" s="26" t="s">
        <v>22</v>
      </c>
      <c r="AD10" s="27"/>
      <c r="AE10" s="26" t="s">
        <v>23</v>
      </c>
      <c r="AF10" s="27"/>
      <c r="AG10" s="26" t="s">
        <v>24</v>
      </c>
      <c r="AH10" s="27"/>
      <c r="AI10" s="26" t="s">
        <v>25</v>
      </c>
      <c r="AJ10" s="27"/>
      <c r="AK10" s="26" t="s">
        <v>26</v>
      </c>
      <c r="AL10" s="27"/>
      <c r="AM10" s="26" t="s">
        <v>27</v>
      </c>
      <c r="AN10" s="27"/>
      <c r="AP10" s="25"/>
      <c r="AQ10" s="26" t="s">
        <v>28</v>
      </c>
      <c r="AR10" s="26" t="s">
        <v>22</v>
      </c>
      <c r="AS10" s="26" t="s">
        <v>23</v>
      </c>
      <c r="AT10" s="26" t="s">
        <v>24</v>
      </c>
      <c r="AU10" s="26" t="s">
        <v>25</v>
      </c>
      <c r="AV10" s="26" t="s">
        <v>26</v>
      </c>
      <c r="AW10" s="10" t="s">
        <v>27</v>
      </c>
      <c r="AX10" s="1"/>
      <c r="AY10" s="47" t="s">
        <v>29</v>
      </c>
      <c r="AZ10" s="47" t="s">
        <v>30</v>
      </c>
      <c r="BA10" s="10" t="s">
        <v>31</v>
      </c>
      <c r="BB10" s="10" t="s">
        <v>32</v>
      </c>
      <c r="BC10" s="10" t="s">
        <v>31</v>
      </c>
      <c r="BD10" s="10" t="s">
        <v>32</v>
      </c>
      <c r="BF10" s="55" t="s">
        <v>33</v>
      </c>
      <c r="BG10" s="56" t="s">
        <v>34</v>
      </c>
      <c r="BH10" s="57" t="s">
        <v>35</v>
      </c>
      <c r="BI10" s="58">
        <f>BC12</f>
        <v>754.523854733941</v>
      </c>
      <c r="BJ10" s="59">
        <f>BI10</f>
        <v>754.523854733941</v>
      </c>
      <c r="BK10" s="60" t="s">
        <v>36</v>
      </c>
      <c r="BL10" s="60" t="s">
        <v>36</v>
      </c>
      <c r="BM10" s="60" t="s">
        <v>36</v>
      </c>
      <c r="BN10" s="60" t="s">
        <v>36</v>
      </c>
      <c r="BO10" s="60" t="s">
        <v>36</v>
      </c>
      <c r="BP10" s="60" t="s">
        <v>36</v>
      </c>
      <c r="BQ10" s="58" t="s">
        <v>36</v>
      </c>
      <c r="BS10" s="56" t="s">
        <v>37</v>
      </c>
      <c r="BT10" s="94"/>
      <c r="BU10" s="94"/>
      <c r="BV10" s="94"/>
      <c r="BW10" s="122"/>
      <c r="BX10" s="95"/>
      <c r="BY10" s="95"/>
      <c r="BZ10" s="95"/>
    </row>
    <row r="11" s="1" customFormat="1" ht="15.15" spans="2:78">
      <c r="B11" s="10" t="s">
        <v>38</v>
      </c>
      <c r="C11" s="11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  <c r="Q11" s="12">
        <v>14</v>
      </c>
      <c r="R11" s="12">
        <v>15</v>
      </c>
      <c r="S11" s="12">
        <v>16</v>
      </c>
      <c r="T11" s="12">
        <v>17</v>
      </c>
      <c r="U11" s="12">
        <v>18</v>
      </c>
      <c r="V11" s="12">
        <v>19</v>
      </c>
      <c r="W11" s="12">
        <v>20</v>
      </c>
      <c r="X11" s="12">
        <v>21</v>
      </c>
      <c r="Y11" s="12">
        <v>22</v>
      </c>
      <c r="Z11" s="28">
        <v>23</v>
      </c>
      <c r="AB11" s="29" t="s">
        <v>39</v>
      </c>
      <c r="AC11" s="30" t="s">
        <v>40</v>
      </c>
      <c r="AD11" s="30" t="s">
        <v>36</v>
      </c>
      <c r="AE11" s="30" t="s">
        <v>40</v>
      </c>
      <c r="AF11" s="30" t="s">
        <v>36</v>
      </c>
      <c r="AG11" s="30" t="s">
        <v>40</v>
      </c>
      <c r="AH11" s="30" t="s">
        <v>36</v>
      </c>
      <c r="AI11" s="30" t="s">
        <v>40</v>
      </c>
      <c r="AJ11" s="30" t="s">
        <v>36</v>
      </c>
      <c r="AK11" s="30" t="s">
        <v>40</v>
      </c>
      <c r="AL11" s="30" t="s">
        <v>36</v>
      </c>
      <c r="AM11" s="30" t="s">
        <v>40</v>
      </c>
      <c r="AN11" s="30" t="s">
        <v>36</v>
      </c>
      <c r="AP11" s="29" t="s">
        <v>39</v>
      </c>
      <c r="AQ11" s="43"/>
      <c r="AR11" s="43" t="s">
        <v>41</v>
      </c>
      <c r="AS11" s="43" t="s">
        <v>41</v>
      </c>
      <c r="AT11" s="43" t="s">
        <v>41</v>
      </c>
      <c r="AU11" s="43" t="s">
        <v>41</v>
      </c>
      <c r="AV11" s="43" t="s">
        <v>41</v>
      </c>
      <c r="AW11" s="43" t="s">
        <v>41</v>
      </c>
      <c r="AX11" s="48"/>
      <c r="AY11" s="47"/>
      <c r="AZ11" s="47"/>
      <c r="BA11" s="10" t="s">
        <v>42</v>
      </c>
      <c r="BB11" s="10"/>
      <c r="BC11" s="10"/>
      <c r="BD11" s="10"/>
      <c r="BF11" s="61" t="s">
        <v>43</v>
      </c>
      <c r="BG11" s="62" t="s">
        <v>44</v>
      </c>
      <c r="BH11" s="1" t="s">
        <v>35</v>
      </c>
      <c r="BI11" s="63">
        <f>BC13</f>
        <v>25.8277220739105</v>
      </c>
      <c r="BJ11" s="64" t="s">
        <v>36</v>
      </c>
      <c r="BK11" s="65" t="s">
        <v>36</v>
      </c>
      <c r="BL11" s="65" t="s">
        <v>36</v>
      </c>
      <c r="BM11" s="65" t="s">
        <v>36</v>
      </c>
      <c r="BN11" s="65">
        <f>1*BI11</f>
        <v>25.8277220739105</v>
      </c>
      <c r="BO11" s="65">
        <f>-0.08*BI11</f>
        <v>-2.06621776591284</v>
      </c>
      <c r="BP11" s="65" t="s">
        <v>36</v>
      </c>
      <c r="BQ11" s="63" t="s">
        <v>36</v>
      </c>
      <c r="BS11" s="62" t="s">
        <v>45</v>
      </c>
      <c r="BT11" s="95" t="s">
        <v>46</v>
      </c>
      <c r="BU11" s="95" t="s">
        <v>47</v>
      </c>
      <c r="BV11" s="123">
        <f>BN37</f>
        <v>233.6</v>
      </c>
      <c r="BW11" s="124"/>
      <c r="BX11" s="95"/>
      <c r="BY11" s="95"/>
      <c r="BZ11" s="95"/>
    </row>
    <row r="12" ht="15.15" spans="2:78">
      <c r="B12" s="13" t="s">
        <v>48</v>
      </c>
      <c r="C12" s="14">
        <v>0.690991237694111</v>
      </c>
      <c r="D12" s="15">
        <v>0.85215165906692</v>
      </c>
      <c r="E12" s="15">
        <v>1.04710076510651</v>
      </c>
      <c r="F12" s="15">
        <v>1.2786308708553</v>
      </c>
      <c r="G12" s="15">
        <v>1.51056092162095</v>
      </c>
      <c r="H12" s="15">
        <v>1.6870749372207</v>
      </c>
      <c r="I12" s="15">
        <v>1.76332071129657</v>
      </c>
      <c r="J12" s="15">
        <v>1.72624095853627</v>
      </c>
      <c r="K12" s="15">
        <v>1.59584753703934</v>
      </c>
      <c r="L12" s="15">
        <v>1.41205921788081</v>
      </c>
      <c r="M12" s="15">
        <v>1.21865276613838</v>
      </c>
      <c r="N12" s="15">
        <v>1.05203963559725</v>
      </c>
      <c r="O12" s="15">
        <v>0.935555083920609</v>
      </c>
      <c r="P12" s="15">
        <v>0.876911140666748</v>
      </c>
      <c r="Q12" s="15">
        <v>0.86817543343338</v>
      </c>
      <c r="R12" s="15">
        <v>0.889637976371112</v>
      </c>
      <c r="S12" s="15">
        <v>0.917665754011881</v>
      </c>
      <c r="T12" s="15">
        <v>0.933400440622797</v>
      </c>
      <c r="U12" s="15">
        <v>0.927956951115735</v>
      </c>
      <c r="V12" s="15">
        <v>0.902359533419269</v>
      </c>
      <c r="W12" s="15">
        <v>0.864288374982054</v>
      </c>
      <c r="X12" s="15">
        <v>0.825076684964618</v>
      </c>
      <c r="Y12" s="15">
        <v>0.798399155698831</v>
      </c>
      <c r="Z12" s="31">
        <v>0.799239114975478</v>
      </c>
      <c r="AB12" s="32" t="s">
        <v>49</v>
      </c>
      <c r="AC12" s="33">
        <f>SUM(I12:T12)</f>
        <v>14.1895066555151</v>
      </c>
      <c r="AD12" s="34">
        <f>SUM(C12:H12)+SUM(U12:Z12)</f>
        <v>12.1838302067205</v>
      </c>
      <c r="AE12" s="34">
        <f>SUM(O12:Z12)</f>
        <v>10.5386656441825</v>
      </c>
      <c r="AF12" s="34">
        <f>SUM(C12:N12)</f>
        <v>15.8346712180531</v>
      </c>
      <c r="AG12" s="34">
        <f>SUM(C12:E12)+SUM(L12:Q12)+SUM(X12:Z12)</f>
        <v>11.3763518951436</v>
      </c>
      <c r="AH12" s="34">
        <f>SUM(F12:K12)+SUM(R12:W12)</f>
        <v>14.996984967092</v>
      </c>
      <c r="AI12" s="34">
        <f>SUM(C12:H12)+SUM(O12:T12)</f>
        <v>12.487856220591</v>
      </c>
      <c r="AJ12" s="34">
        <f>SUM(I12:N12)+SUM(U12:Z12)</f>
        <v>13.8854806416446</v>
      </c>
      <c r="AK12" s="34">
        <f>C12++H12+I12+N12+O12+T12+U12+Z12</f>
        <v>8.78957811244325</v>
      </c>
      <c r="AL12" s="34">
        <f>E12+F12+K12+L12+Q12+R12+W12+X12</f>
        <v>8.78081686063312</v>
      </c>
      <c r="AM12" s="34">
        <f>SUM(C12:E12)+SUM(I12:K12)+SUM(O12:Q12)+SUM(U12:W12)</f>
        <v>13.0508993862775</v>
      </c>
      <c r="AN12" s="34">
        <f>SUM(F12:H12)+SUM(L12:N12)+SUM(R12:T12)+SUM(X12:Z12)</f>
        <v>13.3224374759581</v>
      </c>
      <c r="AP12" s="36" t="s">
        <v>49</v>
      </c>
      <c r="AQ12" s="44">
        <f>SUM(AC12:AD12)</f>
        <v>26.3733368622356</v>
      </c>
      <c r="AR12" s="44">
        <f>(AC12-AD12)+$AR$11</f>
        <v>12.0056764487947</v>
      </c>
      <c r="AS12" s="44">
        <f>(AE12-AF12)+$AS$11</f>
        <v>4.7039944261294</v>
      </c>
      <c r="AT12" s="44">
        <f>(AG12-AH12)+$AT$11</f>
        <v>6.37936692805167</v>
      </c>
      <c r="AU12" s="44">
        <f>(AI12-AJ12)+$AU$11</f>
        <v>8.60237557894641</v>
      </c>
      <c r="AV12" s="44">
        <f>(AK12-AL12)+$AV$11</f>
        <v>10.0087612518101</v>
      </c>
      <c r="AW12" s="44">
        <f>(AM12-AN12)+$AW$11</f>
        <v>9.72846191031941</v>
      </c>
      <c r="AX12" s="40"/>
      <c r="AY12" s="10">
        <v>0</v>
      </c>
      <c r="AZ12" s="10" t="s">
        <v>40</v>
      </c>
      <c r="BA12" s="44">
        <f>SUM(AQ12:AQ40)</f>
        <v>754.523854733941</v>
      </c>
      <c r="BB12" s="44"/>
      <c r="BC12" s="44">
        <f>BA12</f>
        <v>754.523854733941</v>
      </c>
      <c r="BD12" s="44"/>
      <c r="BF12" s="61" t="s">
        <v>50</v>
      </c>
      <c r="BG12" s="62" t="s">
        <v>51</v>
      </c>
      <c r="BH12" s="1" t="s">
        <v>35</v>
      </c>
      <c r="BI12" s="63">
        <f>BC15-BD18</f>
        <v>18.0934192857452</v>
      </c>
      <c r="BJ12" s="64" t="s">
        <v>36</v>
      </c>
      <c r="BK12" s="65">
        <f>0.07*BI12</f>
        <v>1.26653935000217</v>
      </c>
      <c r="BL12" s="65" t="s">
        <v>36</v>
      </c>
      <c r="BM12" s="65" t="s">
        <v>36</v>
      </c>
      <c r="BN12" s="65">
        <f>-0.02*BI12</f>
        <v>-0.361868385714905</v>
      </c>
      <c r="BO12" s="65">
        <f>1*BI12</f>
        <v>18.0934192857452</v>
      </c>
      <c r="BP12" s="65" t="s">
        <v>36</v>
      </c>
      <c r="BQ12" s="63">
        <f>0.02*BI12</f>
        <v>0.361868385714905</v>
      </c>
      <c r="BS12" s="62" t="s">
        <v>45</v>
      </c>
      <c r="BT12" s="95" t="s">
        <v>46</v>
      </c>
      <c r="BU12" s="95" t="s">
        <v>52</v>
      </c>
      <c r="BV12" s="123">
        <f>BN38</f>
        <v>6.1</v>
      </c>
      <c r="BW12" s="124"/>
      <c r="BX12" s="95"/>
      <c r="BY12" s="95"/>
      <c r="BZ12" s="95"/>
    </row>
    <row r="13" ht="15.15" spans="2:78">
      <c r="B13" s="13" t="s">
        <v>53</v>
      </c>
      <c r="C13" s="16">
        <v>0.840985690243985</v>
      </c>
      <c r="D13" s="17">
        <v>0.930389104938793</v>
      </c>
      <c r="E13" s="17">
        <v>1.0626294842648</v>
      </c>
      <c r="F13" s="17">
        <v>1.21976151426026</v>
      </c>
      <c r="G13" s="17">
        <v>1.3745307691732</v>
      </c>
      <c r="H13" s="17">
        <v>1.49871189630795</v>
      </c>
      <c r="I13" s="17">
        <v>1.57234301514616</v>
      </c>
      <c r="J13" s="17">
        <v>1.58938850717825</v>
      </c>
      <c r="K13" s="17">
        <v>1.55724969544542</v>
      </c>
      <c r="L13" s="17">
        <v>1.49105071033653</v>
      </c>
      <c r="M13" s="17">
        <v>1.40643113215537</v>
      </c>
      <c r="N13" s="17">
        <v>1.31479929331611</v>
      </c>
      <c r="O13" s="17">
        <v>1.22258276648172</v>
      </c>
      <c r="P13" s="17">
        <v>1.13294280155747</v>
      </c>
      <c r="Q13" s="17">
        <v>1.04732013098779</v>
      </c>
      <c r="R13" s="17">
        <v>0.96588264089872</v>
      </c>
      <c r="S13" s="17">
        <v>0.888305077376475</v>
      </c>
      <c r="T13" s="17">
        <v>0.816236780085</v>
      </c>
      <c r="U13" s="17">
        <v>0.756064029358673</v>
      </c>
      <c r="V13" s="17">
        <v>0.718633799900706</v>
      </c>
      <c r="W13" s="17">
        <v>0.714564842007606</v>
      </c>
      <c r="X13" s="17">
        <v>0.748042909621148</v>
      </c>
      <c r="Y13" s="17">
        <v>0.81388539694573</v>
      </c>
      <c r="Z13" s="35">
        <v>0.900010276520238</v>
      </c>
      <c r="AB13" s="36" t="s">
        <v>54</v>
      </c>
      <c r="AC13" s="33">
        <f t="shared" ref="AC13:AC40" si="0">SUM(I13:T13)</f>
        <v>15.004532550965</v>
      </c>
      <c r="AD13" s="34">
        <f t="shared" ref="AD13:AD40" si="1">SUM(C13:H13)+SUM(U13:Z13)</f>
        <v>11.5782097135431</v>
      </c>
      <c r="AE13" s="34">
        <f t="shared" ref="AE13:AE40" si="2">SUM(O13:Z13)</f>
        <v>10.7244714517413</v>
      </c>
      <c r="AF13" s="34">
        <f t="shared" ref="AF13:AF40" si="3">SUM(C13:N13)</f>
        <v>15.8582708127668</v>
      </c>
      <c r="AG13" s="34">
        <f t="shared" ref="AG13:AG40" si="4">SUM(C13:E13)+SUM(L13:Q13)+SUM(X13:Z13)</f>
        <v>12.9110696973697</v>
      </c>
      <c r="AH13" s="34">
        <f t="shared" ref="AH13:AH40" si="5">SUM(F13:K13)+SUM(R13:W13)</f>
        <v>13.6716725671384</v>
      </c>
      <c r="AI13" s="34">
        <f t="shared" ref="AI13:AI40" si="6">SUM(C13:H13)+SUM(O13:T13)</f>
        <v>13.0002786565762</v>
      </c>
      <c r="AJ13" s="34">
        <f t="shared" ref="AJ13:AJ40" si="7">SUM(I13:N13)+SUM(U13:Z13)</f>
        <v>13.5824636079319</v>
      </c>
      <c r="AK13" s="34">
        <f t="shared" ref="AK13:AK40" si="8">C13++H13+I13+N13+O13+T13+U13+Z13</f>
        <v>8.92173374745984</v>
      </c>
      <c r="AL13" s="34">
        <f t="shared" ref="AL13:AL40" si="9">E13+F13+K13+L13+Q13+R13+W13+X13</f>
        <v>8.80650192782227</v>
      </c>
      <c r="AM13" s="34">
        <f t="shared" ref="AM13:AM40" si="10">SUM(C13:E13)+SUM(I13:K13)+SUM(O13:Q13)+SUM(U13:W13)</f>
        <v>13.1450938675114</v>
      </c>
      <c r="AN13" s="34">
        <f t="shared" ref="AN13:AN40" si="11">SUM(F13:H13)+SUM(L13:N13)+SUM(R13:T13)+SUM(X13:Z13)</f>
        <v>13.4376483969967</v>
      </c>
      <c r="AP13" s="36" t="s">
        <v>54</v>
      </c>
      <c r="AQ13" s="44">
        <f t="shared" ref="AQ13:AQ40" si="12">SUM(AC13:AD13)</f>
        <v>26.5827422645081</v>
      </c>
      <c r="AR13" s="44">
        <f t="shared" ref="AR13:AR40" si="13">(AC13-AD13)+$AR$11</f>
        <v>13.4263228374219</v>
      </c>
      <c r="AS13" s="44">
        <f t="shared" ref="AS13:AS40" si="14">(AE13-AF13)+$AS$11</f>
        <v>4.86620063897445</v>
      </c>
      <c r="AT13" s="44">
        <f t="shared" ref="AT13:AT40" si="15">(AG13-AH13)+$AT$11</f>
        <v>9.23939713023127</v>
      </c>
      <c r="AU13" s="44">
        <f t="shared" ref="AU13:AU40" si="16">(AI13-AJ13)+$AU$11</f>
        <v>9.41781504864422</v>
      </c>
      <c r="AV13" s="44">
        <f t="shared" ref="AV13:AV40" si="17">(AK13-AL13)+$AV$11</f>
        <v>10.1152318196376</v>
      </c>
      <c r="AW13" s="44">
        <f t="shared" ref="AW13:AW40" si="18">(AM13-AN13)+$AW$11</f>
        <v>9.70744547051464</v>
      </c>
      <c r="AX13" s="40"/>
      <c r="AY13" s="30">
        <v>10</v>
      </c>
      <c r="AZ13" s="10" t="s">
        <v>40</v>
      </c>
      <c r="BA13" s="44">
        <f>SUM(AR12:AR40)</f>
        <v>315.827722073911</v>
      </c>
      <c r="BB13" s="44">
        <f>SUM(AS12:AS40)</f>
        <v>193.92732635041</v>
      </c>
      <c r="BC13" s="49">
        <f>BA13-BA14</f>
        <v>25.8277220739105</v>
      </c>
      <c r="BD13" s="49">
        <f>BB13-BB14</f>
        <v>-96.07267364959</v>
      </c>
      <c r="BF13" s="66"/>
      <c r="BG13" s="67" t="s">
        <v>55</v>
      </c>
      <c r="BH13" s="1" t="s">
        <v>35</v>
      </c>
      <c r="BI13" s="63">
        <f>BC20-BD23</f>
        <v>19.526046293387</v>
      </c>
      <c r="BJ13" s="64" t="s">
        <v>36</v>
      </c>
      <c r="BK13" s="65" t="s">
        <v>36</v>
      </c>
      <c r="BL13" s="65" t="s">
        <v>36</v>
      </c>
      <c r="BM13" s="65" t="s">
        <v>36</v>
      </c>
      <c r="BN13" s="65" t="s">
        <v>36</v>
      </c>
      <c r="BO13" s="65" t="s">
        <v>36</v>
      </c>
      <c r="BP13" s="65" t="s">
        <v>36</v>
      </c>
      <c r="BQ13" s="63" t="s">
        <v>36</v>
      </c>
      <c r="BS13" s="62"/>
      <c r="BT13" s="95" t="s">
        <v>56</v>
      </c>
      <c r="BU13" s="95" t="s">
        <v>57</v>
      </c>
      <c r="BV13" s="123">
        <f>SUM(BV11:BV12)</f>
        <v>239.7</v>
      </c>
      <c r="BW13" s="124"/>
      <c r="BX13" s="95"/>
      <c r="BY13" s="95"/>
      <c r="BZ13" s="95"/>
    </row>
    <row r="14" ht="15.15" spans="2:78">
      <c r="B14" s="13" t="s">
        <v>58</v>
      </c>
      <c r="C14" s="16">
        <v>0.993025378060955</v>
      </c>
      <c r="D14" s="17">
        <v>1.08271940245761</v>
      </c>
      <c r="E14" s="17">
        <v>1.16307211016943</v>
      </c>
      <c r="F14" s="17">
        <v>1.23075007143462</v>
      </c>
      <c r="G14" s="17">
        <v>1.28384932333957</v>
      </c>
      <c r="H14" s="17">
        <v>1.32260160770077</v>
      </c>
      <c r="I14" s="17">
        <v>1.3510457899009</v>
      </c>
      <c r="J14" s="17">
        <v>1.37688345666664</v>
      </c>
      <c r="K14" s="17">
        <v>1.40777579624747</v>
      </c>
      <c r="L14" s="17">
        <v>1.44548849766228</v>
      </c>
      <c r="M14" s="17">
        <v>1.48171957086974</v>
      </c>
      <c r="N14" s="17">
        <v>1.49893243247664</v>
      </c>
      <c r="O14" s="17">
        <v>1.47651182409465</v>
      </c>
      <c r="P14" s="17">
        <v>1.39944292956116</v>
      </c>
      <c r="Q14" s="17">
        <v>1.26550057742176</v>
      </c>
      <c r="R14" s="17">
        <v>1.08794639991276</v>
      </c>
      <c r="S14" s="17">
        <v>0.89297175527153</v>
      </c>
      <c r="T14" s="17">
        <v>0.713269742753746</v>
      </c>
      <c r="U14" s="17">
        <v>0.580209266113897</v>
      </c>
      <c r="V14" s="17">
        <v>0.516890256333632</v>
      </c>
      <c r="W14" s="17">
        <v>0.533404495533625</v>
      </c>
      <c r="X14" s="17">
        <v>0.624718650360146</v>
      </c>
      <c r="Y14" s="17">
        <v>0.771243304224508</v>
      </c>
      <c r="Z14" s="35">
        <v>0.942278138664576</v>
      </c>
      <c r="AB14" s="36" t="s">
        <v>59</v>
      </c>
      <c r="AC14" s="33">
        <f t="shared" si="0"/>
        <v>15.3974887728393</v>
      </c>
      <c r="AD14" s="34">
        <f t="shared" si="1"/>
        <v>11.0447620043933</v>
      </c>
      <c r="AE14" s="34">
        <f t="shared" si="2"/>
        <v>10.804387340246</v>
      </c>
      <c r="AF14" s="34">
        <f t="shared" si="3"/>
        <v>15.6378634369866</v>
      </c>
      <c r="AG14" s="34">
        <f t="shared" si="4"/>
        <v>14.1446528160235</v>
      </c>
      <c r="AH14" s="34">
        <f t="shared" si="5"/>
        <v>12.2975979612092</v>
      </c>
      <c r="AI14" s="34">
        <f t="shared" si="6"/>
        <v>13.9116611221786</v>
      </c>
      <c r="AJ14" s="34">
        <f t="shared" si="7"/>
        <v>12.5305896550541</v>
      </c>
      <c r="AK14" s="34">
        <f t="shared" si="8"/>
        <v>8.87787417976613</v>
      </c>
      <c r="AL14" s="34">
        <f t="shared" si="9"/>
        <v>8.75865659874209</v>
      </c>
      <c r="AM14" s="34">
        <f t="shared" si="10"/>
        <v>13.1464812825617</v>
      </c>
      <c r="AN14" s="34">
        <f t="shared" si="11"/>
        <v>13.2957694946709</v>
      </c>
      <c r="AP14" s="36" t="s">
        <v>59</v>
      </c>
      <c r="AQ14" s="44">
        <f t="shared" si="12"/>
        <v>26.4422507772326</v>
      </c>
      <c r="AR14" s="44">
        <f t="shared" si="13"/>
        <v>14.3527267684459</v>
      </c>
      <c r="AS14" s="44">
        <f t="shared" si="14"/>
        <v>5.16652390325937</v>
      </c>
      <c r="AT14" s="44">
        <f t="shared" si="15"/>
        <v>11.8470548548143</v>
      </c>
      <c r="AU14" s="44">
        <f t="shared" si="16"/>
        <v>11.3810714671245</v>
      </c>
      <c r="AV14" s="44">
        <f t="shared" si="17"/>
        <v>10.119217581024</v>
      </c>
      <c r="AW14" s="44">
        <f t="shared" si="18"/>
        <v>9.85071178789084</v>
      </c>
      <c r="AX14" s="40"/>
      <c r="AY14" s="29"/>
      <c r="AZ14" s="10" t="s">
        <v>36</v>
      </c>
      <c r="BA14" s="44">
        <f>29*AR11</f>
        <v>290</v>
      </c>
      <c r="BB14" s="44">
        <f>29*AS11</f>
        <v>290</v>
      </c>
      <c r="BC14" s="50"/>
      <c r="BD14" s="50"/>
      <c r="BF14" s="66"/>
      <c r="BG14" s="67" t="s">
        <v>60</v>
      </c>
      <c r="BH14" s="1" t="s">
        <v>35</v>
      </c>
      <c r="BI14" s="63">
        <f>BC25</f>
        <v>-127.798738413815</v>
      </c>
      <c r="BJ14" s="64" t="s">
        <v>36</v>
      </c>
      <c r="BK14" s="65">
        <f>-0.03*BI14</f>
        <v>3.83396215241443</v>
      </c>
      <c r="BL14" s="65">
        <f>1*BI14</f>
        <v>-127.798738413815</v>
      </c>
      <c r="BM14" s="65">
        <f>-0.03*BI14</f>
        <v>3.83396215241443</v>
      </c>
      <c r="BN14" s="65" t="s">
        <v>36</v>
      </c>
      <c r="BO14" s="65" t="s">
        <v>36</v>
      </c>
      <c r="BP14" s="65" t="s">
        <v>36</v>
      </c>
      <c r="BQ14" s="63" t="s">
        <v>36</v>
      </c>
      <c r="BS14" s="62" t="s">
        <v>61</v>
      </c>
      <c r="BT14" s="95" t="s">
        <v>62</v>
      </c>
      <c r="BU14" s="95" t="s">
        <v>63</v>
      </c>
      <c r="BV14" s="123">
        <f>(((BV13-230)/(240-230))*(-9.8-(-13)))+(-13)</f>
        <v>-9.896</v>
      </c>
      <c r="BW14" s="124"/>
      <c r="BX14" s="95"/>
      <c r="BY14" s="95"/>
      <c r="BZ14" s="95"/>
    </row>
    <row r="15" ht="15.15" spans="2:78">
      <c r="B15" s="13" t="s">
        <v>64</v>
      </c>
      <c r="C15" s="16">
        <v>1.10249835277192</v>
      </c>
      <c r="D15" s="17">
        <v>1.22074730952018</v>
      </c>
      <c r="E15" s="17">
        <v>1.27876143921444</v>
      </c>
      <c r="F15" s="17">
        <v>1.27647529509696</v>
      </c>
      <c r="G15" s="17">
        <v>1.23158991995553</v>
      </c>
      <c r="H15" s="17">
        <v>1.17364955419941</v>
      </c>
      <c r="I15" s="17">
        <v>1.13498842749149</v>
      </c>
      <c r="J15" s="17">
        <v>1.14138913200662</v>
      </c>
      <c r="K15" s="17">
        <v>1.20470357586853</v>
      </c>
      <c r="L15" s="17">
        <v>1.31896199269819</v>
      </c>
      <c r="M15" s="17">
        <v>1.46075487081352</v>
      </c>
      <c r="N15" s="17">
        <v>1.59380924714962</v>
      </c>
      <c r="O15" s="17">
        <v>1.67698212621886</v>
      </c>
      <c r="P15" s="17">
        <v>1.67446493569453</v>
      </c>
      <c r="Q15" s="17">
        <v>1.56640724440029</v>
      </c>
      <c r="R15" s="17">
        <v>1.35725163086607</v>
      </c>
      <c r="S15" s="17">
        <v>1.07849872775849</v>
      </c>
      <c r="T15" s="17">
        <v>0.783420779156747</v>
      </c>
      <c r="U15" s="17">
        <v>0.533899458411757</v>
      </c>
      <c r="V15" s="17">
        <v>0.383268223690518</v>
      </c>
      <c r="W15" s="17">
        <v>0.361505776504615</v>
      </c>
      <c r="X15" s="17">
        <v>0.468097902990513</v>
      </c>
      <c r="Y15" s="17">
        <v>0.673777864573109</v>
      </c>
      <c r="Z15" s="35">
        <v>0.928609035978886</v>
      </c>
      <c r="AB15" s="36" t="s">
        <v>65</v>
      </c>
      <c r="AC15" s="33">
        <f t="shared" si="0"/>
        <v>15.991632690123</v>
      </c>
      <c r="AD15" s="34">
        <f t="shared" si="1"/>
        <v>10.6328801329078</v>
      </c>
      <c r="AE15" s="34">
        <f t="shared" si="2"/>
        <v>11.4861837062444</v>
      </c>
      <c r="AF15" s="34">
        <f t="shared" si="3"/>
        <v>15.1383291167864</v>
      </c>
      <c r="AG15" s="34">
        <f t="shared" si="4"/>
        <v>14.9638723220241</v>
      </c>
      <c r="AH15" s="34">
        <f t="shared" si="5"/>
        <v>11.6606405010067</v>
      </c>
      <c r="AI15" s="34">
        <f t="shared" si="6"/>
        <v>15.4207473148534</v>
      </c>
      <c r="AJ15" s="34">
        <f t="shared" si="7"/>
        <v>11.2037655081774</v>
      </c>
      <c r="AK15" s="34">
        <f t="shared" si="8"/>
        <v>8.92785698137869</v>
      </c>
      <c r="AL15" s="34">
        <f t="shared" si="9"/>
        <v>8.83216485763961</v>
      </c>
      <c r="AM15" s="34">
        <f t="shared" si="10"/>
        <v>13.2796160017938</v>
      </c>
      <c r="AN15" s="34">
        <f t="shared" si="11"/>
        <v>13.344896821237</v>
      </c>
      <c r="AP15" s="36" t="s">
        <v>65</v>
      </c>
      <c r="AQ15" s="44">
        <f t="shared" si="12"/>
        <v>26.6245128230308</v>
      </c>
      <c r="AR15" s="44">
        <f t="shared" si="13"/>
        <v>15.3587525572151</v>
      </c>
      <c r="AS15" s="44">
        <f t="shared" si="14"/>
        <v>6.34785458945797</v>
      </c>
      <c r="AT15" s="44">
        <f t="shared" si="15"/>
        <v>13.3032318210173</v>
      </c>
      <c r="AU15" s="44">
        <f t="shared" si="16"/>
        <v>14.2169818066761</v>
      </c>
      <c r="AV15" s="44">
        <f t="shared" si="17"/>
        <v>10.0956921237391</v>
      </c>
      <c r="AW15" s="44">
        <f t="shared" si="18"/>
        <v>9.93471918055671</v>
      </c>
      <c r="AX15" s="40"/>
      <c r="AY15" s="30">
        <v>12</v>
      </c>
      <c r="AZ15" s="10" t="s">
        <v>40</v>
      </c>
      <c r="BA15" s="44">
        <f>SUM(AR12:AR15)+SUM(AR23:AR29)+SUM(AR37:AR40)</f>
        <v>166.022886592583</v>
      </c>
      <c r="BB15" s="44">
        <f>SUM(AS12:AS15)+SUM(AS23:AS29)+SUM(AS37:AS40)</f>
        <v>72.12288730036</v>
      </c>
      <c r="BC15" s="49">
        <f>BA15-BA16-BA17</f>
        <v>6.21805111125531</v>
      </c>
      <c r="BD15" s="49">
        <f>BB15-BB16-BB17</f>
        <v>-59.6815517496902</v>
      </c>
      <c r="BF15" s="66"/>
      <c r="BG15" s="67" t="s">
        <v>66</v>
      </c>
      <c r="BH15" s="1" t="s">
        <v>35</v>
      </c>
      <c r="BI15" s="63">
        <f>BC27-BD30</f>
        <v>-21.6017663218555</v>
      </c>
      <c r="BJ15" s="64" t="s">
        <v>36</v>
      </c>
      <c r="BK15" s="65">
        <f>1*BI15</f>
        <v>-21.6017663218555</v>
      </c>
      <c r="BL15" s="65">
        <f>0.015*BI15</f>
        <v>-0.324026494827832</v>
      </c>
      <c r="BM15" s="65">
        <f>0.038*BI15</f>
        <v>-0.820867120230508</v>
      </c>
      <c r="BN15" s="65">
        <f>0.002*BI15</f>
        <v>-0.043203532643711</v>
      </c>
      <c r="BO15" s="65">
        <f>-0.058*BI15</f>
        <v>1.25290244666762</v>
      </c>
      <c r="BP15" s="65" t="s">
        <v>36</v>
      </c>
      <c r="BQ15" s="63">
        <f>-0.035*BI15</f>
        <v>0.756061821264942</v>
      </c>
      <c r="BS15" s="62" t="s">
        <v>61</v>
      </c>
      <c r="BT15" s="95" t="s">
        <v>62</v>
      </c>
      <c r="BU15" s="95" t="s">
        <v>67</v>
      </c>
      <c r="BV15" s="123">
        <f>(((BV13-230)/(240-230))*(0.115-0.029))+0.029</f>
        <v>0.11242</v>
      </c>
      <c r="BW15" s="124"/>
      <c r="BX15" s="95"/>
      <c r="BY15" s="95"/>
      <c r="BZ15" s="95"/>
    </row>
    <row r="16" ht="15.15" spans="2:78">
      <c r="B16" s="13" t="s">
        <v>68</v>
      </c>
      <c r="C16" s="16">
        <v>1.17334668004108</v>
      </c>
      <c r="D16" s="17">
        <v>1.35259445585532</v>
      </c>
      <c r="E16" s="17">
        <v>1.42853890988156</v>
      </c>
      <c r="F16" s="17">
        <v>1.39203651210787</v>
      </c>
      <c r="G16" s="17">
        <v>1.26637837045239</v>
      </c>
      <c r="H16" s="17">
        <v>1.10098756778915</v>
      </c>
      <c r="I16" s="17">
        <v>0.956709178116548</v>
      </c>
      <c r="J16" s="17">
        <v>0.887788652734905</v>
      </c>
      <c r="K16" s="17">
        <v>0.926166711264217</v>
      </c>
      <c r="L16" s="17">
        <v>1.07230890134353</v>
      </c>
      <c r="M16" s="17">
        <v>1.29485643495836</v>
      </c>
      <c r="N16" s="17">
        <v>1.53895719118512</v>
      </c>
      <c r="O16" s="17">
        <v>1.74028424032543</v>
      </c>
      <c r="P16" s="17">
        <v>1.84017646247664</v>
      </c>
      <c r="Q16" s="17">
        <v>1.79859126497467</v>
      </c>
      <c r="R16" s="17">
        <v>1.60415495058825</v>
      </c>
      <c r="S16" s="17">
        <v>1.28096907473542</v>
      </c>
      <c r="T16" s="17">
        <v>0.889090332307729</v>
      </c>
      <c r="U16" s="17">
        <v>0.513878685764042</v>
      </c>
      <c r="V16" s="17">
        <v>0.243399848706213</v>
      </c>
      <c r="W16" s="17">
        <v>0.141270842769407</v>
      </c>
      <c r="X16" s="17">
        <v>0.22710777640921</v>
      </c>
      <c r="Y16" s="17">
        <v>0.472669797877247</v>
      </c>
      <c r="Z16" s="35">
        <v>0.8125025128486</v>
      </c>
      <c r="AB16" s="36" t="s">
        <v>69</v>
      </c>
      <c r="AC16" s="33">
        <f t="shared" si="0"/>
        <v>15.8300533950108</v>
      </c>
      <c r="AD16" s="34">
        <f t="shared" si="1"/>
        <v>10.1247119605021</v>
      </c>
      <c r="AE16" s="34">
        <f t="shared" si="2"/>
        <v>11.5640957897829</v>
      </c>
      <c r="AF16" s="34">
        <f t="shared" si="3"/>
        <v>14.3906695657301</v>
      </c>
      <c r="AG16" s="34">
        <f t="shared" si="4"/>
        <v>14.7519346281768</v>
      </c>
      <c r="AH16" s="34">
        <f t="shared" si="5"/>
        <v>11.2028307273361</v>
      </c>
      <c r="AI16" s="34">
        <f t="shared" si="6"/>
        <v>16.8671488215355</v>
      </c>
      <c r="AJ16" s="34">
        <f t="shared" si="7"/>
        <v>9.0876165339774</v>
      </c>
      <c r="AK16" s="34">
        <f t="shared" si="8"/>
        <v>8.7257563883777</v>
      </c>
      <c r="AL16" s="34">
        <f t="shared" si="9"/>
        <v>8.59017586933871</v>
      </c>
      <c r="AM16" s="34">
        <f t="shared" si="10"/>
        <v>13.00274593291</v>
      </c>
      <c r="AN16" s="34">
        <f t="shared" si="11"/>
        <v>12.9520194226029</v>
      </c>
      <c r="AP16" s="36" t="s">
        <v>69</v>
      </c>
      <c r="AQ16" s="44">
        <f t="shared" si="12"/>
        <v>25.9547653555129</v>
      </c>
      <c r="AR16" s="44">
        <f t="shared" si="13"/>
        <v>15.7053414345087</v>
      </c>
      <c r="AS16" s="44">
        <f t="shared" si="14"/>
        <v>7.17342622405281</v>
      </c>
      <c r="AT16" s="44">
        <f t="shared" si="15"/>
        <v>13.5491039008406</v>
      </c>
      <c r="AU16" s="44">
        <f t="shared" si="16"/>
        <v>17.7795322875581</v>
      </c>
      <c r="AV16" s="44">
        <f t="shared" si="17"/>
        <v>10.135580519039</v>
      </c>
      <c r="AW16" s="44">
        <f t="shared" si="18"/>
        <v>10.0507265103072</v>
      </c>
      <c r="AX16" s="40"/>
      <c r="AY16" s="51"/>
      <c r="AZ16" s="10" t="s">
        <v>36</v>
      </c>
      <c r="BA16" s="44">
        <f>SUM(AR16:AR22)+SUM(AR30:AR36)</f>
        <v>149.804835481328</v>
      </c>
      <c r="BB16" s="44">
        <f>SUM(AS16:AS22)+SUM(AS30:AS36)</f>
        <v>121.80443905005</v>
      </c>
      <c r="BC16" s="52"/>
      <c r="BD16" s="52"/>
      <c r="BF16" s="66"/>
      <c r="BG16" s="67" t="s">
        <v>70</v>
      </c>
      <c r="BH16" s="1" t="s">
        <v>35</v>
      </c>
      <c r="BI16" s="63">
        <f>BC32-BD35</f>
        <v>14.8495453980747</v>
      </c>
      <c r="BJ16" s="64" t="s">
        <v>36</v>
      </c>
      <c r="BK16" s="65">
        <f>-0.06*BI16</f>
        <v>-0.890972723884479</v>
      </c>
      <c r="BL16" s="65" t="s">
        <v>36</v>
      </c>
      <c r="BM16" s="65">
        <f>1*BI16</f>
        <v>14.8495453980747</v>
      </c>
      <c r="BN16" s="65" t="s">
        <v>36</v>
      </c>
      <c r="BO16" s="65" t="s">
        <v>36</v>
      </c>
      <c r="BP16" s="65" t="s">
        <v>36</v>
      </c>
      <c r="BQ16" s="63" t="s">
        <v>36</v>
      </c>
      <c r="BS16" s="62" t="s">
        <v>71</v>
      </c>
      <c r="BT16" s="95" t="s">
        <v>72</v>
      </c>
      <c r="BU16" s="95" t="s">
        <v>73</v>
      </c>
      <c r="BV16" s="123">
        <v>1.212</v>
      </c>
      <c r="BW16" s="124"/>
      <c r="BX16" s="95"/>
      <c r="BY16" s="95"/>
      <c r="BZ16" s="95"/>
    </row>
    <row r="17" ht="15.15" spans="2:78">
      <c r="B17" s="13" t="s">
        <v>74</v>
      </c>
      <c r="C17" s="16">
        <v>1.16203422446185</v>
      </c>
      <c r="D17" s="17">
        <v>1.43731050042569</v>
      </c>
      <c r="E17" s="17">
        <v>1.57417631378116</v>
      </c>
      <c r="F17" s="17">
        <v>1.54489106095449</v>
      </c>
      <c r="G17" s="17">
        <v>1.36740447631802</v>
      </c>
      <c r="H17" s="17">
        <v>1.10202431721122</v>
      </c>
      <c r="I17" s="17">
        <v>0.834546512876894</v>
      </c>
      <c r="J17" s="17">
        <v>0.651126149867691</v>
      </c>
      <c r="K17" s="17">
        <v>0.61361933826531</v>
      </c>
      <c r="L17" s="17">
        <v>0.743071277929992</v>
      </c>
      <c r="M17" s="17">
        <v>1.01505985435307</v>
      </c>
      <c r="N17" s="17">
        <v>1.36644948973775</v>
      </c>
      <c r="O17" s="17">
        <v>1.71059458057165</v>
      </c>
      <c r="P17" s="17">
        <v>1.95730300602532</v>
      </c>
      <c r="Q17" s="17">
        <v>2.03395113187545</v>
      </c>
      <c r="R17" s="17">
        <v>1.90419552020327</v>
      </c>
      <c r="S17" s="17">
        <v>1.58053750147011</v>
      </c>
      <c r="T17" s="17">
        <v>1.12662455081362</v>
      </c>
      <c r="U17" s="17">
        <v>0.645490728744149</v>
      </c>
      <c r="V17" s="17">
        <v>0.25323689213643</v>
      </c>
      <c r="W17" s="17">
        <v>0.0449046795548299</v>
      </c>
      <c r="X17" s="17">
        <v>0.0660309399504147</v>
      </c>
      <c r="Y17" s="17">
        <v>0.302090526663226</v>
      </c>
      <c r="Z17" s="35">
        <v>0.687643086824244</v>
      </c>
      <c r="AB17" s="36" t="s">
        <v>75</v>
      </c>
      <c r="AC17" s="33">
        <f t="shared" si="0"/>
        <v>15.5370789139901</v>
      </c>
      <c r="AD17" s="34">
        <f t="shared" si="1"/>
        <v>10.1872377470257</v>
      </c>
      <c r="AE17" s="34">
        <f t="shared" si="2"/>
        <v>12.3126031448327</v>
      </c>
      <c r="AF17" s="34">
        <f t="shared" si="3"/>
        <v>13.4117135161831</v>
      </c>
      <c r="AG17" s="34">
        <f t="shared" si="4"/>
        <v>14.0557149325998</v>
      </c>
      <c r="AH17" s="34">
        <f t="shared" si="5"/>
        <v>11.668601728416</v>
      </c>
      <c r="AI17" s="34">
        <f t="shared" si="6"/>
        <v>18.5010471841119</v>
      </c>
      <c r="AJ17" s="34">
        <f t="shared" si="7"/>
        <v>7.223269476904</v>
      </c>
      <c r="AK17" s="34">
        <f t="shared" si="8"/>
        <v>8.63540749124138</v>
      </c>
      <c r="AL17" s="34">
        <f t="shared" si="9"/>
        <v>8.52484026251491</v>
      </c>
      <c r="AM17" s="34">
        <f t="shared" si="10"/>
        <v>12.9182940585864</v>
      </c>
      <c r="AN17" s="34">
        <f t="shared" si="11"/>
        <v>12.8060226024294</v>
      </c>
      <c r="AP17" s="36" t="s">
        <v>75</v>
      </c>
      <c r="AQ17" s="44">
        <f t="shared" si="12"/>
        <v>25.7243166610158</v>
      </c>
      <c r="AR17" s="44">
        <f t="shared" si="13"/>
        <v>15.3498411669644</v>
      </c>
      <c r="AS17" s="44">
        <f t="shared" si="14"/>
        <v>8.90088962864957</v>
      </c>
      <c r="AT17" s="44">
        <f t="shared" si="15"/>
        <v>12.3871132041838</v>
      </c>
      <c r="AU17" s="44">
        <f t="shared" si="16"/>
        <v>21.2777777072079</v>
      </c>
      <c r="AV17" s="44">
        <f t="shared" si="17"/>
        <v>10.1105672287265</v>
      </c>
      <c r="AW17" s="44">
        <f t="shared" si="18"/>
        <v>10.112271456157</v>
      </c>
      <c r="AX17" s="40"/>
      <c r="AY17" s="51"/>
      <c r="AZ17" s="10" t="s">
        <v>36</v>
      </c>
      <c r="BA17" s="44">
        <f>AR11*1</f>
        <v>10</v>
      </c>
      <c r="BB17" s="44">
        <f>AS11*1</f>
        <v>10</v>
      </c>
      <c r="BC17" s="50"/>
      <c r="BD17" s="50"/>
      <c r="BF17" s="66"/>
      <c r="BG17" s="67" t="s">
        <v>76</v>
      </c>
      <c r="BH17" s="1" t="s">
        <v>35</v>
      </c>
      <c r="BI17" s="63">
        <f>BC37-BD40</f>
        <v>-3.3913805493394</v>
      </c>
      <c r="BJ17" s="64" t="s">
        <v>36</v>
      </c>
      <c r="BK17" s="65">
        <f>0.03*BI17</f>
        <v>-0.101741416480182</v>
      </c>
      <c r="BL17" s="65" t="s">
        <v>36</v>
      </c>
      <c r="BM17" s="65" t="s">
        <v>36</v>
      </c>
      <c r="BN17" s="65" t="s">
        <v>36</v>
      </c>
      <c r="BO17" s="65" t="s">
        <v>36</v>
      </c>
      <c r="BP17" s="65" t="s">
        <v>36</v>
      </c>
      <c r="BQ17" s="63">
        <f>1*BI17</f>
        <v>-3.3913805493394</v>
      </c>
      <c r="BS17" s="62"/>
      <c r="BT17" s="95"/>
      <c r="BU17" s="95" t="s">
        <v>77</v>
      </c>
      <c r="BV17" s="123">
        <f>BV16*BV14</f>
        <v>-11.993952</v>
      </c>
      <c r="BW17" s="124"/>
      <c r="BX17" s="95"/>
      <c r="BY17" s="95"/>
      <c r="BZ17" s="95"/>
    </row>
    <row r="18" ht="15.15" spans="2:78">
      <c r="B18" s="13" t="s">
        <v>78</v>
      </c>
      <c r="C18" s="16">
        <v>1.12655348910302</v>
      </c>
      <c r="D18" s="17">
        <v>1.51370659245771</v>
      </c>
      <c r="E18" s="17">
        <v>1.7555918244157</v>
      </c>
      <c r="F18" s="17">
        <v>1.79153381101317</v>
      </c>
      <c r="G18" s="17">
        <v>1.61328934466156</v>
      </c>
      <c r="H18" s="17">
        <v>1.27384475060427</v>
      </c>
      <c r="I18" s="17">
        <v>0.876192754016561</v>
      </c>
      <c r="J18" s="17">
        <v>0.542132792162667</v>
      </c>
      <c r="K18" s="17">
        <v>0.37298319681753</v>
      </c>
      <c r="L18" s="17">
        <v>0.419273420523802</v>
      </c>
      <c r="M18" s="17">
        <v>0.670786022330817</v>
      </c>
      <c r="N18" s="17">
        <v>1.06601053434432</v>
      </c>
      <c r="O18" s="17">
        <v>1.51110986924069</v>
      </c>
      <c r="P18" s="17">
        <v>1.89964667441017</v>
      </c>
      <c r="Q18" s="17">
        <v>2.1318737707806</v>
      </c>
      <c r="R18" s="17">
        <v>2.13630507745654</v>
      </c>
      <c r="S18" s="17">
        <v>1.89199704141173</v>
      </c>
      <c r="T18" s="17">
        <v>1.44295799934147</v>
      </c>
      <c r="U18" s="17">
        <v>0.894315745723131</v>
      </c>
      <c r="V18" s="17">
        <v>0.385903083638782</v>
      </c>
      <c r="W18" s="17">
        <v>0.049945611572391</v>
      </c>
      <c r="X18" s="17">
        <v>-0.0304069363715836</v>
      </c>
      <c r="Y18" s="17">
        <v>0.156449904213876</v>
      </c>
      <c r="Z18" s="35">
        <v>0.554441035977078</v>
      </c>
      <c r="AB18" s="36" t="s">
        <v>79</v>
      </c>
      <c r="AC18" s="33">
        <f t="shared" si="0"/>
        <v>14.9612691528369</v>
      </c>
      <c r="AD18" s="34">
        <f t="shared" si="1"/>
        <v>11.0851682570091</v>
      </c>
      <c r="AE18" s="34">
        <f t="shared" si="2"/>
        <v>13.0245388773949</v>
      </c>
      <c r="AF18" s="34">
        <f t="shared" si="3"/>
        <v>13.0218985324511</v>
      </c>
      <c r="AG18" s="34">
        <f t="shared" si="4"/>
        <v>12.7750362014262</v>
      </c>
      <c r="AH18" s="34">
        <f t="shared" si="5"/>
        <v>13.2714012084198</v>
      </c>
      <c r="AI18" s="34">
        <f t="shared" si="6"/>
        <v>20.0884102448966</v>
      </c>
      <c r="AJ18" s="34">
        <f t="shared" si="7"/>
        <v>5.95802716494937</v>
      </c>
      <c r="AK18" s="34">
        <f t="shared" si="8"/>
        <v>8.74542617835054</v>
      </c>
      <c r="AL18" s="34">
        <f t="shared" si="9"/>
        <v>8.62709977620815</v>
      </c>
      <c r="AM18" s="34">
        <f t="shared" si="10"/>
        <v>13.059955404339</v>
      </c>
      <c r="AN18" s="34">
        <f t="shared" si="11"/>
        <v>12.986482005507</v>
      </c>
      <c r="AP18" s="36" t="s">
        <v>79</v>
      </c>
      <c r="AQ18" s="44">
        <f t="shared" si="12"/>
        <v>26.046437409846</v>
      </c>
      <c r="AR18" s="44">
        <f t="shared" si="13"/>
        <v>13.8761008958278</v>
      </c>
      <c r="AS18" s="44">
        <f t="shared" si="14"/>
        <v>10.0026403449437</v>
      </c>
      <c r="AT18" s="44">
        <f t="shared" si="15"/>
        <v>9.5036349930064</v>
      </c>
      <c r="AU18" s="44">
        <f t="shared" si="16"/>
        <v>24.1303830799473</v>
      </c>
      <c r="AV18" s="44">
        <f t="shared" si="17"/>
        <v>10.1183264021424</v>
      </c>
      <c r="AW18" s="44">
        <f t="shared" si="18"/>
        <v>10.0734733988319</v>
      </c>
      <c r="AX18" s="40"/>
      <c r="AY18" s="30" t="s">
        <v>80</v>
      </c>
      <c r="AZ18" s="10" t="s">
        <v>40</v>
      </c>
      <c r="BA18" s="44">
        <f>SUM(AR20:AR25)+SUM(AR34:AR39)</f>
        <v>93.1655271480872</v>
      </c>
      <c r="BB18" s="44">
        <f>SUM(AS20:AS25)+SUM(AS34:AS39)</f>
        <v>75.1555662901751</v>
      </c>
      <c r="BC18" s="49">
        <f>BA18-BA19</f>
        <v>-76.0806121959206</v>
      </c>
      <c r="BD18" s="49">
        <f>BB18-BB19</f>
        <v>-11.8753681744899</v>
      </c>
      <c r="BF18" s="68"/>
      <c r="BG18" s="69" t="s">
        <v>81</v>
      </c>
      <c r="BH18" s="70" t="s">
        <v>35</v>
      </c>
      <c r="BI18" s="71">
        <f>BC42-BD45</f>
        <v>-0.486229645452369</v>
      </c>
      <c r="BJ18" s="72" t="s">
        <v>36</v>
      </c>
      <c r="BK18" s="73" t="s">
        <v>36</v>
      </c>
      <c r="BL18" s="73" t="s">
        <v>36</v>
      </c>
      <c r="BM18" s="73" t="s">
        <v>36</v>
      </c>
      <c r="BN18" s="73" t="s">
        <v>36</v>
      </c>
      <c r="BO18" s="73" t="s">
        <v>36</v>
      </c>
      <c r="BP18" s="73">
        <f>1*BI18</f>
        <v>-0.486229645452369</v>
      </c>
      <c r="BQ18" s="71">
        <f>0.08*BI18</f>
        <v>-0.0388983716361895</v>
      </c>
      <c r="BS18" s="62"/>
      <c r="BT18" s="95"/>
      <c r="BU18" s="95" t="s">
        <v>82</v>
      </c>
      <c r="BV18" s="123">
        <f>BV16*BV15</f>
        <v>0.13625304</v>
      </c>
      <c r="BW18" s="124"/>
      <c r="BX18" s="95"/>
      <c r="BY18" s="95"/>
      <c r="BZ18" s="95"/>
    </row>
    <row r="19" ht="15.15" spans="2:78">
      <c r="B19" s="13" t="s">
        <v>83</v>
      </c>
      <c r="C19" s="16">
        <v>1.06184950069277</v>
      </c>
      <c r="D19" s="17">
        <v>1.5571323544264</v>
      </c>
      <c r="E19" s="17">
        <v>1.92170930653368</v>
      </c>
      <c r="F19" s="17">
        <v>2.06298358104014</v>
      </c>
      <c r="G19" s="17">
        <v>1.93991279596753</v>
      </c>
      <c r="H19" s="17">
        <v>1.58277436651763</v>
      </c>
      <c r="I19" s="17">
        <v>1.09237726680311</v>
      </c>
      <c r="J19" s="17">
        <v>0.611483837452042</v>
      </c>
      <c r="K19" s="17">
        <v>0.277740857200629</v>
      </c>
      <c r="L19" s="17">
        <v>0.179617288696171</v>
      </c>
      <c r="M19" s="17">
        <v>0.334853466394773</v>
      </c>
      <c r="N19" s="17">
        <v>0.695983822152277</v>
      </c>
      <c r="O19" s="17">
        <v>1.17169014266014</v>
      </c>
      <c r="P19" s="17">
        <v>1.64928071801174</v>
      </c>
      <c r="Q19" s="17">
        <v>2.01340833065645</v>
      </c>
      <c r="R19" s="17">
        <v>2.16625461318446</v>
      </c>
      <c r="S19" s="17">
        <v>2.05283696677322</v>
      </c>
      <c r="T19" s="17">
        <v>1.68448251555349</v>
      </c>
      <c r="U19" s="17">
        <v>1.14639743613093</v>
      </c>
      <c r="V19" s="17">
        <v>0.579322598776992</v>
      </c>
      <c r="W19" s="17">
        <v>0.137787248203687</v>
      </c>
      <c r="X19" s="17">
        <v>-0.0593759878453018</v>
      </c>
      <c r="Y19" s="17">
        <v>0.0351198359112333</v>
      </c>
      <c r="Z19" s="35">
        <v>0.389149668556323</v>
      </c>
      <c r="AB19" s="36" t="s">
        <v>84</v>
      </c>
      <c r="AC19" s="33">
        <f t="shared" si="0"/>
        <v>13.9300098255385</v>
      </c>
      <c r="AD19" s="34">
        <f t="shared" si="1"/>
        <v>12.354762704912</v>
      </c>
      <c r="AE19" s="34">
        <f t="shared" si="2"/>
        <v>12.9663540865734</v>
      </c>
      <c r="AF19" s="34">
        <f t="shared" si="3"/>
        <v>13.3184184438771</v>
      </c>
      <c r="AG19" s="34">
        <f t="shared" si="4"/>
        <v>10.9504184468467</v>
      </c>
      <c r="AH19" s="34">
        <f t="shared" si="5"/>
        <v>15.3343540836039</v>
      </c>
      <c r="AI19" s="34">
        <f t="shared" si="6"/>
        <v>20.8643151920176</v>
      </c>
      <c r="AJ19" s="34">
        <f t="shared" si="7"/>
        <v>5.42045733843286</v>
      </c>
      <c r="AK19" s="34">
        <f t="shared" si="8"/>
        <v>8.82470471906667</v>
      </c>
      <c r="AL19" s="34">
        <f t="shared" si="9"/>
        <v>8.70012523766991</v>
      </c>
      <c r="AM19" s="34">
        <f t="shared" si="10"/>
        <v>13.2201795975486</v>
      </c>
      <c r="AN19" s="34">
        <f t="shared" si="11"/>
        <v>13.0645929329019</v>
      </c>
      <c r="AP19" s="36" t="s">
        <v>84</v>
      </c>
      <c r="AQ19" s="44">
        <f t="shared" si="12"/>
        <v>26.2847725304505</v>
      </c>
      <c r="AR19" s="44">
        <f t="shared" si="13"/>
        <v>11.5752471206265</v>
      </c>
      <c r="AS19" s="44">
        <f t="shared" si="14"/>
        <v>9.64793564269621</v>
      </c>
      <c r="AT19" s="44">
        <f t="shared" si="15"/>
        <v>5.6160643632428</v>
      </c>
      <c r="AU19" s="44">
        <f t="shared" si="16"/>
        <v>25.4438578535848</v>
      </c>
      <c r="AV19" s="44">
        <f t="shared" si="17"/>
        <v>10.1245794813968</v>
      </c>
      <c r="AW19" s="44">
        <f t="shared" si="18"/>
        <v>10.1555866646466</v>
      </c>
      <c r="AX19" s="40"/>
      <c r="AY19" s="29"/>
      <c r="AZ19" s="10" t="s">
        <v>36</v>
      </c>
      <c r="BA19" s="44">
        <f>SUM(AR13:AR18)+SUM(AR27:AR32)</f>
        <v>169.246139344008</v>
      </c>
      <c r="BB19" s="44">
        <f>SUM(AS13:AS18)+SUM(AS27:AS32)</f>
        <v>87.0309344646651</v>
      </c>
      <c r="BC19" s="50"/>
      <c r="BD19" s="50"/>
      <c r="BF19" s="25" t="s">
        <v>85</v>
      </c>
      <c r="BG19" s="56" t="s">
        <v>86</v>
      </c>
      <c r="BH19" s="57" t="s">
        <v>35</v>
      </c>
      <c r="BI19" s="58">
        <f>BD13</f>
        <v>-96.07267364959</v>
      </c>
      <c r="BJ19" s="64" t="s">
        <v>36</v>
      </c>
      <c r="BK19" s="65" t="s">
        <v>36</v>
      </c>
      <c r="BL19" s="65" t="s">
        <v>36</v>
      </c>
      <c r="BM19" s="65" t="s">
        <v>36</v>
      </c>
      <c r="BN19" s="65">
        <f>1.01*BI19</f>
        <v>-97.0334003860859</v>
      </c>
      <c r="BO19" s="65">
        <f>-0.08*BI19</f>
        <v>7.6858138919672</v>
      </c>
      <c r="BP19" s="65" t="s">
        <v>36</v>
      </c>
      <c r="BQ19" s="63" t="s">
        <v>36</v>
      </c>
      <c r="BS19" s="96"/>
      <c r="BT19" s="97"/>
      <c r="BU19" s="97" t="s">
        <v>87</v>
      </c>
      <c r="BV19" s="125">
        <f>1+BV18</f>
        <v>1.13625304</v>
      </c>
      <c r="BW19" s="126"/>
      <c r="BX19" s="95"/>
      <c r="BY19" s="95"/>
      <c r="BZ19" s="95"/>
    </row>
    <row r="20" ht="15.15" spans="2:78">
      <c r="B20" s="13" t="s">
        <v>88</v>
      </c>
      <c r="C20" s="16">
        <v>0.909154864482821</v>
      </c>
      <c r="D20" s="17">
        <v>1.46904645583787</v>
      </c>
      <c r="E20" s="17">
        <v>1.93699926743512</v>
      </c>
      <c r="F20" s="17">
        <v>2.19887710503343</v>
      </c>
      <c r="G20" s="17">
        <v>2.18310657617777</v>
      </c>
      <c r="H20" s="17">
        <v>1.88497234709021</v>
      </c>
      <c r="I20" s="17">
        <v>1.37788594231587</v>
      </c>
      <c r="J20" s="17">
        <v>0.798776498574471</v>
      </c>
      <c r="K20" s="17">
        <v>0.307192037577418</v>
      </c>
      <c r="L20" s="17">
        <v>0.0338561499591067</v>
      </c>
      <c r="M20" s="17">
        <v>0.0419089711933966</v>
      </c>
      <c r="N20" s="17">
        <v>0.316312430838781</v>
      </c>
      <c r="O20" s="17">
        <v>0.779149312856007</v>
      </c>
      <c r="P20" s="17">
        <v>1.31552377608572</v>
      </c>
      <c r="Q20" s="17">
        <v>1.7972080845675</v>
      </c>
      <c r="R20" s="17">
        <v>2.10369178442809</v>
      </c>
      <c r="S20" s="17">
        <v>2.14709036753993</v>
      </c>
      <c r="T20" s="17">
        <v>1.90056800008495</v>
      </c>
      <c r="U20" s="17">
        <v>1.41781852941364</v>
      </c>
      <c r="V20" s="17">
        <v>0.827610665286245</v>
      </c>
      <c r="W20" s="17">
        <v>0.29759872847877</v>
      </c>
      <c r="X20" s="17">
        <v>-0.0208550670938856</v>
      </c>
      <c r="Y20" s="17">
        <v>-0.0421979510988633</v>
      </c>
      <c r="Z20" s="35">
        <v>0.232040553430876</v>
      </c>
      <c r="AB20" s="36" t="s">
        <v>89</v>
      </c>
      <c r="AC20" s="33">
        <f t="shared" si="0"/>
        <v>12.9191633560212</v>
      </c>
      <c r="AD20" s="34">
        <f t="shared" si="1"/>
        <v>13.294172074474</v>
      </c>
      <c r="AE20" s="34">
        <f t="shared" si="2"/>
        <v>12.755246783979</v>
      </c>
      <c r="AF20" s="34">
        <f t="shared" si="3"/>
        <v>13.4580886465163</v>
      </c>
      <c r="AG20" s="34">
        <f t="shared" si="4"/>
        <v>8.76814684849445</v>
      </c>
      <c r="AH20" s="34">
        <f t="shared" si="5"/>
        <v>17.4451885820008</v>
      </c>
      <c r="AI20" s="34">
        <f t="shared" si="6"/>
        <v>20.6253879416194</v>
      </c>
      <c r="AJ20" s="34">
        <f t="shared" si="7"/>
        <v>5.58794748887582</v>
      </c>
      <c r="AK20" s="34">
        <f t="shared" si="8"/>
        <v>8.81790198051316</v>
      </c>
      <c r="AL20" s="34">
        <f t="shared" si="9"/>
        <v>8.65456809038555</v>
      </c>
      <c r="AM20" s="34">
        <f t="shared" si="10"/>
        <v>13.2339641629115</v>
      </c>
      <c r="AN20" s="34">
        <f t="shared" si="11"/>
        <v>12.9793712675838</v>
      </c>
      <c r="AP20" s="36" t="s">
        <v>89</v>
      </c>
      <c r="AQ20" s="44">
        <f t="shared" si="12"/>
        <v>26.2133354304952</v>
      </c>
      <c r="AR20" s="44">
        <f t="shared" si="13"/>
        <v>9.62499128154724</v>
      </c>
      <c r="AS20" s="44">
        <f t="shared" si="14"/>
        <v>9.29715813746272</v>
      </c>
      <c r="AT20" s="44">
        <f t="shared" si="15"/>
        <v>1.32295826649365</v>
      </c>
      <c r="AU20" s="44">
        <f t="shared" si="16"/>
        <v>25.0374404527436</v>
      </c>
      <c r="AV20" s="44">
        <f t="shared" si="17"/>
        <v>10.1633338901276</v>
      </c>
      <c r="AW20" s="44">
        <f t="shared" si="18"/>
        <v>10.2545928953277</v>
      </c>
      <c r="AX20" s="40"/>
      <c r="AY20" s="30">
        <v>13</v>
      </c>
      <c r="AZ20" s="10" t="s">
        <v>40</v>
      </c>
      <c r="BA20" s="44">
        <f>SUM(AR14:AR18)+SUM(AR24:AR28)+SUM(AR34:AR38)</f>
        <v>168.490753198358</v>
      </c>
      <c r="BB20" s="44">
        <f>SUM(AS14:AS18)+SUM(AS24:AS28)+SUM(AS34:AS38)</f>
        <v>92.1952592054955</v>
      </c>
      <c r="BC20" s="49">
        <f>BA20-BA21-BA22</f>
        <v>11.1537843228053</v>
      </c>
      <c r="BD20" s="49">
        <f>BB20-BB21-BB22</f>
        <v>-19.536807939419</v>
      </c>
      <c r="BF20" s="66" t="s">
        <v>43</v>
      </c>
      <c r="BG20" s="62" t="s">
        <v>90</v>
      </c>
      <c r="BH20" s="1" t="s">
        <v>35</v>
      </c>
      <c r="BI20" s="63">
        <f>BD15+BC18</f>
        <v>-135.762163945611</v>
      </c>
      <c r="BJ20" s="64" t="s">
        <v>36</v>
      </c>
      <c r="BK20" s="65">
        <f>0.07*BI20</f>
        <v>-9.50335147619275</v>
      </c>
      <c r="BL20" s="65" t="s">
        <v>36</v>
      </c>
      <c r="BM20" s="65" t="s">
        <v>36</v>
      </c>
      <c r="BN20" s="65">
        <f>-0.02*BI20</f>
        <v>2.71524327891222</v>
      </c>
      <c r="BO20" s="65">
        <f>1*BI20</f>
        <v>-135.762163945611</v>
      </c>
      <c r="BP20" s="65" t="s">
        <v>36</v>
      </c>
      <c r="BQ20" s="63">
        <f>0.03*BI20</f>
        <v>-4.07286491836832</v>
      </c>
      <c r="BS20" s="56" t="s">
        <v>91</v>
      </c>
      <c r="BT20" s="94"/>
      <c r="BU20" s="94"/>
      <c r="BV20" s="94"/>
      <c r="BW20" s="122"/>
      <c r="BX20" s="95"/>
      <c r="BY20" s="95"/>
      <c r="BZ20" s="95"/>
    </row>
    <row r="21" ht="15.15" spans="2:78">
      <c r="B21" s="13" t="s">
        <v>92</v>
      </c>
      <c r="C21" s="16">
        <v>0.725241123447054</v>
      </c>
      <c r="D21" s="17">
        <v>1.3163220165819</v>
      </c>
      <c r="E21" s="17">
        <v>1.86968993467409</v>
      </c>
      <c r="F21" s="17">
        <v>2.25756248919294</v>
      </c>
      <c r="G21" s="17">
        <v>2.38098629218327</v>
      </c>
      <c r="H21" s="17">
        <v>2.19492360455761</v>
      </c>
      <c r="I21" s="17">
        <v>1.73053791160106</v>
      </c>
      <c r="J21" s="17">
        <v>1.09920082143008</v>
      </c>
      <c r="K21" s="17">
        <v>0.467196036042593</v>
      </c>
      <c r="L21" s="17">
        <v>0.00502205608319322</v>
      </c>
      <c r="M21" s="17">
        <v>-0.168928677335222</v>
      </c>
      <c r="N21" s="17">
        <v>-0.0245983796632095</v>
      </c>
      <c r="O21" s="17">
        <v>0.378962271783191</v>
      </c>
      <c r="P21" s="17">
        <v>0.922744970492968</v>
      </c>
      <c r="Q21" s="17">
        <v>1.46642212078319</v>
      </c>
      <c r="R21" s="17">
        <v>1.87913966181731</v>
      </c>
      <c r="S21" s="17">
        <v>2.0604461828768</v>
      </c>
      <c r="T21" s="17">
        <v>1.95923864890037</v>
      </c>
      <c r="U21" s="17">
        <v>1.59296983888345</v>
      </c>
      <c r="V21" s="17">
        <v>1.05601845357904</v>
      </c>
      <c r="W21" s="17">
        <v>0.501713821358547</v>
      </c>
      <c r="X21" s="17">
        <v>0.0952872235363403</v>
      </c>
      <c r="Y21" s="17">
        <v>-0.0436127674730194</v>
      </c>
      <c r="Z21" s="35">
        <v>0.120777632186567</v>
      </c>
      <c r="AB21" s="36" t="s">
        <v>93</v>
      </c>
      <c r="AC21" s="33">
        <f t="shared" si="0"/>
        <v>11.7753836248123</v>
      </c>
      <c r="AD21" s="34">
        <f t="shared" si="1"/>
        <v>14.0678796627078</v>
      </c>
      <c r="AE21" s="34">
        <f t="shared" si="2"/>
        <v>11.9901080587248</v>
      </c>
      <c r="AF21" s="34">
        <f t="shared" si="3"/>
        <v>13.8531552287954</v>
      </c>
      <c r="AG21" s="34">
        <f t="shared" si="4"/>
        <v>6.66332952509704</v>
      </c>
      <c r="AH21" s="34">
        <f t="shared" si="5"/>
        <v>19.1799337624231</v>
      </c>
      <c r="AI21" s="34">
        <f t="shared" si="6"/>
        <v>19.4116793172907</v>
      </c>
      <c r="AJ21" s="34">
        <f t="shared" si="7"/>
        <v>6.43158397022942</v>
      </c>
      <c r="AK21" s="34">
        <f t="shared" si="8"/>
        <v>8.67805265169609</v>
      </c>
      <c r="AL21" s="34">
        <f t="shared" si="9"/>
        <v>8.5420333434882</v>
      </c>
      <c r="AM21" s="34">
        <f t="shared" si="10"/>
        <v>13.1270193206572</v>
      </c>
      <c r="AN21" s="34">
        <f t="shared" si="11"/>
        <v>12.7162439668629</v>
      </c>
      <c r="AP21" s="36" t="s">
        <v>93</v>
      </c>
      <c r="AQ21" s="44">
        <f t="shared" si="12"/>
        <v>25.8432632875201</v>
      </c>
      <c r="AR21" s="44">
        <f t="shared" si="13"/>
        <v>7.70750396210454</v>
      </c>
      <c r="AS21" s="44">
        <f t="shared" si="14"/>
        <v>8.1369528299294</v>
      </c>
      <c r="AT21" s="44">
        <f t="shared" si="15"/>
        <v>-2.51660423732602</v>
      </c>
      <c r="AU21" s="44">
        <f t="shared" si="16"/>
        <v>22.9800953470613</v>
      </c>
      <c r="AV21" s="44">
        <f t="shared" si="17"/>
        <v>10.1360193082079</v>
      </c>
      <c r="AW21" s="44">
        <f t="shared" si="18"/>
        <v>10.4107753537942</v>
      </c>
      <c r="AX21" s="40"/>
      <c r="AY21" s="51"/>
      <c r="AZ21" s="10" t="s">
        <v>36</v>
      </c>
      <c r="BA21" s="44">
        <f>SUM(AR12:AR13)+SUM(AR19:AR23)+SUM(AR29:AR33)+SUM(AR39:AR40)</f>
        <v>147.336968875553</v>
      </c>
      <c r="BB21" s="44">
        <f>SUM(AS12:AS13)+SUM(AS19:AS23)+SUM(AS29:AS33)+SUM(AS39:AS40)</f>
        <v>101.732067144915</v>
      </c>
      <c r="BC21" s="52"/>
      <c r="BD21" s="52"/>
      <c r="BF21" s="66" t="s">
        <v>50</v>
      </c>
      <c r="BG21" s="67" t="s">
        <v>94</v>
      </c>
      <c r="BH21" s="1" t="s">
        <v>35</v>
      </c>
      <c r="BI21" s="63">
        <f>BD20+BC23</f>
        <v>-22.8069047496731</v>
      </c>
      <c r="BJ21" s="64" t="s">
        <v>36</v>
      </c>
      <c r="BK21" s="65" t="s">
        <v>36</v>
      </c>
      <c r="BL21" s="65" t="s">
        <v>36</v>
      </c>
      <c r="BM21" s="65" t="s">
        <v>36</v>
      </c>
      <c r="BN21" s="65" t="s">
        <v>36</v>
      </c>
      <c r="BO21" s="65" t="s">
        <v>36</v>
      </c>
      <c r="BP21" s="65" t="s">
        <v>36</v>
      </c>
      <c r="BQ21" s="63" t="s">
        <v>36</v>
      </c>
      <c r="BS21" s="62" t="s">
        <v>45</v>
      </c>
      <c r="BT21" s="95" t="s">
        <v>46</v>
      </c>
      <c r="BU21" s="95" t="s">
        <v>95</v>
      </c>
      <c r="BV21" s="95" t="s">
        <v>35</v>
      </c>
      <c r="BW21" s="127">
        <f>2*BN37</f>
        <v>467.2</v>
      </c>
      <c r="BX21" s="95"/>
      <c r="BY21" s="95"/>
      <c r="BZ21" s="95"/>
    </row>
    <row r="22" ht="15.15" spans="2:78">
      <c r="B22" s="13" t="s">
        <v>96</v>
      </c>
      <c r="C22" s="16">
        <v>0.539172543427793</v>
      </c>
      <c r="D22" s="17">
        <v>1.1054900023744</v>
      </c>
      <c r="E22" s="17">
        <v>1.69083067372691</v>
      </c>
      <c r="F22" s="17">
        <v>2.16710892201309</v>
      </c>
      <c r="G22" s="17">
        <v>2.4235824482938</v>
      </c>
      <c r="H22" s="17">
        <v>2.38746224861852</v>
      </c>
      <c r="I22" s="17">
        <v>2.0493232244307</v>
      </c>
      <c r="J22" s="17">
        <v>1.47948343499773</v>
      </c>
      <c r="K22" s="17">
        <v>0.818991018184223</v>
      </c>
      <c r="L22" s="17">
        <v>0.240590899202067</v>
      </c>
      <c r="M22" s="17">
        <v>-0.107553355791413</v>
      </c>
      <c r="N22" s="17">
        <v>-0.150417755999285</v>
      </c>
      <c r="O22" s="17">
        <v>0.0958736128838082</v>
      </c>
      <c r="P22" s="17">
        <v>0.541536038672226</v>
      </c>
      <c r="Q22" s="17">
        <v>1.05987850642972</v>
      </c>
      <c r="R22" s="17">
        <v>1.52103227302507</v>
      </c>
      <c r="S22" s="17">
        <v>1.81373668949282</v>
      </c>
      <c r="T22" s="17">
        <v>1.8624969593366</v>
      </c>
      <c r="U22" s="17">
        <v>1.647840269854</v>
      </c>
      <c r="V22" s="17">
        <v>1.22310828448025</v>
      </c>
      <c r="W22" s="17">
        <v>0.710681600251421</v>
      </c>
      <c r="X22" s="17">
        <v>0.267784637904647</v>
      </c>
      <c r="Y22" s="17">
        <v>0.0324461165766954</v>
      </c>
      <c r="Z22" s="35">
        <v>0.0761063821236547</v>
      </c>
      <c r="AB22" s="36" t="s">
        <v>97</v>
      </c>
      <c r="AC22" s="33">
        <f t="shared" si="0"/>
        <v>11.2249715448643</v>
      </c>
      <c r="AD22" s="34">
        <f t="shared" si="1"/>
        <v>14.2716141296452</v>
      </c>
      <c r="AE22" s="34">
        <f t="shared" si="2"/>
        <v>10.8525213710309</v>
      </c>
      <c r="AF22" s="34">
        <f t="shared" si="3"/>
        <v>14.6440643034785</v>
      </c>
      <c r="AG22" s="34">
        <f t="shared" si="4"/>
        <v>5.39173830153122</v>
      </c>
      <c r="AH22" s="34">
        <f t="shared" si="5"/>
        <v>20.1048473729782</v>
      </c>
      <c r="AI22" s="34">
        <f t="shared" si="6"/>
        <v>17.2082009182948</v>
      </c>
      <c r="AJ22" s="34">
        <f t="shared" si="7"/>
        <v>8.28838475621469</v>
      </c>
      <c r="AK22" s="34">
        <f t="shared" si="8"/>
        <v>8.50785748467579</v>
      </c>
      <c r="AL22" s="34">
        <f t="shared" si="9"/>
        <v>8.47689853073715</v>
      </c>
      <c r="AM22" s="34">
        <f t="shared" si="10"/>
        <v>12.9622092097132</v>
      </c>
      <c r="AN22" s="34">
        <f t="shared" si="11"/>
        <v>12.5343764647963</v>
      </c>
      <c r="AP22" s="36" t="s">
        <v>97</v>
      </c>
      <c r="AQ22" s="44">
        <f t="shared" si="12"/>
        <v>25.4965856745094</v>
      </c>
      <c r="AR22" s="44">
        <f t="shared" si="13"/>
        <v>6.95335741521908</v>
      </c>
      <c r="AS22" s="44">
        <f t="shared" si="14"/>
        <v>6.20845706755238</v>
      </c>
      <c r="AT22" s="44">
        <f t="shared" si="15"/>
        <v>-4.713109071447</v>
      </c>
      <c r="AU22" s="44">
        <f t="shared" si="16"/>
        <v>18.9198161620801</v>
      </c>
      <c r="AV22" s="44">
        <f t="shared" si="17"/>
        <v>10.0309589539386</v>
      </c>
      <c r="AW22" s="44">
        <f t="shared" si="18"/>
        <v>10.4278327449169</v>
      </c>
      <c r="AX22" s="40"/>
      <c r="AY22" s="29"/>
      <c r="AZ22" s="10" t="s">
        <v>36</v>
      </c>
      <c r="BA22" s="44">
        <f>AR11*1</f>
        <v>10</v>
      </c>
      <c r="BB22" s="44">
        <f>AS11*1</f>
        <v>10</v>
      </c>
      <c r="BC22" s="50"/>
      <c r="BD22" s="50"/>
      <c r="BF22" s="66"/>
      <c r="BG22" s="67" t="s">
        <v>98</v>
      </c>
      <c r="BH22" s="1" t="s">
        <v>35</v>
      </c>
      <c r="BI22" s="63">
        <f>BD25</f>
        <v>188.163172446958</v>
      </c>
      <c r="BJ22" s="64" t="s">
        <v>36</v>
      </c>
      <c r="BK22" s="65">
        <f>-0.03*BI22</f>
        <v>-5.64489517340874</v>
      </c>
      <c r="BL22" s="65">
        <f>1*BI22</f>
        <v>188.163172446958</v>
      </c>
      <c r="BM22" s="65">
        <f>-0.03*BI22</f>
        <v>-5.64489517340874</v>
      </c>
      <c r="BN22" s="65" t="s">
        <v>36</v>
      </c>
      <c r="BO22" s="65" t="s">
        <v>36</v>
      </c>
      <c r="BP22" s="65" t="s">
        <v>36</v>
      </c>
      <c r="BQ22" s="63" t="s">
        <v>36</v>
      </c>
      <c r="BS22" s="62" t="s">
        <v>45</v>
      </c>
      <c r="BT22" s="95" t="s">
        <v>46</v>
      </c>
      <c r="BU22" s="95" t="s">
        <v>99</v>
      </c>
      <c r="BV22" s="95" t="s">
        <v>35</v>
      </c>
      <c r="BW22" s="127">
        <f>BN38</f>
        <v>6.1</v>
      </c>
      <c r="BX22" s="95"/>
      <c r="BY22" s="95"/>
      <c r="BZ22" s="95"/>
    </row>
    <row r="23" ht="15.15" spans="2:78">
      <c r="B23" s="13" t="s">
        <v>100</v>
      </c>
      <c r="C23" s="16">
        <v>0.386350770652441</v>
      </c>
      <c r="D23" s="17">
        <v>0.883014543511331</v>
      </c>
      <c r="E23" s="17">
        <v>1.45062413807857</v>
      </c>
      <c r="F23" s="17">
        <v>1.96688550686902</v>
      </c>
      <c r="G23" s="17">
        <v>2.32065066970372</v>
      </c>
      <c r="H23" s="17">
        <v>2.4268655317138</v>
      </c>
      <c r="I23" s="17">
        <v>2.24599323733234</v>
      </c>
      <c r="J23" s="17">
        <v>1.8037917973126</v>
      </c>
      <c r="K23" s="17">
        <v>1.19766226494412</v>
      </c>
      <c r="L23" s="17">
        <v>0.57743537522412</v>
      </c>
      <c r="M23" s="17">
        <v>0.100908723894954</v>
      </c>
      <c r="N23" s="17">
        <v>-0.1193483464881</v>
      </c>
      <c r="O23" s="17">
        <v>-0.0523355527519299</v>
      </c>
      <c r="P23" s="17">
        <v>0.249728549156469</v>
      </c>
      <c r="Q23" s="17">
        <v>0.680532435100788</v>
      </c>
      <c r="R23" s="17">
        <v>1.11804362185906</v>
      </c>
      <c r="S23" s="17">
        <v>1.45303634450463</v>
      </c>
      <c r="T23" s="17">
        <v>1.6056631489573</v>
      </c>
      <c r="U23" s="17">
        <v>1.53881185305973</v>
      </c>
      <c r="V23" s="17">
        <v>1.27106805397753</v>
      </c>
      <c r="W23" s="17">
        <v>0.879991846420511</v>
      </c>
      <c r="X23" s="17">
        <v>0.484789519110935</v>
      </c>
      <c r="Y23" s="17">
        <v>0.209607586501168</v>
      </c>
      <c r="Z23" s="35">
        <v>0.14298907737883</v>
      </c>
      <c r="AB23" s="36" t="s">
        <v>101</v>
      </c>
      <c r="AC23" s="33">
        <f t="shared" si="0"/>
        <v>10.8611115990464</v>
      </c>
      <c r="AD23" s="34">
        <f t="shared" si="1"/>
        <v>13.9616490969776</v>
      </c>
      <c r="AE23" s="34">
        <f t="shared" si="2"/>
        <v>9.58192648327502</v>
      </c>
      <c r="AF23" s="34">
        <f t="shared" si="3"/>
        <v>15.2408342127489</v>
      </c>
      <c r="AG23" s="34">
        <f t="shared" si="4"/>
        <v>4.99429681936958</v>
      </c>
      <c r="AH23" s="34">
        <f t="shared" si="5"/>
        <v>19.8284638766544</v>
      </c>
      <c r="AI23" s="34">
        <f t="shared" si="6"/>
        <v>14.4890597073552</v>
      </c>
      <c r="AJ23" s="34">
        <f t="shared" si="7"/>
        <v>10.3337009886687</v>
      </c>
      <c r="AK23" s="34">
        <f t="shared" si="8"/>
        <v>8.17498971985441</v>
      </c>
      <c r="AL23" s="34">
        <f t="shared" si="9"/>
        <v>8.35596470760712</v>
      </c>
      <c r="AM23" s="34">
        <f t="shared" si="10"/>
        <v>12.5352339367945</v>
      </c>
      <c r="AN23" s="34">
        <f t="shared" si="11"/>
        <v>12.2875267592294</v>
      </c>
      <c r="AP23" s="36" t="s">
        <v>101</v>
      </c>
      <c r="AQ23" s="44">
        <f t="shared" si="12"/>
        <v>24.8227606960239</v>
      </c>
      <c r="AR23" s="44">
        <f t="shared" si="13"/>
        <v>6.89946250206877</v>
      </c>
      <c r="AS23" s="44">
        <f t="shared" si="14"/>
        <v>4.34109227052611</v>
      </c>
      <c r="AT23" s="44">
        <f t="shared" si="15"/>
        <v>-4.83416705728478</v>
      </c>
      <c r="AU23" s="44">
        <f t="shared" si="16"/>
        <v>14.1553587186865</v>
      </c>
      <c r="AV23" s="44">
        <f t="shared" si="17"/>
        <v>9.81902501224729</v>
      </c>
      <c r="AW23" s="44">
        <f t="shared" si="18"/>
        <v>10.2477071775651</v>
      </c>
      <c r="AX23" s="40"/>
      <c r="AY23" s="30" t="s">
        <v>102</v>
      </c>
      <c r="AZ23" s="10" t="s">
        <v>40</v>
      </c>
      <c r="BA23" s="44">
        <f>SUM(AR12:AR16)+SUM(AR22:AR25)+SUM(AR31:AR35)</f>
        <v>150.577655791289</v>
      </c>
      <c r="BB23" s="44">
        <f>SUM(AS12:AS16)+SUM(AS22:AS25)+SUM(AS31:AS35)</f>
        <v>91.3966483790208</v>
      </c>
      <c r="BC23" s="49">
        <f>BA23-BA24</f>
        <v>-3.27009681025405</v>
      </c>
      <c r="BD23" s="49">
        <f>BB23-BB24</f>
        <v>-8.37226197058165</v>
      </c>
      <c r="BF23" s="66"/>
      <c r="BG23" s="67" t="s">
        <v>103</v>
      </c>
      <c r="BH23" s="1" t="s">
        <v>35</v>
      </c>
      <c r="BI23" s="63">
        <f>BD27+BC30</f>
        <v>-320.189069896042</v>
      </c>
      <c r="BJ23" s="64" t="s">
        <v>36</v>
      </c>
      <c r="BK23" s="65">
        <f>1*BI23</f>
        <v>-320.189069896042</v>
      </c>
      <c r="BL23" s="65">
        <f>0.015*BI23</f>
        <v>-4.80283604844062</v>
      </c>
      <c r="BM23" s="65">
        <f>0.032*BI23</f>
        <v>-10.2460502366733</v>
      </c>
      <c r="BN23" s="65" t="s">
        <v>36</v>
      </c>
      <c r="BO23" s="65">
        <f>-0.057*BI23</f>
        <v>18.2507769840744</v>
      </c>
      <c r="BP23" s="65" t="s">
        <v>36</v>
      </c>
      <c r="BQ23" s="63">
        <f>-0.035*BI23</f>
        <v>11.2066174463615</v>
      </c>
      <c r="BS23" s="62"/>
      <c r="BT23" s="95" t="s">
        <v>56</v>
      </c>
      <c r="BU23" s="95" t="s">
        <v>104</v>
      </c>
      <c r="BV23" s="95" t="s">
        <v>35</v>
      </c>
      <c r="BW23" s="127">
        <f>(SUM(BW21:BW22))-360</f>
        <v>113.3</v>
      </c>
      <c r="BX23" s="95"/>
      <c r="BY23" s="95"/>
      <c r="BZ23" s="95"/>
    </row>
    <row r="24" ht="15.15" spans="2:78">
      <c r="B24" s="13" t="s">
        <v>105</v>
      </c>
      <c r="C24" s="16">
        <v>0.312339440561695</v>
      </c>
      <c r="D24" s="17">
        <v>0.682047904805076</v>
      </c>
      <c r="E24" s="17">
        <v>1.16974448099406</v>
      </c>
      <c r="F24" s="17">
        <v>1.66903004096668</v>
      </c>
      <c r="G24" s="17">
        <v>2.0714153903897</v>
      </c>
      <c r="H24" s="17">
        <v>2.28681323322658</v>
      </c>
      <c r="I24" s="17">
        <v>2.26267327634647</v>
      </c>
      <c r="J24" s="17">
        <v>1.99813211871573</v>
      </c>
      <c r="K24" s="17">
        <v>1.54785872814646</v>
      </c>
      <c r="L24" s="17">
        <v>1.01248340285575</v>
      </c>
      <c r="M24" s="17">
        <v>0.515683368354131</v>
      </c>
      <c r="N24" s="17">
        <v>0.17151560843892</v>
      </c>
      <c r="O24" s="17">
        <v>0.0510350792641252</v>
      </c>
      <c r="P24" s="17">
        <v>0.161467012993436</v>
      </c>
      <c r="Q24" s="17">
        <v>0.447445724899634</v>
      </c>
      <c r="R24" s="17">
        <v>0.812346680299246</v>
      </c>
      <c r="S24" s="17">
        <v>1.14837703655151</v>
      </c>
      <c r="T24" s="17">
        <v>1.36442425886915</v>
      </c>
      <c r="U24" s="17">
        <v>1.40683105192793</v>
      </c>
      <c r="V24" s="17">
        <v>1.27164726276299</v>
      </c>
      <c r="W24" s="17">
        <v>1.00577786503669</v>
      </c>
      <c r="X24" s="17">
        <v>0.694315968251187</v>
      </c>
      <c r="Y24" s="17">
        <v>0.435886431122691</v>
      </c>
      <c r="Z24" s="35">
        <v>0.313969879908105</v>
      </c>
      <c r="AB24" s="36" t="s">
        <v>106</v>
      </c>
      <c r="AC24" s="33">
        <f t="shared" si="0"/>
        <v>11.4934422957346</v>
      </c>
      <c r="AD24" s="34">
        <f t="shared" si="1"/>
        <v>13.3198189499534</v>
      </c>
      <c r="AE24" s="34">
        <f t="shared" si="2"/>
        <v>9.11352425188669</v>
      </c>
      <c r="AF24" s="34">
        <f t="shared" si="3"/>
        <v>15.6997369938013</v>
      </c>
      <c r="AG24" s="34">
        <f t="shared" si="4"/>
        <v>5.96793430244881</v>
      </c>
      <c r="AH24" s="34">
        <f t="shared" si="5"/>
        <v>18.8453269432391</v>
      </c>
      <c r="AI24" s="34">
        <f t="shared" si="6"/>
        <v>12.1764862838209</v>
      </c>
      <c r="AJ24" s="34">
        <f t="shared" si="7"/>
        <v>12.6367749618671</v>
      </c>
      <c r="AK24" s="34">
        <f t="shared" si="8"/>
        <v>8.16960182854297</v>
      </c>
      <c r="AL24" s="34">
        <f t="shared" si="9"/>
        <v>8.35900289144971</v>
      </c>
      <c r="AM24" s="34">
        <f t="shared" si="10"/>
        <v>12.3169999464543</v>
      </c>
      <c r="AN24" s="34">
        <f t="shared" si="11"/>
        <v>12.4962612992336</v>
      </c>
      <c r="AP24" s="36" t="s">
        <v>106</v>
      </c>
      <c r="AQ24" s="44">
        <f t="shared" si="12"/>
        <v>24.8132612456879</v>
      </c>
      <c r="AR24" s="44">
        <f t="shared" si="13"/>
        <v>8.17362334578118</v>
      </c>
      <c r="AS24" s="44">
        <f t="shared" si="14"/>
        <v>3.41378725808544</v>
      </c>
      <c r="AT24" s="44">
        <f t="shared" si="15"/>
        <v>-2.87739264079033</v>
      </c>
      <c r="AU24" s="44">
        <f t="shared" si="16"/>
        <v>9.53971132195384</v>
      </c>
      <c r="AV24" s="44">
        <f t="shared" si="17"/>
        <v>9.81059893709327</v>
      </c>
      <c r="AW24" s="44">
        <f t="shared" si="18"/>
        <v>9.82073864722065</v>
      </c>
      <c r="AX24" s="40"/>
      <c r="AY24" s="29"/>
      <c r="AZ24" s="10" t="s">
        <v>36</v>
      </c>
      <c r="BA24" s="44">
        <f>SUM(AR17:AR21)+SUM(AR27:AR30)+SUM(AR36:AR40)</f>
        <v>153.847752601543</v>
      </c>
      <c r="BB24" s="44">
        <f>SUM(AS17:AS21)+SUM(AS27:AS30)+SUM(AS36:AS40)</f>
        <v>99.7689103496025</v>
      </c>
      <c r="BC24" s="50"/>
      <c r="BD24" s="50"/>
      <c r="BF24" s="66"/>
      <c r="BG24" s="67" t="s">
        <v>107</v>
      </c>
      <c r="BH24" s="1" t="s">
        <v>35</v>
      </c>
      <c r="BI24" s="74">
        <f>BD32+BC35</f>
        <v>-43.5105946583038</v>
      </c>
      <c r="BJ24" s="64" t="s">
        <v>36</v>
      </c>
      <c r="BK24" s="65">
        <f>-0.06*BI24</f>
        <v>2.61063567949823</v>
      </c>
      <c r="BL24" s="65" t="s">
        <v>36</v>
      </c>
      <c r="BM24" s="65">
        <f>1*BI24</f>
        <v>-43.5105946583038</v>
      </c>
      <c r="BN24" s="65" t="s">
        <v>36</v>
      </c>
      <c r="BO24" s="65" t="s">
        <v>36</v>
      </c>
      <c r="BP24" s="65" t="s">
        <v>36</v>
      </c>
      <c r="BQ24" s="63" t="s">
        <v>36</v>
      </c>
      <c r="BS24" s="62" t="s">
        <v>61</v>
      </c>
      <c r="BT24" s="95" t="s">
        <v>46</v>
      </c>
      <c r="BU24" s="95" t="s">
        <v>108</v>
      </c>
      <c r="BV24" s="95" t="s">
        <v>35</v>
      </c>
      <c r="BW24" s="127">
        <f>(((BW23-110)/(120-110))*(-19-(-19.3)))+(-19.3)</f>
        <v>-19.201</v>
      </c>
      <c r="BX24" s="95"/>
      <c r="BY24" s="95"/>
      <c r="BZ24" s="95"/>
    </row>
    <row r="25" ht="15.15" spans="2:78">
      <c r="B25" s="13" t="s">
        <v>109</v>
      </c>
      <c r="C25" s="16">
        <v>0.374351079421997</v>
      </c>
      <c r="D25" s="17">
        <v>0.61517109097759</v>
      </c>
      <c r="E25" s="17">
        <v>0.989899433052148</v>
      </c>
      <c r="F25" s="17">
        <v>1.41977441172468</v>
      </c>
      <c r="G25" s="17">
        <v>1.81222222778105</v>
      </c>
      <c r="H25" s="17">
        <v>2.08225407056777</v>
      </c>
      <c r="I25" s="17">
        <v>2.172257078594</v>
      </c>
      <c r="J25" s="17">
        <v>2.06433142890804</v>
      </c>
      <c r="K25" s="17">
        <v>1.7820776488344</v>
      </c>
      <c r="L25" s="17">
        <v>1.38384494690557</v>
      </c>
      <c r="M25" s="17">
        <v>0.951250844164015</v>
      </c>
      <c r="N25" s="17">
        <v>0.573933923283175</v>
      </c>
      <c r="O25" s="17">
        <v>0.329628948533488</v>
      </c>
      <c r="P25" s="17">
        <v>0.262434878385099</v>
      </c>
      <c r="Q25" s="17">
        <v>0.367958736418746</v>
      </c>
      <c r="R25" s="17">
        <v>0.594111202593416</v>
      </c>
      <c r="S25" s="17">
        <v>0.858896144201965</v>
      </c>
      <c r="T25" s="17">
        <v>1.07777350114704</v>
      </c>
      <c r="U25" s="17">
        <v>1.18957213827264</v>
      </c>
      <c r="V25" s="17">
        <v>1.17221244971477</v>
      </c>
      <c r="W25" s="17">
        <v>1.04462626086433</v>
      </c>
      <c r="X25" s="17">
        <v>0.856581735754503</v>
      </c>
      <c r="Y25" s="17">
        <v>0.6718891541176</v>
      </c>
      <c r="Z25" s="35">
        <v>0.551178303234305</v>
      </c>
      <c r="AB25" s="36" t="s">
        <v>110</v>
      </c>
      <c r="AC25" s="33">
        <f t="shared" si="0"/>
        <v>12.418499281969</v>
      </c>
      <c r="AD25" s="34">
        <f t="shared" si="1"/>
        <v>12.7797323554834</v>
      </c>
      <c r="AE25" s="34">
        <f t="shared" si="2"/>
        <v>8.9768634532379</v>
      </c>
      <c r="AF25" s="34">
        <f t="shared" si="3"/>
        <v>16.2213681842144</v>
      </c>
      <c r="AG25" s="34">
        <f t="shared" si="4"/>
        <v>7.92812307424824</v>
      </c>
      <c r="AH25" s="34">
        <f t="shared" si="5"/>
        <v>17.2701085632041</v>
      </c>
      <c r="AI25" s="34">
        <f t="shared" si="6"/>
        <v>10.784475724805</v>
      </c>
      <c r="AJ25" s="34">
        <f t="shared" si="7"/>
        <v>14.4137559126473</v>
      </c>
      <c r="AK25" s="34">
        <f t="shared" si="8"/>
        <v>8.35094904305442</v>
      </c>
      <c r="AL25" s="34">
        <f t="shared" si="9"/>
        <v>8.43887437614779</v>
      </c>
      <c r="AM25" s="34">
        <f t="shared" si="10"/>
        <v>12.3645211719772</v>
      </c>
      <c r="AN25" s="34">
        <f t="shared" si="11"/>
        <v>12.8337104654751</v>
      </c>
      <c r="AP25" s="36" t="s">
        <v>110</v>
      </c>
      <c r="AQ25" s="44">
        <f t="shared" si="12"/>
        <v>25.1982316374523</v>
      </c>
      <c r="AR25" s="44">
        <f t="shared" si="13"/>
        <v>9.63876692648557</v>
      </c>
      <c r="AS25" s="44">
        <f t="shared" si="14"/>
        <v>2.75549526902347</v>
      </c>
      <c r="AT25" s="44">
        <f t="shared" si="15"/>
        <v>0.658014511044136</v>
      </c>
      <c r="AU25" s="44">
        <f t="shared" si="16"/>
        <v>6.37071981215764</v>
      </c>
      <c r="AV25" s="44">
        <f t="shared" si="17"/>
        <v>9.91207466690662</v>
      </c>
      <c r="AW25" s="44">
        <f t="shared" si="18"/>
        <v>9.53081070650216</v>
      </c>
      <c r="AX25" s="40"/>
      <c r="AY25" s="30">
        <v>20</v>
      </c>
      <c r="AZ25" s="10" t="s">
        <v>40</v>
      </c>
      <c r="BA25" s="44">
        <f>SUM(AT12:AT40)</f>
        <v>162.201261586185</v>
      </c>
      <c r="BB25" s="44">
        <f>SUM(AU12:AU40)</f>
        <v>478.163172446958</v>
      </c>
      <c r="BC25" s="49">
        <f>BA25-BA26</f>
        <v>-127.798738413815</v>
      </c>
      <c r="BD25" s="49">
        <f>BB25-BB26</f>
        <v>188.163172446958</v>
      </c>
      <c r="BF25" s="66"/>
      <c r="BG25" s="67" t="s">
        <v>111</v>
      </c>
      <c r="BH25" s="1" t="s">
        <v>35</v>
      </c>
      <c r="BI25" s="63">
        <f>BD37+BC40</f>
        <v>-6.33117882053736</v>
      </c>
      <c r="BJ25" s="64" t="s">
        <v>36</v>
      </c>
      <c r="BK25" s="65">
        <f>0.03*BI25</f>
        <v>-0.189935364616121</v>
      </c>
      <c r="BL25" s="65" t="s">
        <v>36</v>
      </c>
      <c r="BM25" s="65" t="s">
        <v>36</v>
      </c>
      <c r="BN25" s="65" t="s">
        <v>36</v>
      </c>
      <c r="BO25" s="65" t="s">
        <v>36</v>
      </c>
      <c r="BP25" s="65">
        <f>0.01*BI25</f>
        <v>-0.0633117882053736</v>
      </c>
      <c r="BQ25" s="63">
        <f>1*BI25</f>
        <v>-6.33117882053736</v>
      </c>
      <c r="BS25" s="62" t="s">
        <v>61</v>
      </c>
      <c r="BT25" s="95" t="s">
        <v>46</v>
      </c>
      <c r="BU25" s="95" t="s">
        <v>112</v>
      </c>
      <c r="BV25" s="95" t="s">
        <v>35</v>
      </c>
      <c r="BW25" s="127">
        <f>(((BW23-110)/(120-110))*(-0.118-(-0.06))+(-0.06))</f>
        <v>-0.0791400000000004</v>
      </c>
      <c r="BX25" s="95"/>
      <c r="BY25" s="95"/>
      <c r="BZ25" s="95"/>
    </row>
    <row r="26" ht="15.15" spans="2:78">
      <c r="B26" s="18" t="s">
        <v>113</v>
      </c>
      <c r="C26" s="19">
        <v>0.538154056628631</v>
      </c>
      <c r="D26" s="20">
        <v>0.650388813844139</v>
      </c>
      <c r="E26" s="20">
        <v>0.874878282010546</v>
      </c>
      <c r="F26" s="20">
        <v>1.16968554224257</v>
      </c>
      <c r="G26" s="20">
        <v>1.47339835703403</v>
      </c>
      <c r="H26" s="20">
        <v>1.72153417908955</v>
      </c>
      <c r="I26" s="20">
        <v>1.86442401742814</v>
      </c>
      <c r="J26" s="20">
        <v>1.8787691156715</v>
      </c>
      <c r="K26" s="20">
        <v>1.76849321743874</v>
      </c>
      <c r="L26" s="20">
        <v>1.55770501525042</v>
      </c>
      <c r="M26" s="20">
        <v>1.28288822189777</v>
      </c>
      <c r="N26" s="20">
        <v>0.98856962774525</v>
      </c>
      <c r="O26" s="20">
        <v>0.724026217791691</v>
      </c>
      <c r="P26" s="20">
        <v>0.535667738862617</v>
      </c>
      <c r="Q26" s="20">
        <v>0.454011792297216</v>
      </c>
      <c r="R26" s="20">
        <v>0.481320054012338</v>
      </c>
      <c r="S26" s="20">
        <v>0.588661537179541</v>
      </c>
      <c r="T26" s="20">
        <v>0.726392542139123</v>
      </c>
      <c r="U26" s="20">
        <v>0.843524551185527</v>
      </c>
      <c r="V26" s="20">
        <v>0.90596462403078</v>
      </c>
      <c r="W26" s="20">
        <v>0.905163864897579</v>
      </c>
      <c r="X26" s="20">
        <v>0.855483961947897</v>
      </c>
      <c r="Y26" s="20">
        <v>0.784941701904702</v>
      </c>
      <c r="Z26" s="37">
        <v>0.725497481819074</v>
      </c>
      <c r="AB26" s="36" t="s">
        <v>114</v>
      </c>
      <c r="AC26" s="33">
        <f t="shared" si="0"/>
        <v>12.8509290977143</v>
      </c>
      <c r="AD26" s="34">
        <f t="shared" si="1"/>
        <v>11.448615416635</v>
      </c>
      <c r="AE26" s="34">
        <f t="shared" si="2"/>
        <v>8.53065606806808</v>
      </c>
      <c r="AF26" s="34">
        <f t="shared" si="3"/>
        <v>15.7688884462813</v>
      </c>
      <c r="AG26" s="34">
        <f t="shared" si="4"/>
        <v>9.97221291199995</v>
      </c>
      <c r="AH26" s="34">
        <f t="shared" si="5"/>
        <v>14.3273316023494</v>
      </c>
      <c r="AI26" s="34">
        <f t="shared" si="6"/>
        <v>9.93811911313199</v>
      </c>
      <c r="AJ26" s="34">
        <f t="shared" si="7"/>
        <v>14.3614254012174</v>
      </c>
      <c r="AK26" s="34">
        <f t="shared" si="8"/>
        <v>8.13212267382699</v>
      </c>
      <c r="AL26" s="34">
        <f t="shared" si="9"/>
        <v>8.06674173009731</v>
      </c>
      <c r="AM26" s="34">
        <f t="shared" si="10"/>
        <v>11.9434662920871</v>
      </c>
      <c r="AN26" s="34">
        <f t="shared" si="11"/>
        <v>12.3560782222623</v>
      </c>
      <c r="AP26" s="36" t="s">
        <v>114</v>
      </c>
      <c r="AQ26" s="44">
        <f t="shared" si="12"/>
        <v>24.2995445143494</v>
      </c>
      <c r="AR26" s="44">
        <f t="shared" si="13"/>
        <v>11.4023136810793</v>
      </c>
      <c r="AS26" s="44">
        <f t="shared" si="14"/>
        <v>2.7617676217868</v>
      </c>
      <c r="AT26" s="44">
        <f t="shared" si="15"/>
        <v>5.64488130965054</v>
      </c>
      <c r="AU26" s="44">
        <f t="shared" si="16"/>
        <v>5.57669371191461</v>
      </c>
      <c r="AV26" s="44">
        <f t="shared" si="17"/>
        <v>10.0653809437297</v>
      </c>
      <c r="AW26" s="44">
        <f t="shared" si="18"/>
        <v>9.58738806982484</v>
      </c>
      <c r="AX26" s="40"/>
      <c r="AY26" s="29"/>
      <c r="AZ26" s="10" t="s">
        <v>36</v>
      </c>
      <c r="BA26" s="44">
        <f>29*AR11</f>
        <v>290</v>
      </c>
      <c r="BB26" s="44">
        <f>29*AU11</f>
        <v>290</v>
      </c>
      <c r="BC26" s="50"/>
      <c r="BD26" s="50"/>
      <c r="BF26" s="68"/>
      <c r="BG26" s="69" t="s">
        <v>115</v>
      </c>
      <c r="BH26" s="70" t="s">
        <v>35</v>
      </c>
      <c r="BI26" s="71">
        <f>BD42+BC45</f>
        <v>-2.96960699714711</v>
      </c>
      <c r="BJ26" s="72" t="s">
        <v>36</v>
      </c>
      <c r="BK26" s="73" t="s">
        <v>36</v>
      </c>
      <c r="BL26" s="73" t="s">
        <v>36</v>
      </c>
      <c r="BM26" s="73" t="s">
        <v>36</v>
      </c>
      <c r="BN26" s="73" t="s">
        <v>36</v>
      </c>
      <c r="BO26" s="73" t="s">
        <v>36</v>
      </c>
      <c r="BP26" s="73">
        <f>1*BI26</f>
        <v>-2.96960699714711</v>
      </c>
      <c r="BQ26" s="71">
        <f>0.08*BI26</f>
        <v>-0.237568559771769</v>
      </c>
      <c r="BS26" s="62" t="s">
        <v>71</v>
      </c>
      <c r="BT26" s="95" t="s">
        <v>46</v>
      </c>
      <c r="BU26" s="95" t="s">
        <v>73</v>
      </c>
      <c r="BV26" s="95" t="s">
        <v>35</v>
      </c>
      <c r="BW26" s="127">
        <f>BN32</f>
        <v>1.082</v>
      </c>
      <c r="BX26" s="95"/>
      <c r="BY26" s="95"/>
      <c r="BZ26" s="95"/>
    </row>
    <row r="27" ht="15.15" spans="2:78">
      <c r="B27" s="13" t="s">
        <v>116</v>
      </c>
      <c r="C27" s="16">
        <v>0.705951226423267</v>
      </c>
      <c r="D27" s="17">
        <v>0.746681012739574</v>
      </c>
      <c r="E27" s="17">
        <v>0.854609795003704</v>
      </c>
      <c r="F27" s="17">
        <v>1.01927724557074</v>
      </c>
      <c r="G27" s="17">
        <v>1.21352093978865</v>
      </c>
      <c r="H27" s="17">
        <v>1.40125074736522</v>
      </c>
      <c r="I27" s="17">
        <v>1.54983837919183</v>
      </c>
      <c r="J27" s="17">
        <v>1.64005982565824</v>
      </c>
      <c r="K27" s="17">
        <v>1.66741488682026</v>
      </c>
      <c r="L27" s="17">
        <v>1.63532099473296</v>
      </c>
      <c r="M27" s="17">
        <v>1.5474203527495</v>
      </c>
      <c r="N27" s="17">
        <v>1.4065324807068</v>
      </c>
      <c r="O27" s="17">
        <v>1.22101932214951</v>
      </c>
      <c r="P27" s="17">
        <v>1.01171789984351</v>
      </c>
      <c r="Q27" s="17">
        <v>0.811220015399999</v>
      </c>
      <c r="R27" s="17">
        <v>0.65350842097064</v>
      </c>
      <c r="S27" s="17">
        <v>0.560360650259689</v>
      </c>
      <c r="T27" s="17">
        <v>0.534075272036582</v>
      </c>
      <c r="U27" s="17">
        <v>0.561037429605764</v>
      </c>
      <c r="V27" s="17">
        <v>0.621942793913919</v>
      </c>
      <c r="W27" s="17">
        <v>0.7002328535572</v>
      </c>
      <c r="X27" s="17">
        <v>0.784057304480828</v>
      </c>
      <c r="Y27" s="17">
        <v>0.864142808637212</v>
      </c>
      <c r="Z27" s="35">
        <v>0.932718844940046</v>
      </c>
      <c r="AB27" s="36" t="s">
        <v>117</v>
      </c>
      <c r="AC27" s="33">
        <f t="shared" si="0"/>
        <v>14.2384885005195</v>
      </c>
      <c r="AD27" s="34">
        <f t="shared" si="1"/>
        <v>10.4054230020261</v>
      </c>
      <c r="AE27" s="34">
        <f t="shared" si="2"/>
        <v>9.2560336157949</v>
      </c>
      <c r="AF27" s="34">
        <f t="shared" si="3"/>
        <v>15.3878778867507</v>
      </c>
      <c r="AG27" s="34">
        <f t="shared" si="4"/>
        <v>12.5213920578069</v>
      </c>
      <c r="AH27" s="34">
        <f t="shared" si="5"/>
        <v>12.1225194447387</v>
      </c>
      <c r="AI27" s="34">
        <f t="shared" si="6"/>
        <v>10.7331925475511</v>
      </c>
      <c r="AJ27" s="34">
        <f t="shared" si="7"/>
        <v>13.9107189549946</v>
      </c>
      <c r="AK27" s="34">
        <f t="shared" si="8"/>
        <v>8.31242370241902</v>
      </c>
      <c r="AL27" s="34">
        <f t="shared" si="9"/>
        <v>8.12564151653633</v>
      </c>
      <c r="AM27" s="34">
        <f t="shared" si="10"/>
        <v>12.0917254403068</v>
      </c>
      <c r="AN27" s="34">
        <f t="shared" si="11"/>
        <v>12.5521860622389</v>
      </c>
      <c r="AP27" s="36" t="s">
        <v>117</v>
      </c>
      <c r="AQ27" s="44">
        <f t="shared" si="12"/>
        <v>24.6439115025456</v>
      </c>
      <c r="AR27" s="44">
        <f t="shared" si="13"/>
        <v>13.8330654984934</v>
      </c>
      <c r="AS27" s="44">
        <f t="shared" si="14"/>
        <v>3.86815572904416</v>
      </c>
      <c r="AT27" s="44">
        <f t="shared" si="15"/>
        <v>10.3988726130682</v>
      </c>
      <c r="AU27" s="44">
        <f t="shared" si="16"/>
        <v>6.82247359255652</v>
      </c>
      <c r="AV27" s="44">
        <f t="shared" si="17"/>
        <v>10.1867821858827</v>
      </c>
      <c r="AW27" s="44">
        <f t="shared" si="18"/>
        <v>9.53953937806791</v>
      </c>
      <c r="AX27" s="40"/>
      <c r="AY27" s="30">
        <v>22</v>
      </c>
      <c r="AZ27" s="10" t="s">
        <v>40</v>
      </c>
      <c r="BA27" s="44">
        <f>SUM(AT12:AT15)+SUM(AT23:AT29)+SUM(AT37:AT40)</f>
        <v>80.2430371954851</v>
      </c>
      <c r="BB27" s="44">
        <f>SUM(AU12:AU15)+SUM(AU23:AU29)+SUM(AU37:AU40)</f>
        <v>163.163181445459</v>
      </c>
      <c r="BC27" s="49">
        <f>BA27-BA28-BA29</f>
        <v>-11.7151871952153</v>
      </c>
      <c r="BD27" s="49">
        <f>BB27-BB28-BB29</f>
        <v>-161.836809556039</v>
      </c>
      <c r="BJ27" s="10" t="s">
        <v>12</v>
      </c>
      <c r="BK27" s="10" t="s">
        <v>13</v>
      </c>
      <c r="BL27" s="10" t="s">
        <v>14</v>
      </c>
      <c r="BM27" s="10" t="s">
        <v>15</v>
      </c>
      <c r="BN27" s="10" t="s">
        <v>16</v>
      </c>
      <c r="BO27" s="10" t="s">
        <v>17</v>
      </c>
      <c r="BP27" s="10" t="s">
        <v>18</v>
      </c>
      <c r="BQ27" s="10" t="s">
        <v>19</v>
      </c>
      <c r="BS27" s="62"/>
      <c r="BT27" s="95"/>
      <c r="BU27" s="95" t="s">
        <v>77</v>
      </c>
      <c r="BV27" s="95" t="s">
        <v>35</v>
      </c>
      <c r="BW27" s="127">
        <f>BW24/BW26</f>
        <v>-17.7458410351201</v>
      </c>
      <c r="BX27" s="95"/>
      <c r="BY27" s="95"/>
      <c r="BZ27" s="95"/>
    </row>
    <row r="28" ht="15.15" spans="2:78">
      <c r="B28" s="13" t="s">
        <v>118</v>
      </c>
      <c r="C28" s="16">
        <v>0.985265206508096</v>
      </c>
      <c r="D28" s="17">
        <v>1.02246361000605</v>
      </c>
      <c r="E28" s="17">
        <v>1.04954982802673</v>
      </c>
      <c r="F28" s="17">
        <v>1.07356304433826</v>
      </c>
      <c r="G28" s="17">
        <v>1.10119491358124</v>
      </c>
      <c r="H28" s="17">
        <v>1.13866552057815</v>
      </c>
      <c r="I28" s="17">
        <v>1.19224240779116</v>
      </c>
      <c r="J28" s="17">
        <v>1.26684251261472</v>
      </c>
      <c r="K28" s="17">
        <v>1.3617019763811</v>
      </c>
      <c r="L28" s="17">
        <v>1.46512038187111</v>
      </c>
      <c r="M28" s="17">
        <v>1.55255857417912</v>
      </c>
      <c r="N28" s="17">
        <v>1.59179610677397</v>
      </c>
      <c r="O28" s="17">
        <v>1.55480092708649</v>
      </c>
      <c r="P28" s="17">
        <v>1.43076467221463</v>
      </c>
      <c r="Q28" s="17">
        <v>1.232868682774</v>
      </c>
      <c r="R28" s="17">
        <v>0.995100958352266</v>
      </c>
      <c r="S28" s="17">
        <v>0.76179120208722</v>
      </c>
      <c r="T28" s="17">
        <v>0.57582137379341</v>
      </c>
      <c r="U28" s="17">
        <v>0.46968016907502</v>
      </c>
      <c r="V28" s="17">
        <v>0.45997025187093</v>
      </c>
      <c r="W28" s="17">
        <v>0.544576068494652</v>
      </c>
      <c r="X28" s="17">
        <v>0.702631340999876</v>
      </c>
      <c r="Y28" s="17">
        <v>0.898234261372788</v>
      </c>
      <c r="Z28" s="35">
        <v>1.08814006428769</v>
      </c>
      <c r="AB28" s="36" t="s">
        <v>119</v>
      </c>
      <c r="AC28" s="33">
        <f t="shared" si="0"/>
        <v>14.9814097759192</v>
      </c>
      <c r="AD28" s="34">
        <f t="shared" si="1"/>
        <v>10.5339342791395</v>
      </c>
      <c r="AE28" s="34">
        <f t="shared" si="2"/>
        <v>10.714379972409</v>
      </c>
      <c r="AF28" s="34">
        <f t="shared" si="3"/>
        <v>14.8009640826497</v>
      </c>
      <c r="AG28" s="34">
        <f t="shared" si="4"/>
        <v>14.5741936561006</v>
      </c>
      <c r="AH28" s="34">
        <f t="shared" si="5"/>
        <v>10.9411503989581</v>
      </c>
      <c r="AI28" s="34">
        <f t="shared" si="6"/>
        <v>12.9218499393465</v>
      </c>
      <c r="AJ28" s="34">
        <f t="shared" si="7"/>
        <v>12.5934941157121</v>
      </c>
      <c r="AK28" s="34">
        <f t="shared" si="8"/>
        <v>8.59641177589399</v>
      </c>
      <c r="AL28" s="34">
        <f t="shared" si="9"/>
        <v>8.42511228123799</v>
      </c>
      <c r="AM28" s="34">
        <f t="shared" si="10"/>
        <v>12.5707263128436</v>
      </c>
      <c r="AN28" s="34">
        <f t="shared" si="11"/>
        <v>12.9446177422151</v>
      </c>
      <c r="AP28" s="36" t="s">
        <v>119</v>
      </c>
      <c r="AQ28" s="44">
        <f t="shared" si="12"/>
        <v>25.5153440550587</v>
      </c>
      <c r="AR28" s="44">
        <f t="shared" si="13"/>
        <v>14.4474754967797</v>
      </c>
      <c r="AS28" s="44">
        <f t="shared" si="14"/>
        <v>5.91341588975927</v>
      </c>
      <c r="AT28" s="44">
        <f t="shared" si="15"/>
        <v>13.6330432571424</v>
      </c>
      <c r="AU28" s="44">
        <f t="shared" si="16"/>
        <v>10.3283558236344</v>
      </c>
      <c r="AV28" s="44">
        <f t="shared" si="17"/>
        <v>10.171299494656</v>
      </c>
      <c r="AW28" s="44">
        <f t="shared" si="18"/>
        <v>9.62610857062848</v>
      </c>
      <c r="AX28" s="40"/>
      <c r="AY28" s="51"/>
      <c r="AZ28" s="10" t="s">
        <v>36</v>
      </c>
      <c r="BA28" s="44">
        <f>SUM(AT16:AT22)+SUM(AT30:AT36)</f>
        <v>81.9582243907004</v>
      </c>
      <c r="BB28" s="44">
        <f>SUM(AU16:AU22)+SUM(AU30:AU36)</f>
        <v>314.999991001499</v>
      </c>
      <c r="BC28" s="52"/>
      <c r="BD28" s="52"/>
      <c r="BF28" s="25" t="s">
        <v>120</v>
      </c>
      <c r="BG28" s="75" t="s">
        <v>121</v>
      </c>
      <c r="BH28" s="76"/>
      <c r="BI28" s="77"/>
      <c r="BJ28" s="49">
        <f>SUM(BJ10:BJ18)</f>
        <v>754.523854733941</v>
      </c>
      <c r="BK28" s="49">
        <f>SUM(BK10:BK18)</f>
        <v>-17.4939789598035</v>
      </c>
      <c r="BL28" s="49">
        <f t="shared" ref="BL28:BQ28" si="19">SUM(BL10:BL18)</f>
        <v>-128.122764908642</v>
      </c>
      <c r="BM28" s="49">
        <f t="shared" si="19"/>
        <v>17.8626404302586</v>
      </c>
      <c r="BN28" s="49">
        <f t="shared" si="19"/>
        <v>25.4226501555519</v>
      </c>
      <c r="BO28" s="49">
        <f t="shared" si="19"/>
        <v>17.2801039665</v>
      </c>
      <c r="BP28" s="49">
        <f t="shared" si="19"/>
        <v>-0.486229645452369</v>
      </c>
      <c r="BQ28" s="49">
        <f t="shared" si="19"/>
        <v>-2.31234871399574</v>
      </c>
      <c r="BS28" s="62"/>
      <c r="BT28" s="95"/>
      <c r="BU28" s="95" t="s">
        <v>82</v>
      </c>
      <c r="BV28" s="95" t="s">
        <v>35</v>
      </c>
      <c r="BW28" s="128">
        <f>BW25/BW26</f>
        <v>-0.0731423290203331</v>
      </c>
      <c r="BX28" s="95"/>
      <c r="BY28" s="95"/>
      <c r="BZ28" s="95"/>
    </row>
    <row r="29" ht="15.15" spans="2:78">
      <c r="B29" s="13" t="s">
        <v>122</v>
      </c>
      <c r="C29" s="16">
        <v>1.23210710672396</v>
      </c>
      <c r="D29" s="17">
        <v>1.30328204252622</v>
      </c>
      <c r="E29" s="17">
        <v>1.29542322365956</v>
      </c>
      <c r="F29" s="17">
        <v>1.22424312729695</v>
      </c>
      <c r="G29" s="17">
        <v>1.12213458092312</v>
      </c>
      <c r="H29" s="17">
        <v>1.0284078329788</v>
      </c>
      <c r="I29" s="17">
        <v>0.978930469793871</v>
      </c>
      <c r="J29" s="17">
        <v>0.998261233737155</v>
      </c>
      <c r="K29" s="17">
        <v>1.09487439991507</v>
      </c>
      <c r="L29" s="17">
        <v>1.25837668197137</v>
      </c>
      <c r="M29" s="17">
        <v>1.45835080603569</v>
      </c>
      <c r="N29" s="17">
        <v>1.64674533205073</v>
      </c>
      <c r="O29" s="17">
        <v>1.76675791679179</v>
      </c>
      <c r="P29" s="17">
        <v>1.76868129094034</v>
      </c>
      <c r="Q29" s="17">
        <v>1.62820687920802</v>
      </c>
      <c r="R29" s="17">
        <v>1.35922803447205</v>
      </c>
      <c r="S29" s="17">
        <v>1.01437868176635</v>
      </c>
      <c r="T29" s="17">
        <v>0.671639545011535</v>
      </c>
      <c r="U29" s="17">
        <v>0.411327782275365</v>
      </c>
      <c r="V29" s="17">
        <v>0.292105637609979</v>
      </c>
      <c r="W29" s="17">
        <v>0.335266362151557</v>
      </c>
      <c r="X29" s="17">
        <v>0.522248354048674</v>
      </c>
      <c r="Y29" s="17">
        <v>0.803306112127311</v>
      </c>
      <c r="Z29" s="35">
        <v>1.11106337644052</v>
      </c>
      <c r="AB29" s="36" t="s">
        <v>123</v>
      </c>
      <c r="AC29" s="33">
        <f t="shared" si="0"/>
        <v>15.644431271694</v>
      </c>
      <c r="AD29" s="34">
        <f t="shared" si="1"/>
        <v>10.680915538762</v>
      </c>
      <c r="AE29" s="34">
        <f t="shared" si="2"/>
        <v>11.6842099728435</v>
      </c>
      <c r="AF29" s="34">
        <f t="shared" si="3"/>
        <v>14.6411368376125</v>
      </c>
      <c r="AG29" s="34">
        <f t="shared" si="4"/>
        <v>15.7945491225242</v>
      </c>
      <c r="AH29" s="34">
        <f t="shared" si="5"/>
        <v>10.5307976879318</v>
      </c>
      <c r="AI29" s="34">
        <f t="shared" si="6"/>
        <v>15.4144902622987</v>
      </c>
      <c r="AJ29" s="34">
        <f t="shared" si="7"/>
        <v>10.9108565481573</v>
      </c>
      <c r="AK29" s="34">
        <f t="shared" si="8"/>
        <v>8.84697936206657</v>
      </c>
      <c r="AL29" s="34">
        <f t="shared" si="9"/>
        <v>8.71786706272325</v>
      </c>
      <c r="AM29" s="34">
        <f t="shared" si="10"/>
        <v>13.1052243453329</v>
      </c>
      <c r="AN29" s="34">
        <f t="shared" si="11"/>
        <v>13.2201224651231</v>
      </c>
      <c r="AP29" s="36" t="s">
        <v>123</v>
      </c>
      <c r="AQ29" s="44">
        <f t="shared" si="12"/>
        <v>26.325346810456</v>
      </c>
      <c r="AR29" s="44">
        <f t="shared" si="13"/>
        <v>14.963515732932</v>
      </c>
      <c r="AS29" s="44">
        <f t="shared" si="14"/>
        <v>7.04307313523099</v>
      </c>
      <c r="AT29" s="44">
        <f t="shared" si="15"/>
        <v>15.2637514345924</v>
      </c>
      <c r="AU29" s="44">
        <f t="shared" si="16"/>
        <v>14.5036337141414</v>
      </c>
      <c r="AV29" s="44">
        <f t="shared" si="17"/>
        <v>10.1291122993433</v>
      </c>
      <c r="AW29" s="44">
        <f t="shared" si="18"/>
        <v>9.88510188020979</v>
      </c>
      <c r="AX29" s="40"/>
      <c r="AY29" s="29"/>
      <c r="AZ29" s="10" t="s">
        <v>36</v>
      </c>
      <c r="BA29" s="44">
        <f>AT11*1</f>
        <v>10</v>
      </c>
      <c r="BB29" s="44">
        <f>AU11*1</f>
        <v>10</v>
      </c>
      <c r="BC29" s="50"/>
      <c r="BD29" s="50"/>
      <c r="BF29" s="66"/>
      <c r="BG29" s="69" t="s">
        <v>124</v>
      </c>
      <c r="BH29" s="78"/>
      <c r="BI29" s="79"/>
      <c r="BJ29" s="50">
        <f>SUM(BJ19:BJ26)</f>
        <v>0</v>
      </c>
      <c r="BK29" s="50">
        <f t="shared" ref="BK29:BQ29" si="20">SUM(BK19:BK26)</f>
        <v>-332.916616230761</v>
      </c>
      <c r="BL29" s="50">
        <f t="shared" si="20"/>
        <v>183.360336398517</v>
      </c>
      <c r="BM29" s="50">
        <f t="shared" si="20"/>
        <v>-59.4015400683859</v>
      </c>
      <c r="BN29" s="50">
        <f t="shared" si="20"/>
        <v>-94.3181571071737</v>
      </c>
      <c r="BO29" s="50">
        <f t="shared" si="20"/>
        <v>-109.825573069569</v>
      </c>
      <c r="BP29" s="50">
        <f t="shared" si="20"/>
        <v>-3.03291878535248</v>
      </c>
      <c r="BQ29" s="50">
        <f t="shared" si="20"/>
        <v>0.565005147684009</v>
      </c>
      <c r="BS29" s="96"/>
      <c r="BT29" s="97"/>
      <c r="BU29" s="97" t="s">
        <v>87</v>
      </c>
      <c r="BV29" s="97" t="s">
        <v>35</v>
      </c>
      <c r="BW29" s="129">
        <f>1+BW28</f>
        <v>0.926857670979667</v>
      </c>
      <c r="BX29" s="95"/>
      <c r="BY29" s="95"/>
      <c r="BZ29" s="95"/>
    </row>
    <row r="30" ht="15.15" spans="2:78">
      <c r="B30" s="13" t="s">
        <v>125</v>
      </c>
      <c r="C30" s="16">
        <v>1.37442265465082</v>
      </c>
      <c r="D30" s="17">
        <v>1.53255334667483</v>
      </c>
      <c r="E30" s="17">
        <v>1.54946751608477</v>
      </c>
      <c r="F30" s="17">
        <v>1.42601202579063</v>
      </c>
      <c r="G30" s="17">
        <v>1.20292810531937</v>
      </c>
      <c r="H30" s="17">
        <v>0.950634522210812</v>
      </c>
      <c r="I30" s="17">
        <v>0.747857898037667</v>
      </c>
      <c r="J30" s="17">
        <v>0.65739512009479</v>
      </c>
      <c r="K30" s="17">
        <v>0.708761143226412</v>
      </c>
      <c r="L30" s="17">
        <v>0.893174473347907</v>
      </c>
      <c r="M30" s="17">
        <v>1.16931215351134</v>
      </c>
      <c r="N30" s="17">
        <v>1.47400710037454</v>
      </c>
      <c r="O30" s="17">
        <v>1.73372713880637</v>
      </c>
      <c r="P30" s="17">
        <v>1.87739322633833</v>
      </c>
      <c r="Q30" s="17">
        <v>1.85271134746414</v>
      </c>
      <c r="R30" s="17">
        <v>1.64421210100569</v>
      </c>
      <c r="S30" s="17">
        <v>1.2855189404811</v>
      </c>
      <c r="T30" s="17">
        <v>0.856986803359384</v>
      </c>
      <c r="U30" s="17">
        <v>0.465217975885251</v>
      </c>
      <c r="V30" s="17">
        <v>0.210402811174989</v>
      </c>
      <c r="W30" s="17">
        <v>0.154963003507621</v>
      </c>
      <c r="X30" s="17">
        <v>0.306753142871347</v>
      </c>
      <c r="Y30" s="17">
        <v>0.621366095337852</v>
      </c>
      <c r="Z30" s="35">
        <v>1.01779877862599</v>
      </c>
      <c r="AB30" s="36" t="s">
        <v>126</v>
      </c>
      <c r="AC30" s="33">
        <f t="shared" si="0"/>
        <v>14.9010574460477</v>
      </c>
      <c r="AD30" s="34">
        <f t="shared" si="1"/>
        <v>10.8125199781343</v>
      </c>
      <c r="AE30" s="34">
        <f t="shared" si="2"/>
        <v>12.0270513648581</v>
      </c>
      <c r="AF30" s="34">
        <f t="shared" si="3"/>
        <v>13.6865260593239</v>
      </c>
      <c r="AG30" s="34">
        <f t="shared" si="4"/>
        <v>15.4026869740882</v>
      </c>
      <c r="AH30" s="34">
        <f t="shared" si="5"/>
        <v>10.3108904500937</v>
      </c>
      <c r="AI30" s="34">
        <f t="shared" si="6"/>
        <v>17.2865677281862</v>
      </c>
      <c r="AJ30" s="34">
        <f t="shared" si="7"/>
        <v>8.42700969599571</v>
      </c>
      <c r="AK30" s="34">
        <f t="shared" si="8"/>
        <v>8.62065287195083</v>
      </c>
      <c r="AL30" s="34">
        <f t="shared" si="9"/>
        <v>8.53605475329852</v>
      </c>
      <c r="AM30" s="34">
        <f t="shared" si="10"/>
        <v>12.864873181946</v>
      </c>
      <c r="AN30" s="34">
        <f t="shared" si="11"/>
        <v>12.848704242236</v>
      </c>
      <c r="AP30" s="36" t="s">
        <v>126</v>
      </c>
      <c r="AQ30" s="44">
        <f t="shared" si="12"/>
        <v>25.713577424182</v>
      </c>
      <c r="AR30" s="44">
        <f t="shared" si="13"/>
        <v>14.0885374679134</v>
      </c>
      <c r="AS30" s="44">
        <f t="shared" si="14"/>
        <v>8.34052530553418</v>
      </c>
      <c r="AT30" s="44">
        <f t="shared" si="15"/>
        <v>15.0917965239945</v>
      </c>
      <c r="AU30" s="44">
        <f t="shared" si="16"/>
        <v>18.8595580321905</v>
      </c>
      <c r="AV30" s="44">
        <f t="shared" si="17"/>
        <v>10.0845981186523</v>
      </c>
      <c r="AW30" s="44">
        <f t="shared" si="18"/>
        <v>10.01616893971</v>
      </c>
      <c r="AX30" s="40"/>
      <c r="AY30" s="30" t="s">
        <v>127</v>
      </c>
      <c r="AZ30" s="10" t="s">
        <v>40</v>
      </c>
      <c r="BA30" s="44">
        <f>SUM(AT20:AT25)+SUM(AT34:AT39)</f>
        <v>-11.4242974139618</v>
      </c>
      <c r="BB30" s="44">
        <f>SUM(AU20:AU25)+SUM(AU34:AU39)</f>
        <v>206.502019425512</v>
      </c>
      <c r="BC30" s="49">
        <f>BA30-BA31</f>
        <v>-158.352260340002</v>
      </c>
      <c r="BD30" s="49">
        <f>BB30-BB31</f>
        <v>9.88657912664016</v>
      </c>
      <c r="BF30" s="66"/>
      <c r="BG30" s="75" t="s">
        <v>128</v>
      </c>
      <c r="BH30" s="76"/>
      <c r="BI30" s="77"/>
      <c r="BJ30" s="49">
        <f>SQRT((BJ28^2)+(BJ29^2))</f>
        <v>754.523854733941</v>
      </c>
      <c r="BK30" s="49">
        <f t="shared" ref="BK30:BQ30" si="21">SQRT((BK28^2)+(BK29^2))</f>
        <v>333.375932938156</v>
      </c>
      <c r="BL30" s="49">
        <f t="shared" si="21"/>
        <v>223.688300659674</v>
      </c>
      <c r="BM30" s="49">
        <f t="shared" si="21"/>
        <v>62.0291615745108</v>
      </c>
      <c r="BN30" s="49">
        <f t="shared" si="21"/>
        <v>97.6843175797685</v>
      </c>
      <c r="BO30" s="49">
        <f t="shared" si="21"/>
        <v>111.176699416525</v>
      </c>
      <c r="BP30" s="49">
        <f t="shared" si="21"/>
        <v>3.07164705437665</v>
      </c>
      <c r="BQ30" s="49">
        <f t="shared" si="21"/>
        <v>2.3803754729091</v>
      </c>
      <c r="BS30" s="56" t="s">
        <v>129</v>
      </c>
      <c r="BT30" s="94"/>
      <c r="BU30" s="94"/>
      <c r="BV30" s="94"/>
      <c r="BW30" s="122"/>
      <c r="BX30" s="95"/>
      <c r="BY30" s="95"/>
      <c r="BZ30" s="95"/>
    </row>
    <row r="31" ht="15.15" spans="2:78">
      <c r="B31" s="13" t="s">
        <v>130</v>
      </c>
      <c r="C31" s="16">
        <v>1.39863911803427</v>
      </c>
      <c r="D31" s="17">
        <v>1.67071292135381</v>
      </c>
      <c r="E31" s="17">
        <v>1.76642969768376</v>
      </c>
      <c r="F31" s="17">
        <v>1.6634054886042</v>
      </c>
      <c r="G31" s="17">
        <v>1.39422191082434</v>
      </c>
      <c r="H31" s="17">
        <v>1.03842781110382</v>
      </c>
      <c r="I31" s="17">
        <v>0.697644345691323</v>
      </c>
      <c r="J31" s="17">
        <v>0.464719981287522</v>
      </c>
      <c r="K31" s="17">
        <v>0.400210100902755</v>
      </c>
      <c r="L31" s="17">
        <v>0.522334841497857</v>
      </c>
      <c r="M31" s="17">
        <v>0.807323634884511</v>
      </c>
      <c r="N31" s="17">
        <v>1.1944356677557</v>
      </c>
      <c r="O31" s="17">
        <v>1.59467001480405</v>
      </c>
      <c r="P31" s="17">
        <v>1.90658655837546</v>
      </c>
      <c r="Q31" s="17">
        <v>2.040444870299</v>
      </c>
      <c r="R31" s="17">
        <v>1.94525251738672</v>
      </c>
      <c r="S31" s="17">
        <v>1.62893792893107</v>
      </c>
      <c r="T31" s="17">
        <v>1.16277185590496</v>
      </c>
      <c r="U31" s="17">
        <v>0.665706482297856</v>
      </c>
      <c r="V31" s="17">
        <v>0.270803590467171</v>
      </c>
      <c r="W31" s="17">
        <v>0.0838996665924708</v>
      </c>
      <c r="X31" s="17">
        <v>0.150703295787137</v>
      </c>
      <c r="Y31" s="17">
        <v>0.446152186026762</v>
      </c>
      <c r="Z31" s="35">
        <v>0.887850663936121</v>
      </c>
      <c r="AB31" s="36" t="s">
        <v>131</v>
      </c>
      <c r="AC31" s="33">
        <f t="shared" si="0"/>
        <v>14.3653323177209</v>
      </c>
      <c r="AD31" s="34">
        <f t="shared" si="1"/>
        <v>11.4369528327117</v>
      </c>
      <c r="AE31" s="34">
        <f t="shared" si="2"/>
        <v>12.7837796308088</v>
      </c>
      <c r="AF31" s="34">
        <f t="shared" si="3"/>
        <v>13.0185055196239</v>
      </c>
      <c r="AG31" s="34">
        <f t="shared" si="4"/>
        <v>14.3862834704384</v>
      </c>
      <c r="AH31" s="34">
        <f t="shared" si="5"/>
        <v>11.4160016799942</v>
      </c>
      <c r="AI31" s="34">
        <f t="shared" si="6"/>
        <v>19.2105006933055</v>
      </c>
      <c r="AJ31" s="34">
        <f t="shared" si="7"/>
        <v>6.59178445712719</v>
      </c>
      <c r="AK31" s="34">
        <f t="shared" si="8"/>
        <v>8.6401459595281</v>
      </c>
      <c r="AL31" s="34">
        <f t="shared" si="9"/>
        <v>8.5726804787539</v>
      </c>
      <c r="AM31" s="34">
        <f t="shared" si="10"/>
        <v>12.9604673477894</v>
      </c>
      <c r="AN31" s="34">
        <f t="shared" si="11"/>
        <v>12.8418178026432</v>
      </c>
      <c r="AP31" s="36" t="s">
        <v>131</v>
      </c>
      <c r="AQ31" s="44">
        <f t="shared" si="12"/>
        <v>25.8022851504326</v>
      </c>
      <c r="AR31" s="44">
        <f t="shared" si="13"/>
        <v>12.9283794850092</v>
      </c>
      <c r="AS31" s="44">
        <f t="shared" si="14"/>
        <v>9.76527411118491</v>
      </c>
      <c r="AT31" s="44">
        <f t="shared" si="15"/>
        <v>12.9702817904442</v>
      </c>
      <c r="AU31" s="44">
        <f t="shared" si="16"/>
        <v>22.6187162361783</v>
      </c>
      <c r="AV31" s="44">
        <f t="shared" si="17"/>
        <v>10.0674654807742</v>
      </c>
      <c r="AW31" s="44">
        <f t="shared" si="18"/>
        <v>10.1186495451462</v>
      </c>
      <c r="AX31" s="40"/>
      <c r="AY31" s="29"/>
      <c r="AZ31" s="10" t="s">
        <v>36</v>
      </c>
      <c r="BA31" s="44">
        <f>SUM(AT13:AT18)+SUM(AT27:AT32)</f>
        <v>146.927962926041</v>
      </c>
      <c r="BB31" s="44">
        <f>SUM(AU13:AU18)+SUM(AU27:AU32)</f>
        <v>196.615440298872</v>
      </c>
      <c r="BC31" s="50"/>
      <c r="BD31" s="50"/>
      <c r="BF31" s="66"/>
      <c r="BG31" s="67" t="s">
        <v>132</v>
      </c>
      <c r="BI31" s="80"/>
      <c r="BJ31" s="81">
        <v>696</v>
      </c>
      <c r="BK31" s="81">
        <v>559</v>
      </c>
      <c r="BL31" s="81">
        <v>448</v>
      </c>
      <c r="BM31" s="81">
        <v>566</v>
      </c>
      <c r="BN31" s="81">
        <v>439</v>
      </c>
      <c r="BO31" s="81">
        <v>565</v>
      </c>
      <c r="BP31" s="81">
        <v>507</v>
      </c>
      <c r="BQ31" s="81">
        <v>535</v>
      </c>
      <c r="BS31" s="62" t="s">
        <v>45</v>
      </c>
      <c r="BT31" s="95" t="s">
        <v>133</v>
      </c>
      <c r="BU31" s="95" t="s">
        <v>134</v>
      </c>
      <c r="BV31" s="95" t="s">
        <v>35</v>
      </c>
      <c r="BW31" s="130">
        <f>3*BK37</f>
        <v>1499.7</v>
      </c>
      <c r="BX31" s="95"/>
      <c r="BY31" s="95"/>
      <c r="BZ31" s="95"/>
    </row>
    <row r="32" ht="15.15" spans="2:76">
      <c r="B32" s="13" t="s">
        <v>135</v>
      </c>
      <c r="C32" s="16">
        <v>1.36300362606769</v>
      </c>
      <c r="D32" s="17">
        <v>1.75616773743243</v>
      </c>
      <c r="E32" s="17">
        <v>1.97254222735381</v>
      </c>
      <c r="F32" s="17">
        <v>1.95761195025387</v>
      </c>
      <c r="G32" s="17">
        <v>1.71217285827038</v>
      </c>
      <c r="H32" s="17">
        <v>1.29686648045089</v>
      </c>
      <c r="I32" s="17">
        <v>0.82024675271571</v>
      </c>
      <c r="J32" s="17">
        <v>0.410507104581004</v>
      </c>
      <c r="K32" s="17">
        <v>0.17884027530636</v>
      </c>
      <c r="L32" s="17">
        <v>0.187179448359165</v>
      </c>
      <c r="M32" s="17">
        <v>0.431926640784738</v>
      </c>
      <c r="N32" s="17">
        <v>0.848133907823638</v>
      </c>
      <c r="O32" s="17">
        <v>1.32958680963955</v>
      </c>
      <c r="P32" s="17">
        <v>1.75561759810081</v>
      </c>
      <c r="Q32" s="17">
        <v>2.01760295075434</v>
      </c>
      <c r="R32" s="17">
        <v>2.04270310153362</v>
      </c>
      <c r="S32" s="17">
        <v>1.81350475622676</v>
      </c>
      <c r="T32" s="17">
        <v>1.37886714710895</v>
      </c>
      <c r="U32" s="17">
        <v>0.848240973753821</v>
      </c>
      <c r="V32" s="17">
        <v>0.364708239181387</v>
      </c>
      <c r="W32" s="17">
        <v>0.0620661509512184</v>
      </c>
      <c r="X32" s="17">
        <v>0.0224131181796032</v>
      </c>
      <c r="Y32" s="17">
        <v>0.252952984195779</v>
      </c>
      <c r="Z32" s="35">
        <v>0.689890144347505</v>
      </c>
      <c r="AB32" s="36" t="s">
        <v>136</v>
      </c>
      <c r="AC32" s="33">
        <f t="shared" si="0"/>
        <v>13.2147164929346</v>
      </c>
      <c r="AD32" s="34">
        <f t="shared" si="1"/>
        <v>12.2986364904384</v>
      </c>
      <c r="AE32" s="34">
        <f t="shared" si="2"/>
        <v>12.5781539739733</v>
      </c>
      <c r="AF32" s="34">
        <f t="shared" si="3"/>
        <v>12.9351990093997</v>
      </c>
      <c r="AG32" s="34">
        <f t="shared" si="4"/>
        <v>12.6270171930391</v>
      </c>
      <c r="AH32" s="34">
        <f t="shared" si="5"/>
        <v>12.886335790334</v>
      </c>
      <c r="AI32" s="34">
        <f t="shared" si="6"/>
        <v>20.3962472431931</v>
      </c>
      <c r="AJ32" s="34">
        <f t="shared" si="7"/>
        <v>5.11710574017993</v>
      </c>
      <c r="AK32" s="34">
        <f t="shared" si="8"/>
        <v>8.57483584190775</v>
      </c>
      <c r="AL32" s="34">
        <f t="shared" si="9"/>
        <v>8.44095922269199</v>
      </c>
      <c r="AM32" s="34">
        <f t="shared" si="10"/>
        <v>12.8791304458381</v>
      </c>
      <c r="AN32" s="34">
        <f t="shared" si="11"/>
        <v>12.6342225375349</v>
      </c>
      <c r="AP32" s="36" t="s">
        <v>136</v>
      </c>
      <c r="AQ32" s="44">
        <f t="shared" si="12"/>
        <v>25.513352983373</v>
      </c>
      <c r="AR32" s="44">
        <f t="shared" si="13"/>
        <v>10.9160800024963</v>
      </c>
      <c r="AS32" s="44">
        <f t="shared" si="14"/>
        <v>9.64295496457366</v>
      </c>
      <c r="AT32" s="44">
        <f t="shared" si="15"/>
        <v>9.74068140270509</v>
      </c>
      <c r="AU32" s="44">
        <f t="shared" si="16"/>
        <v>25.2791415030132</v>
      </c>
      <c r="AV32" s="44">
        <f t="shared" si="17"/>
        <v>10.1338766192158</v>
      </c>
      <c r="AW32" s="44">
        <f t="shared" si="18"/>
        <v>10.2449079083032</v>
      </c>
      <c r="AX32" s="40"/>
      <c r="AY32" s="30">
        <v>23</v>
      </c>
      <c r="AZ32" s="10" t="s">
        <v>40</v>
      </c>
      <c r="BA32" s="44">
        <f>SUM(AT14:AT18)+SUM(AT24:AT28)+SUM(AT34:AT38)</f>
        <v>88.7718039671906</v>
      </c>
      <c r="BB32" s="44">
        <f>SUM(AU14:AU18)+SUM(AU24:AU28)+SUM(AU34:AU38)</f>
        <v>225.559899867423</v>
      </c>
      <c r="BC32" s="49">
        <f>BA32-BA33-BA34</f>
        <v>5.34234634819579</v>
      </c>
      <c r="BD32" s="49">
        <f>BB32-BB33-BB34</f>
        <v>-37.0433727121111</v>
      </c>
      <c r="BF32" s="66"/>
      <c r="BG32" s="67" t="s">
        <v>137</v>
      </c>
      <c r="BI32" s="80"/>
      <c r="BJ32" s="51"/>
      <c r="BK32" s="52">
        <v>0.976</v>
      </c>
      <c r="BL32" s="52">
        <v>1</v>
      </c>
      <c r="BM32" s="52">
        <f>BK32</f>
        <v>0.976</v>
      </c>
      <c r="BN32" s="52">
        <v>1.082</v>
      </c>
      <c r="BO32" s="52">
        <v>1.132</v>
      </c>
      <c r="BP32" s="98">
        <f>BK32^2</f>
        <v>0.952576</v>
      </c>
      <c r="BQ32" s="52">
        <f>BK32</f>
        <v>0.976</v>
      </c>
      <c r="BR32" s="9"/>
      <c r="BS32" s="67" t="s">
        <v>45</v>
      </c>
      <c r="BT32" s="2" t="s">
        <v>138</v>
      </c>
      <c r="BU32" s="2" t="s">
        <v>95</v>
      </c>
      <c r="BV32" s="2" t="s">
        <v>35</v>
      </c>
      <c r="BW32" s="130">
        <f>2*BM37</f>
        <v>1082</v>
      </c>
      <c r="BX32" s="131" t="s">
        <v>139</v>
      </c>
    </row>
    <row r="33" ht="15.15" spans="2:76">
      <c r="B33" s="13" t="s">
        <v>140</v>
      </c>
      <c r="C33" s="16">
        <v>1.22180212227194</v>
      </c>
      <c r="D33" s="17">
        <v>1.71861126600074</v>
      </c>
      <c r="E33" s="17">
        <v>2.0586524522447</v>
      </c>
      <c r="F33" s="17">
        <v>2.1544422685089</v>
      </c>
      <c r="G33" s="17">
        <v>1.97669416554847</v>
      </c>
      <c r="H33" s="17">
        <v>1.56845048213186</v>
      </c>
      <c r="I33" s="17">
        <v>1.03834219367105</v>
      </c>
      <c r="J33" s="17">
        <v>0.529898777930105</v>
      </c>
      <c r="K33" s="17">
        <v>0.177280259139353</v>
      </c>
      <c r="L33" s="17">
        <v>0.06626327850637</v>
      </c>
      <c r="M33" s="17">
        <v>0.21567296511254</v>
      </c>
      <c r="N33" s="17">
        <v>0.581141520408817</v>
      </c>
      <c r="O33" s="17">
        <v>1.07158436217651</v>
      </c>
      <c r="P33" s="17">
        <v>1.56892721505875</v>
      </c>
      <c r="Q33" s="17">
        <v>1.949962593324</v>
      </c>
      <c r="R33" s="17">
        <v>2.11322359521576</v>
      </c>
      <c r="S33" s="17">
        <v>2.00798430551922</v>
      </c>
      <c r="T33" s="17">
        <v>1.65459196175116</v>
      </c>
      <c r="U33" s="17">
        <v>1.14488509429936</v>
      </c>
      <c r="V33" s="17">
        <v>0.618994550128366</v>
      </c>
      <c r="W33" s="17">
        <v>0.22456319809775</v>
      </c>
      <c r="X33" s="17">
        <v>0.0719646386831815</v>
      </c>
      <c r="Y33" s="17">
        <v>0.201974297322181</v>
      </c>
      <c r="Z33" s="35">
        <v>0.577614919171157</v>
      </c>
      <c r="AB33" s="36" t="s">
        <v>141</v>
      </c>
      <c r="AC33" s="33">
        <f t="shared" si="0"/>
        <v>12.9748730278136</v>
      </c>
      <c r="AD33" s="34">
        <f t="shared" si="1"/>
        <v>13.5386494544086</v>
      </c>
      <c r="AE33" s="34">
        <f t="shared" si="2"/>
        <v>13.2062707307474</v>
      </c>
      <c r="AF33" s="34">
        <f t="shared" si="3"/>
        <v>13.3072517514748</v>
      </c>
      <c r="AG33" s="34">
        <f t="shared" si="4"/>
        <v>11.3041716302809</v>
      </c>
      <c r="AH33" s="34">
        <f t="shared" si="5"/>
        <v>15.2093508519414</v>
      </c>
      <c r="AI33" s="34">
        <f t="shared" si="6"/>
        <v>21.064926789752</v>
      </c>
      <c r="AJ33" s="34">
        <f t="shared" si="7"/>
        <v>5.44859569247023</v>
      </c>
      <c r="AK33" s="34">
        <f t="shared" si="8"/>
        <v>8.85841265588185</v>
      </c>
      <c r="AL33" s="34">
        <f t="shared" si="9"/>
        <v>8.81635228372001</v>
      </c>
      <c r="AM33" s="34">
        <f t="shared" si="10"/>
        <v>13.3235040843426</v>
      </c>
      <c r="AN33" s="34">
        <f t="shared" si="11"/>
        <v>13.1900183978796</v>
      </c>
      <c r="AP33" s="36" t="s">
        <v>141</v>
      </c>
      <c r="AQ33" s="44">
        <f t="shared" si="12"/>
        <v>26.5135224822222</v>
      </c>
      <c r="AR33" s="44">
        <f t="shared" si="13"/>
        <v>9.43622357340503</v>
      </c>
      <c r="AS33" s="44">
        <f t="shared" si="14"/>
        <v>9.89901897927255</v>
      </c>
      <c r="AT33" s="44">
        <f t="shared" si="15"/>
        <v>6.09482077833953</v>
      </c>
      <c r="AU33" s="44">
        <f t="shared" si="16"/>
        <v>25.6163310972818</v>
      </c>
      <c r="AV33" s="44">
        <f t="shared" si="17"/>
        <v>10.0420603721618</v>
      </c>
      <c r="AW33" s="44">
        <f t="shared" si="18"/>
        <v>10.133485686463</v>
      </c>
      <c r="AX33" s="40"/>
      <c r="AY33" s="51"/>
      <c r="AZ33" s="10" t="s">
        <v>36</v>
      </c>
      <c r="BA33" s="44">
        <f>SUM(AT12:AT13)+SUM(AT19:AT23)+SUM(AT29:AT33)+SUM(AT39:AT40)</f>
        <v>73.4294576189948</v>
      </c>
      <c r="BB33" s="44">
        <f>SUM(AU12:AU13)+SUM(AU19:AU23)+SUM(AU29:AU33)+SUM(AU39:AU40)</f>
        <v>252.603272579535</v>
      </c>
      <c r="BC33" s="52"/>
      <c r="BD33" s="52"/>
      <c r="BF33" s="66"/>
      <c r="BG33" s="69" t="s">
        <v>142</v>
      </c>
      <c r="BH33" s="78"/>
      <c r="BI33" s="79"/>
      <c r="BJ33" s="29"/>
      <c r="BK33" s="50">
        <f>BW35</f>
        <v>1.11713</v>
      </c>
      <c r="BL33" s="50">
        <f>BV19</f>
        <v>1.13625304</v>
      </c>
      <c r="BM33" s="50">
        <f>BW35</f>
        <v>1.11713</v>
      </c>
      <c r="BN33" s="50">
        <f>BW29</f>
        <v>0.926857670979667</v>
      </c>
      <c r="BO33" s="52">
        <v>1</v>
      </c>
      <c r="BP33" s="52">
        <v>1</v>
      </c>
      <c r="BQ33" s="50">
        <f>BV19</f>
        <v>1.13625304</v>
      </c>
      <c r="BR33" s="9"/>
      <c r="BS33" s="67" t="s">
        <v>143</v>
      </c>
      <c r="BV33" s="2" t="s">
        <v>35</v>
      </c>
      <c r="BW33" s="130">
        <f>(BW31-BW32)-360</f>
        <v>57.6999999999998</v>
      </c>
      <c r="BX33" s="131">
        <f>MOD(BW33,360)</f>
        <v>57.6999999999998</v>
      </c>
    </row>
    <row r="34" ht="15.15" spans="2:75">
      <c r="B34" s="13" t="s">
        <v>144</v>
      </c>
      <c r="C34" s="16">
        <v>1.1001106692812</v>
      </c>
      <c r="D34" s="17">
        <v>1.63813070717876</v>
      </c>
      <c r="E34" s="17">
        <v>2.05854004984087</v>
      </c>
      <c r="F34" s="17">
        <v>2.25409233606807</v>
      </c>
      <c r="G34" s="17">
        <v>2.16837319626784</v>
      </c>
      <c r="H34" s="17">
        <v>1.81478451518234</v>
      </c>
      <c r="I34" s="17">
        <v>1.28012911952466</v>
      </c>
      <c r="J34" s="17">
        <v>0.704285803814612</v>
      </c>
      <c r="K34" s="17">
        <v>0.238387552393598</v>
      </c>
      <c r="L34" s="17">
        <v>-0.00233951932669045</v>
      </c>
      <c r="M34" s="17">
        <v>0.0300026643873534</v>
      </c>
      <c r="N34" s="17">
        <v>0.311420776776177</v>
      </c>
      <c r="O34" s="17">
        <v>0.76225577464436</v>
      </c>
      <c r="P34" s="17">
        <v>1.26977269055444</v>
      </c>
      <c r="Q34" s="17">
        <v>1.7095630972359</v>
      </c>
      <c r="R34" s="17">
        <v>1.96883096066415</v>
      </c>
      <c r="S34" s="17">
        <v>1.97458342276233</v>
      </c>
      <c r="T34" s="17">
        <v>1.71969330831216</v>
      </c>
      <c r="U34" s="17">
        <v>1.27268995245797</v>
      </c>
      <c r="V34" s="17">
        <v>0.761601777469025</v>
      </c>
      <c r="W34" s="17">
        <v>0.334908385346874</v>
      </c>
      <c r="X34" s="17">
        <v>0.114662025178426</v>
      </c>
      <c r="Y34" s="17">
        <v>0.160946896447464</v>
      </c>
      <c r="Z34" s="35">
        <v>0.460340729010362</v>
      </c>
      <c r="AB34" s="36" t="s">
        <v>145</v>
      </c>
      <c r="AC34" s="33">
        <f t="shared" si="0"/>
        <v>11.966585651743</v>
      </c>
      <c r="AD34" s="34">
        <f t="shared" si="1"/>
        <v>14.1391812397292</v>
      </c>
      <c r="AE34" s="34">
        <f t="shared" si="2"/>
        <v>12.5098490200835</v>
      </c>
      <c r="AF34" s="34">
        <f t="shared" si="3"/>
        <v>13.5959178713888</v>
      </c>
      <c r="AG34" s="34">
        <f t="shared" si="4"/>
        <v>9.61340656120862</v>
      </c>
      <c r="AH34" s="34">
        <f t="shared" si="5"/>
        <v>16.4923603302636</v>
      </c>
      <c r="AI34" s="34">
        <f t="shared" si="6"/>
        <v>20.4387307279924</v>
      </c>
      <c r="AJ34" s="34">
        <f t="shared" si="7"/>
        <v>5.66703616347983</v>
      </c>
      <c r="AK34" s="34">
        <f t="shared" si="8"/>
        <v>8.72142484518923</v>
      </c>
      <c r="AL34" s="34">
        <f t="shared" si="9"/>
        <v>8.6766448874012</v>
      </c>
      <c r="AM34" s="34">
        <f t="shared" si="10"/>
        <v>13.1303755797423</v>
      </c>
      <c r="AN34" s="34">
        <f t="shared" si="11"/>
        <v>12.97539131173</v>
      </c>
      <c r="AP34" s="36" t="s">
        <v>145</v>
      </c>
      <c r="AQ34" s="44">
        <f t="shared" si="12"/>
        <v>26.1057668914722</v>
      </c>
      <c r="AR34" s="44">
        <f t="shared" si="13"/>
        <v>7.82740441201385</v>
      </c>
      <c r="AS34" s="44">
        <f t="shared" si="14"/>
        <v>8.91393114869467</v>
      </c>
      <c r="AT34" s="44">
        <f t="shared" si="15"/>
        <v>3.12104623094499</v>
      </c>
      <c r="AU34" s="44">
        <f t="shared" si="16"/>
        <v>24.7716945645126</v>
      </c>
      <c r="AV34" s="44">
        <f t="shared" si="17"/>
        <v>10.044779957788</v>
      </c>
      <c r="AW34" s="44">
        <f t="shared" si="18"/>
        <v>10.1549842680123</v>
      </c>
      <c r="AX34" s="40"/>
      <c r="AY34" s="29"/>
      <c r="AZ34" s="10" t="s">
        <v>36</v>
      </c>
      <c r="BA34" s="44">
        <f>AT11*1</f>
        <v>10</v>
      </c>
      <c r="BB34" s="44">
        <f>AU11*1</f>
        <v>10</v>
      </c>
      <c r="BC34" s="50"/>
      <c r="BD34" s="50"/>
      <c r="BF34" s="66"/>
      <c r="BG34" s="75" t="s">
        <v>146</v>
      </c>
      <c r="BH34" s="76"/>
      <c r="BI34" s="77"/>
      <c r="BJ34" s="82"/>
      <c r="BK34" s="83">
        <v>250.1</v>
      </c>
      <c r="BL34" s="83"/>
      <c r="BM34" s="83">
        <v>4</v>
      </c>
      <c r="BN34" s="83">
        <v>10.8</v>
      </c>
      <c r="BO34" s="83">
        <v>239.3</v>
      </c>
      <c r="BP34" s="82"/>
      <c r="BQ34" s="82"/>
      <c r="BS34" s="67" t="s">
        <v>61</v>
      </c>
      <c r="BT34" s="2" t="s">
        <v>138</v>
      </c>
      <c r="BU34" s="2" t="s">
        <v>77</v>
      </c>
      <c r="BV34" s="2" t="s">
        <v>35</v>
      </c>
      <c r="BW34" s="132">
        <f>(((BW33-80)/(60-50))*(8.3-7.2))+7.2</f>
        <v>4.74699999999998</v>
      </c>
    </row>
    <row r="35" ht="15.15" spans="2:75">
      <c r="B35" s="13" t="s">
        <v>147</v>
      </c>
      <c r="C35" s="16">
        <v>0.93757110519766</v>
      </c>
      <c r="D35" s="17">
        <v>1.47903955750243</v>
      </c>
      <c r="E35" s="17">
        <v>1.95745396491138</v>
      </c>
      <c r="F35" s="17">
        <v>2.25529142133028</v>
      </c>
      <c r="G35" s="17">
        <v>2.28982927662199</v>
      </c>
      <c r="H35" s="17">
        <v>2.03808020238558</v>
      </c>
      <c r="I35" s="17">
        <v>1.55198054552784</v>
      </c>
      <c r="J35" s="17">
        <v>0.952190228499992</v>
      </c>
      <c r="K35" s="17">
        <v>0.396239919567452</v>
      </c>
      <c r="L35" s="17">
        <v>0.0296329908819219</v>
      </c>
      <c r="M35" s="17">
        <v>-0.0606056269171309</v>
      </c>
      <c r="N35" s="17">
        <v>0.130409392716331</v>
      </c>
      <c r="O35" s="17">
        <v>0.532688488498082</v>
      </c>
      <c r="P35" s="17">
        <v>1.03040460565043</v>
      </c>
      <c r="Q35" s="17">
        <v>1.49535936444345</v>
      </c>
      <c r="R35" s="17">
        <v>1.81396402177487</v>
      </c>
      <c r="S35" s="17">
        <v>1.9081711406591</v>
      </c>
      <c r="T35" s="17">
        <v>1.75376571225185</v>
      </c>
      <c r="U35" s="17">
        <v>1.39238186987018</v>
      </c>
      <c r="V35" s="17">
        <v>0.926995259404734</v>
      </c>
      <c r="W35" s="17">
        <v>0.494417851318638</v>
      </c>
      <c r="X35" s="17">
        <v>0.22183148750821</v>
      </c>
      <c r="Y35" s="17">
        <v>0.18676217447759</v>
      </c>
      <c r="Z35" s="35">
        <v>0.399008530602234</v>
      </c>
      <c r="AB35" s="36" t="s">
        <v>148</v>
      </c>
      <c r="AC35" s="33">
        <f t="shared" si="0"/>
        <v>11.5342007835542</v>
      </c>
      <c r="AD35" s="34">
        <f t="shared" si="1"/>
        <v>14.5786627011309</v>
      </c>
      <c r="AE35" s="34">
        <f t="shared" si="2"/>
        <v>12.1557505064594</v>
      </c>
      <c r="AF35" s="34">
        <f t="shared" si="3"/>
        <v>13.9571129782257</v>
      </c>
      <c r="AG35" s="34">
        <f t="shared" si="4"/>
        <v>8.33955603547259</v>
      </c>
      <c r="AH35" s="34">
        <f t="shared" si="5"/>
        <v>17.7733074492125</v>
      </c>
      <c r="AI35" s="34">
        <f t="shared" si="6"/>
        <v>19.4916188612271</v>
      </c>
      <c r="AJ35" s="34">
        <f t="shared" si="7"/>
        <v>6.62124462345799</v>
      </c>
      <c r="AK35" s="34">
        <f t="shared" si="8"/>
        <v>8.73588584704976</v>
      </c>
      <c r="AL35" s="34">
        <f t="shared" si="9"/>
        <v>8.6641910217362</v>
      </c>
      <c r="AM35" s="34">
        <f t="shared" si="10"/>
        <v>13.1467227603923</v>
      </c>
      <c r="AN35" s="34">
        <f t="shared" si="11"/>
        <v>12.9661407242928</v>
      </c>
      <c r="AP35" s="36" t="s">
        <v>148</v>
      </c>
      <c r="AQ35" s="44">
        <f t="shared" si="12"/>
        <v>26.1128634846851</v>
      </c>
      <c r="AR35" s="44">
        <f t="shared" si="13"/>
        <v>6.95553808242328</v>
      </c>
      <c r="AS35" s="44">
        <f t="shared" si="14"/>
        <v>8.19863752823364</v>
      </c>
      <c r="AT35" s="44">
        <f t="shared" si="15"/>
        <v>0.566248586260082</v>
      </c>
      <c r="AU35" s="44">
        <f t="shared" si="16"/>
        <v>22.8703742377691</v>
      </c>
      <c r="AV35" s="44">
        <f t="shared" si="17"/>
        <v>10.0716948253136</v>
      </c>
      <c r="AW35" s="44">
        <f t="shared" si="18"/>
        <v>10.1805820360994</v>
      </c>
      <c r="AX35" s="40"/>
      <c r="AY35" s="30" t="s">
        <v>149</v>
      </c>
      <c r="AZ35" s="10" t="s">
        <v>40</v>
      </c>
      <c r="BA35" s="44">
        <f>SUM(AT12:AT16)+SUM(AT22:AT25)+SUM(AT31:AT35)</f>
        <v>75.0445791651711</v>
      </c>
      <c r="BB35" s="44">
        <f>SUM(AU12:AU16)+SUM(AU22:AU25)+SUM(AU31:AU35)</f>
        <v>231.539639842582</v>
      </c>
      <c r="BC35" s="49">
        <f>BA35-BA36</f>
        <v>-6.46722194619271</v>
      </c>
      <c r="BD35" s="49">
        <f>BB35-BB36</f>
        <v>-9.50719904987886</v>
      </c>
      <c r="BF35" s="66"/>
      <c r="BG35" s="67" t="s">
        <v>150</v>
      </c>
      <c r="BI35" s="80"/>
      <c r="BJ35" s="84"/>
      <c r="BK35" s="85">
        <v>231.1</v>
      </c>
      <c r="BL35" s="85"/>
      <c r="BM35" s="85">
        <v>341.3</v>
      </c>
      <c r="BN35" s="85">
        <v>209</v>
      </c>
      <c r="BO35" s="85">
        <v>22.2</v>
      </c>
      <c r="BP35" s="84"/>
      <c r="BQ35" s="84"/>
      <c r="BS35" s="69" t="s">
        <v>61</v>
      </c>
      <c r="BT35" s="78" t="s">
        <v>138</v>
      </c>
      <c r="BU35" s="78" t="s">
        <v>87</v>
      </c>
      <c r="BV35" s="78" t="s">
        <v>35</v>
      </c>
      <c r="BW35" s="132">
        <f>(((BW33-80)/(90-80))*(1.017-1.048))+1.048</f>
        <v>1.11713</v>
      </c>
    </row>
    <row r="36" ht="15.15" spans="2:75">
      <c r="B36" s="13" t="s">
        <v>151</v>
      </c>
      <c r="C36" s="16">
        <v>0.807665075219473</v>
      </c>
      <c r="D36" s="17">
        <v>1.32052376471356</v>
      </c>
      <c r="E36" s="17">
        <v>1.82265388460438</v>
      </c>
      <c r="F36" s="17">
        <v>2.19404429275169</v>
      </c>
      <c r="G36" s="17">
        <v>2.33442717219156</v>
      </c>
      <c r="H36" s="17">
        <v>2.19524737448309</v>
      </c>
      <c r="I36" s="17">
        <v>1.80402765402796</v>
      </c>
      <c r="J36" s="17">
        <v>1.26305179984499</v>
      </c>
      <c r="K36" s="17">
        <v>0.717463060278271</v>
      </c>
      <c r="L36" s="17">
        <v>0.306514769272943</v>
      </c>
      <c r="M36" s="17">
        <v>0.121121611252348</v>
      </c>
      <c r="N36" s="17">
        <v>0.184891039736293</v>
      </c>
      <c r="O36" s="17">
        <v>0.460096101219501</v>
      </c>
      <c r="P36" s="17">
        <v>0.866883606001072</v>
      </c>
      <c r="Q36" s="17">
        <v>1.30292144989628</v>
      </c>
      <c r="R36" s="17">
        <v>1.66038449081118</v>
      </c>
      <c r="S36" s="17">
        <v>1.84596311005952</v>
      </c>
      <c r="T36" s="17">
        <v>1.80677596524521</v>
      </c>
      <c r="U36" s="17">
        <v>1.55329945896905</v>
      </c>
      <c r="V36" s="17">
        <v>1.16349293554201</v>
      </c>
      <c r="W36" s="17">
        <v>0.759678923297997</v>
      </c>
      <c r="X36" s="17">
        <v>0.466336516251165</v>
      </c>
      <c r="Y36" s="17">
        <v>0.369085183067074</v>
      </c>
      <c r="Z36" s="35">
        <v>0.493350895286178</v>
      </c>
      <c r="AB36" s="36" t="s">
        <v>152</v>
      </c>
      <c r="AC36" s="33">
        <f t="shared" si="0"/>
        <v>12.3400946576456</v>
      </c>
      <c r="AD36" s="34">
        <f t="shared" si="1"/>
        <v>15.4798054763772</v>
      </c>
      <c r="AE36" s="34">
        <f t="shared" si="2"/>
        <v>12.7482686356462</v>
      </c>
      <c r="AF36" s="34">
        <f t="shared" si="3"/>
        <v>15.0716314983766</v>
      </c>
      <c r="AG36" s="34">
        <f t="shared" si="4"/>
        <v>8.52204389652027</v>
      </c>
      <c r="AH36" s="34">
        <f t="shared" si="5"/>
        <v>19.2978562375025</v>
      </c>
      <c r="AI36" s="34">
        <f t="shared" si="6"/>
        <v>18.6175862871965</v>
      </c>
      <c r="AJ36" s="34">
        <f t="shared" si="7"/>
        <v>9.20231384682628</v>
      </c>
      <c r="AK36" s="34">
        <f t="shared" si="8"/>
        <v>9.30535356418675</v>
      </c>
      <c r="AL36" s="34">
        <f t="shared" si="9"/>
        <v>9.22999738716391</v>
      </c>
      <c r="AM36" s="34">
        <f t="shared" si="10"/>
        <v>13.8417577136145</v>
      </c>
      <c r="AN36" s="34">
        <f t="shared" si="11"/>
        <v>13.9781424204083</v>
      </c>
      <c r="AP36" s="36" t="s">
        <v>152</v>
      </c>
      <c r="AQ36" s="44">
        <f t="shared" si="12"/>
        <v>27.8199001340228</v>
      </c>
      <c r="AR36" s="44">
        <f t="shared" si="13"/>
        <v>6.86028918126834</v>
      </c>
      <c r="AS36" s="44">
        <f t="shared" si="14"/>
        <v>7.67663713726968</v>
      </c>
      <c r="AT36" s="44">
        <f t="shared" si="15"/>
        <v>-0.775812340982263</v>
      </c>
      <c r="AU36" s="44">
        <f t="shared" si="16"/>
        <v>19.4152724403702</v>
      </c>
      <c r="AV36" s="44">
        <f t="shared" si="17"/>
        <v>10.0753561770228</v>
      </c>
      <c r="AW36" s="44">
        <f t="shared" si="18"/>
        <v>9.86361529320629</v>
      </c>
      <c r="AX36" s="40"/>
      <c r="AY36" s="29"/>
      <c r="AZ36" s="10" t="s">
        <v>36</v>
      </c>
      <c r="BA36" s="44">
        <f>SUM(AT17:AT21)+SUM(AT27:AT30)+SUM(AT36:AT40)</f>
        <v>81.5118011113638</v>
      </c>
      <c r="BB36" s="44">
        <f>SUM(AU17:AU21)+SUM(AU27:AU30)+SUM(AU36:AU40)</f>
        <v>241.046838892461</v>
      </c>
      <c r="BC36" s="50"/>
      <c r="BD36" s="50"/>
      <c r="BF36" s="66"/>
      <c r="BG36" s="69" t="s">
        <v>153</v>
      </c>
      <c r="BH36" s="78"/>
      <c r="BI36" s="79"/>
      <c r="BJ36" s="86"/>
      <c r="BK36" s="50">
        <v>18.7</v>
      </c>
      <c r="BL36" s="50"/>
      <c r="BM36" s="50">
        <v>195.7</v>
      </c>
      <c r="BN36" s="50">
        <v>13.8</v>
      </c>
      <c r="BO36" s="50">
        <v>4.9</v>
      </c>
      <c r="BP36" s="86"/>
      <c r="BQ36" s="86"/>
      <c r="BS36" s="99" t="s">
        <v>154</v>
      </c>
      <c r="BT36" s="100"/>
      <c r="BU36" s="100" t="s">
        <v>155</v>
      </c>
      <c r="BV36" s="100" t="s">
        <v>156</v>
      </c>
      <c r="BW36" s="133"/>
    </row>
    <row r="37" ht="15.15" spans="2:75">
      <c r="B37" s="13" t="s">
        <v>157</v>
      </c>
      <c r="C37" s="16">
        <v>0.807347649025937</v>
      </c>
      <c r="D37" s="17">
        <v>1.23939631669741</v>
      </c>
      <c r="E37" s="17">
        <v>1.69612595730784</v>
      </c>
      <c r="F37" s="17">
        <v>2.07692064043012</v>
      </c>
      <c r="G37" s="17">
        <v>2.28962056871091</v>
      </c>
      <c r="H37" s="17">
        <v>2.27176923272577</v>
      </c>
      <c r="I37" s="17">
        <v>2.01261448010029</v>
      </c>
      <c r="J37" s="17">
        <v>1.56466142233101</v>
      </c>
      <c r="K37" s="17">
        <v>1.03583482687456</v>
      </c>
      <c r="L37" s="17">
        <v>0.561184830343359</v>
      </c>
      <c r="M37" s="17">
        <v>0.261905482939559</v>
      </c>
      <c r="N37" s="17">
        <v>0.20652261984961</v>
      </c>
      <c r="O37" s="17">
        <v>0.390434270377989</v>
      </c>
      <c r="P37" s="17">
        <v>0.741964998370379</v>
      </c>
      <c r="Q37" s="17">
        <v>1.14968393382325</v>
      </c>
      <c r="R37" s="17">
        <v>1.49716999153497</v>
      </c>
      <c r="S37" s="17">
        <v>1.69295955414341</v>
      </c>
      <c r="T37" s="17">
        <v>1.69022312852025</v>
      </c>
      <c r="U37" s="17">
        <v>1.4954730633108</v>
      </c>
      <c r="V37" s="17">
        <v>1.16639025653276</v>
      </c>
      <c r="W37" s="17">
        <v>0.798182495970138</v>
      </c>
      <c r="X37" s="17">
        <v>0.498889628262173</v>
      </c>
      <c r="Y37" s="17">
        <v>0.358491512211365</v>
      </c>
      <c r="Z37" s="35">
        <v>0.422326507905788</v>
      </c>
      <c r="AB37" s="36" t="s">
        <v>158</v>
      </c>
      <c r="AC37" s="33">
        <f t="shared" si="0"/>
        <v>12.8051595392086</v>
      </c>
      <c r="AD37" s="34">
        <f t="shared" si="1"/>
        <v>15.120933829091</v>
      </c>
      <c r="AE37" s="34">
        <f t="shared" si="2"/>
        <v>11.9021893409633</v>
      </c>
      <c r="AF37" s="34">
        <f t="shared" si="3"/>
        <v>16.0239040273364</v>
      </c>
      <c r="AG37" s="34">
        <f t="shared" si="4"/>
        <v>8.33427370711466</v>
      </c>
      <c r="AH37" s="34">
        <f t="shared" si="5"/>
        <v>19.591819661185</v>
      </c>
      <c r="AI37" s="34">
        <f t="shared" si="6"/>
        <v>17.5436162416682</v>
      </c>
      <c r="AJ37" s="34">
        <f t="shared" si="7"/>
        <v>10.3824771266314</v>
      </c>
      <c r="AK37" s="34">
        <f t="shared" si="8"/>
        <v>9.29671095181643</v>
      </c>
      <c r="AL37" s="34">
        <f t="shared" si="9"/>
        <v>9.31399230454641</v>
      </c>
      <c r="AM37" s="34">
        <f t="shared" si="10"/>
        <v>14.0981096707224</v>
      </c>
      <c r="AN37" s="34">
        <f t="shared" si="11"/>
        <v>13.8279836975773</v>
      </c>
      <c r="AP37" s="36" t="s">
        <v>158</v>
      </c>
      <c r="AQ37" s="44">
        <f t="shared" si="12"/>
        <v>27.9260933682996</v>
      </c>
      <c r="AR37" s="44">
        <f t="shared" si="13"/>
        <v>7.68422571011762</v>
      </c>
      <c r="AS37" s="44">
        <f t="shared" si="14"/>
        <v>5.8782853136269</v>
      </c>
      <c r="AT37" s="44">
        <f t="shared" si="15"/>
        <v>-1.25754595407033</v>
      </c>
      <c r="AU37" s="44">
        <f t="shared" si="16"/>
        <v>17.1611391150368</v>
      </c>
      <c r="AV37" s="44">
        <f t="shared" si="17"/>
        <v>9.98271864727002</v>
      </c>
      <c r="AW37" s="44">
        <f t="shared" si="18"/>
        <v>10.2701259731451</v>
      </c>
      <c r="AX37" s="40"/>
      <c r="AY37" s="30">
        <v>42</v>
      </c>
      <c r="AZ37" s="10" t="s">
        <v>40</v>
      </c>
      <c r="BA37" s="44">
        <f>SUM(AV12:AV15)+SUM(AV23:AV29)+SUM(AV37:AV40)</f>
        <v>150.014421837676</v>
      </c>
      <c r="BB37" s="44">
        <f>SUM(AW12:AW15)+SUM(AW23:AW29)+SUM(AW37:AW40)</f>
        <v>147.537119875795</v>
      </c>
      <c r="BC37" s="49">
        <f>BA37-BA38-BA39</f>
        <v>-1.32477549683142</v>
      </c>
      <c r="BD37" s="49">
        <f>BB37-BB38-BB39</f>
        <v>-4.66053282512723</v>
      </c>
      <c r="BF37" s="66"/>
      <c r="BG37" s="75" t="s">
        <v>159</v>
      </c>
      <c r="BH37" s="76"/>
      <c r="BI37" s="77"/>
      <c r="BJ37" s="82"/>
      <c r="BK37" s="49">
        <f>SUM(BK34:BK36)</f>
        <v>499.9</v>
      </c>
      <c r="BL37" s="49"/>
      <c r="BM37" s="49">
        <f>SUM(BM34:BM36)</f>
        <v>541</v>
      </c>
      <c r="BN37" s="49">
        <f>SUM(BN34:BN36)</f>
        <v>233.6</v>
      </c>
      <c r="BO37" s="49">
        <f>SUM(BO34:BO36)</f>
        <v>266.4</v>
      </c>
      <c r="BP37" s="25"/>
      <c r="BQ37" s="25"/>
      <c r="BS37" s="101" t="s">
        <v>160</v>
      </c>
      <c r="BT37" s="102"/>
      <c r="BU37" s="102" t="s">
        <v>161</v>
      </c>
      <c r="BV37" s="102" t="s">
        <v>162</v>
      </c>
      <c r="BW37" s="134"/>
    </row>
    <row r="38" ht="15.15" spans="2:75">
      <c r="B38" s="13" t="s">
        <v>163</v>
      </c>
      <c r="C38" s="16">
        <v>0.679863320930698</v>
      </c>
      <c r="D38" s="17">
        <v>1.07201022633048</v>
      </c>
      <c r="E38" s="17">
        <v>1.51000487150623</v>
      </c>
      <c r="F38" s="17">
        <v>1.8960887897686</v>
      </c>
      <c r="G38" s="17">
        <v>2.14172892620185</v>
      </c>
      <c r="H38" s="17">
        <v>2.18468435708393</v>
      </c>
      <c r="I38" s="17">
        <v>2.00513619326401</v>
      </c>
      <c r="J38" s="17">
        <v>1.63605590348416</v>
      </c>
      <c r="K38" s="17">
        <v>1.16068486114458</v>
      </c>
      <c r="L38" s="17">
        <v>0.693279600807498</v>
      </c>
      <c r="M38" s="17">
        <v>0.346491989862598</v>
      </c>
      <c r="N38" s="17">
        <v>0.196516514233849</v>
      </c>
      <c r="O38" s="17">
        <v>0.260698687481093</v>
      </c>
      <c r="P38" s="17">
        <v>0.497272799646706</v>
      </c>
      <c r="Q38" s="17">
        <v>0.824922016602448</v>
      </c>
      <c r="R38" s="17">
        <v>1.15000847353127</v>
      </c>
      <c r="S38" s="17">
        <v>1.38957732391013</v>
      </c>
      <c r="T38" s="17">
        <v>1.486451020931</v>
      </c>
      <c r="U38" s="17">
        <v>1.41929553129672</v>
      </c>
      <c r="V38" s="17">
        <v>1.20938718086586</v>
      </c>
      <c r="W38" s="17">
        <v>0.92019799241001</v>
      </c>
      <c r="X38" s="17">
        <v>0.643762401688195</v>
      </c>
      <c r="Y38" s="17">
        <v>0.473316301168455</v>
      </c>
      <c r="Z38" s="35">
        <v>0.471467444694643</v>
      </c>
      <c r="AB38" s="36" t="s">
        <v>164</v>
      </c>
      <c r="AC38" s="33">
        <f t="shared" si="0"/>
        <v>11.6470953848993</v>
      </c>
      <c r="AD38" s="34">
        <f t="shared" si="1"/>
        <v>14.6218073439457</v>
      </c>
      <c r="AE38" s="34">
        <f t="shared" si="2"/>
        <v>10.7463571742265</v>
      </c>
      <c r="AF38" s="34">
        <f t="shared" si="3"/>
        <v>15.5225455546185</v>
      </c>
      <c r="AG38" s="34">
        <f t="shared" si="4"/>
        <v>7.66960617495289</v>
      </c>
      <c r="AH38" s="34">
        <f t="shared" si="5"/>
        <v>18.5992965538921</v>
      </c>
      <c r="AI38" s="34">
        <f t="shared" si="6"/>
        <v>15.0933108139244</v>
      </c>
      <c r="AJ38" s="34">
        <f t="shared" si="7"/>
        <v>11.1755919149206</v>
      </c>
      <c r="AK38" s="34">
        <f t="shared" si="8"/>
        <v>8.70411306991594</v>
      </c>
      <c r="AL38" s="34">
        <f t="shared" si="9"/>
        <v>8.79894900745883</v>
      </c>
      <c r="AM38" s="34">
        <f t="shared" si="10"/>
        <v>13.195529584963</v>
      </c>
      <c r="AN38" s="34">
        <f t="shared" si="11"/>
        <v>13.073373143882</v>
      </c>
      <c r="AP38" s="36" t="s">
        <v>164</v>
      </c>
      <c r="AQ38" s="44">
        <f t="shared" si="12"/>
        <v>26.268902728845</v>
      </c>
      <c r="AR38" s="44">
        <f t="shared" si="13"/>
        <v>7.02528804095367</v>
      </c>
      <c r="AS38" s="44">
        <f t="shared" si="14"/>
        <v>5.22381161960805</v>
      </c>
      <c r="AT38" s="44">
        <f t="shared" si="15"/>
        <v>-0.929690378939224</v>
      </c>
      <c r="AU38" s="44">
        <f t="shared" si="16"/>
        <v>13.9177188990039</v>
      </c>
      <c r="AV38" s="44">
        <f t="shared" si="17"/>
        <v>9.90516406245711</v>
      </c>
      <c r="AW38" s="44">
        <f t="shared" si="18"/>
        <v>10.122156441081</v>
      </c>
      <c r="AX38" s="40"/>
      <c r="AY38" s="51"/>
      <c r="AZ38" s="10" t="s">
        <v>36</v>
      </c>
      <c r="BA38" s="44">
        <f>SUM(AV16:AV22)+SUM(AV30:AV36)</f>
        <v>141.339197334507</v>
      </c>
      <c r="BB38" s="44">
        <f>SUM(AW16:AW22)+SUM(AW30:AW36)</f>
        <v>142.197652700922</v>
      </c>
      <c r="BC38" s="52"/>
      <c r="BD38" s="52"/>
      <c r="BF38" s="66"/>
      <c r="BG38" s="67" t="s">
        <v>165</v>
      </c>
      <c r="BI38" s="80"/>
      <c r="BJ38" s="84"/>
      <c r="BK38" s="52">
        <v>1.6</v>
      </c>
      <c r="BL38" s="52">
        <v>0</v>
      </c>
      <c r="BM38" s="52">
        <f>BK38</f>
        <v>1.6</v>
      </c>
      <c r="BN38" s="52">
        <v>6.1</v>
      </c>
      <c r="BO38" s="52">
        <v>-6.9</v>
      </c>
      <c r="BP38" s="52">
        <f>BK38*2</f>
        <v>3.2</v>
      </c>
      <c r="BQ38" s="52">
        <f>BK38</f>
        <v>1.6</v>
      </c>
      <c r="BS38" s="101" t="s">
        <v>166</v>
      </c>
      <c r="BT38" s="102"/>
      <c r="BU38" s="102" t="s">
        <v>167</v>
      </c>
      <c r="BV38" s="102"/>
      <c r="BW38" s="134"/>
    </row>
    <row r="39" ht="15.15" spans="2:75">
      <c r="B39" s="13" t="s">
        <v>168</v>
      </c>
      <c r="C39" s="16">
        <v>0.648787817941724</v>
      </c>
      <c r="D39" s="17">
        <v>0.963176162605584</v>
      </c>
      <c r="E39" s="17">
        <v>1.33811377683495</v>
      </c>
      <c r="F39" s="17">
        <v>1.687761217111</v>
      </c>
      <c r="G39" s="17">
        <v>1.93680361214373</v>
      </c>
      <c r="H39" s="17">
        <v>2.0315781783534</v>
      </c>
      <c r="I39" s="17">
        <v>1.94698885363157</v>
      </c>
      <c r="J39" s="17">
        <v>1.69352308778424</v>
      </c>
      <c r="K39" s="17">
        <v>1.32179551254314</v>
      </c>
      <c r="L39" s="17">
        <v>0.916635595351262</v>
      </c>
      <c r="M39" s="17">
        <v>0.575666294920668</v>
      </c>
      <c r="N39" s="17">
        <v>0.377810387743064</v>
      </c>
      <c r="O39" s="17">
        <v>0.356654217643915</v>
      </c>
      <c r="P39" s="17">
        <v>0.492728732505072</v>
      </c>
      <c r="Q39" s="17">
        <v>0.726925360549952</v>
      </c>
      <c r="R39" s="17">
        <v>0.984519923950945</v>
      </c>
      <c r="S39" s="17">
        <v>1.1964608707359</v>
      </c>
      <c r="T39" s="17">
        <v>1.312130158738</v>
      </c>
      <c r="U39" s="17">
        <v>1.306358507448</v>
      </c>
      <c r="V39" s="17">
        <v>1.18471400284085</v>
      </c>
      <c r="W39" s="17">
        <v>0.98578859069727</v>
      </c>
      <c r="X39" s="17">
        <v>0.775005880737789</v>
      </c>
      <c r="Y39" s="17">
        <v>0.627057785952905</v>
      </c>
      <c r="Z39" s="35">
        <v>0.601617175326437</v>
      </c>
      <c r="AB39" s="36" t="s">
        <v>169</v>
      </c>
      <c r="AC39" s="33">
        <f t="shared" si="0"/>
        <v>11.9018389960977</v>
      </c>
      <c r="AD39" s="34">
        <f t="shared" si="1"/>
        <v>14.0867627079936</v>
      </c>
      <c r="AE39" s="34">
        <f t="shared" si="2"/>
        <v>10.549961207127</v>
      </c>
      <c r="AF39" s="34">
        <f t="shared" si="3"/>
        <v>15.4386404969643</v>
      </c>
      <c r="AG39" s="34">
        <f t="shared" si="4"/>
        <v>8.40017918811332</v>
      </c>
      <c r="AH39" s="34">
        <f t="shared" si="5"/>
        <v>17.588422515978</v>
      </c>
      <c r="AI39" s="34">
        <f t="shared" si="6"/>
        <v>13.6756400291142</v>
      </c>
      <c r="AJ39" s="34">
        <f t="shared" si="7"/>
        <v>12.3129616749772</v>
      </c>
      <c r="AK39" s="34">
        <f t="shared" si="8"/>
        <v>8.58192529682611</v>
      </c>
      <c r="AL39" s="34">
        <f t="shared" si="9"/>
        <v>8.73654585777631</v>
      </c>
      <c r="AM39" s="34">
        <f t="shared" si="10"/>
        <v>12.9655546230263</v>
      </c>
      <c r="AN39" s="34">
        <f t="shared" si="11"/>
        <v>13.0230470810651</v>
      </c>
      <c r="AP39" s="36" t="s">
        <v>169</v>
      </c>
      <c r="AQ39" s="44">
        <f t="shared" si="12"/>
        <v>25.9886017040914</v>
      </c>
      <c r="AR39" s="44">
        <f t="shared" si="13"/>
        <v>7.81507628810409</v>
      </c>
      <c r="AS39" s="44">
        <f t="shared" si="14"/>
        <v>5.1113207101627</v>
      </c>
      <c r="AT39" s="44">
        <f t="shared" si="15"/>
        <v>0.811756672135276</v>
      </c>
      <c r="AU39" s="44">
        <f t="shared" si="16"/>
        <v>11.362678354137</v>
      </c>
      <c r="AV39" s="44">
        <f t="shared" si="17"/>
        <v>9.8453794390498</v>
      </c>
      <c r="AW39" s="44">
        <f t="shared" si="18"/>
        <v>9.94250754196117</v>
      </c>
      <c r="AX39" s="40"/>
      <c r="AY39" s="29"/>
      <c r="AZ39" s="10" t="s">
        <v>36</v>
      </c>
      <c r="BA39" s="44">
        <f>AV11*1</f>
        <v>10</v>
      </c>
      <c r="BB39" s="44">
        <f>AW11*1</f>
        <v>10</v>
      </c>
      <c r="BC39" s="50"/>
      <c r="BD39" s="50"/>
      <c r="BF39" s="66"/>
      <c r="BG39" s="67" t="s">
        <v>170</v>
      </c>
      <c r="BI39" s="80"/>
      <c r="BJ39" s="84"/>
      <c r="BK39" s="52"/>
      <c r="BL39" s="52">
        <f>BV17</f>
        <v>-11.993952</v>
      </c>
      <c r="BM39" s="52">
        <f>BW34</f>
        <v>4.74699999999998</v>
      </c>
      <c r="BN39" s="52">
        <f>BW27</f>
        <v>-17.7458410351201</v>
      </c>
      <c r="BO39" s="52">
        <v>0</v>
      </c>
      <c r="BP39" s="52">
        <v>0</v>
      </c>
      <c r="BQ39" s="52">
        <f>BV17</f>
        <v>-11.993952</v>
      </c>
      <c r="BS39" s="101" t="s">
        <v>171</v>
      </c>
      <c r="BT39" s="102"/>
      <c r="BU39" s="102" t="s">
        <v>172</v>
      </c>
      <c r="BV39" s="102"/>
      <c r="BW39" s="135">
        <f>BK32*BK32</f>
        <v>0.952576</v>
      </c>
    </row>
    <row r="40" ht="15.15" spans="2:75">
      <c r="B40" s="21" t="s">
        <v>173</v>
      </c>
      <c r="C40" s="22">
        <v>0.7226352414442</v>
      </c>
      <c r="D40" s="23">
        <v>0.970461472178654</v>
      </c>
      <c r="E40" s="23">
        <v>1.28937914654548</v>
      </c>
      <c r="F40" s="23">
        <v>1.60595327668428</v>
      </c>
      <c r="G40" s="23">
        <v>1.84996306698286</v>
      </c>
      <c r="H40" s="23">
        <v>1.97061270657307</v>
      </c>
      <c r="I40" s="23">
        <v>1.9448391081762</v>
      </c>
      <c r="J40" s="23">
        <v>1.77915074780672</v>
      </c>
      <c r="K40" s="23">
        <v>1.50809842967565</v>
      </c>
      <c r="L40" s="23">
        <v>1.18971907940926</v>
      </c>
      <c r="M40" s="23">
        <v>0.894691775515936</v>
      </c>
      <c r="N40" s="23">
        <v>0.687575908356993</v>
      </c>
      <c r="O40" s="23">
        <v>0.605927373124584</v>
      </c>
      <c r="P40" s="23">
        <v>0.648515965297568</v>
      </c>
      <c r="Q40" s="23">
        <v>0.779776591499112</v>
      </c>
      <c r="R40" s="23">
        <v>0.94673821134333</v>
      </c>
      <c r="S40" s="23">
        <v>1.0974853046025</v>
      </c>
      <c r="T40" s="23">
        <v>1.1929133063389</v>
      </c>
      <c r="U40" s="23">
        <v>1.21165461000111</v>
      </c>
      <c r="V40" s="23">
        <v>1.15250669612543</v>
      </c>
      <c r="W40" s="23">
        <v>1.03598761047058</v>
      </c>
      <c r="X40" s="23">
        <v>0.901769702345011</v>
      </c>
      <c r="Y40" s="23">
        <v>0.798666347099185</v>
      </c>
      <c r="Z40" s="38">
        <v>0.769247166786895</v>
      </c>
      <c r="AB40" s="39" t="s">
        <v>174</v>
      </c>
      <c r="AC40" s="33">
        <f t="shared" si="0"/>
        <v>13.2754318011468</v>
      </c>
      <c r="AD40" s="34">
        <f t="shared" si="1"/>
        <v>14.2788370432368</v>
      </c>
      <c r="AE40" s="34">
        <f t="shared" si="2"/>
        <v>11.1411888850342</v>
      </c>
      <c r="AF40" s="34">
        <f t="shared" si="3"/>
        <v>16.4130799593493</v>
      </c>
      <c r="AG40" s="34">
        <f t="shared" si="4"/>
        <v>10.2583657696029</v>
      </c>
      <c r="AH40" s="34">
        <f t="shared" si="5"/>
        <v>17.2959030747806</v>
      </c>
      <c r="AI40" s="34">
        <f t="shared" si="6"/>
        <v>13.6803616626145</v>
      </c>
      <c r="AJ40" s="34">
        <f t="shared" si="7"/>
        <v>13.873907181769</v>
      </c>
      <c r="AK40" s="34">
        <f t="shared" si="8"/>
        <v>9.10540542080195</v>
      </c>
      <c r="AL40" s="34">
        <f t="shared" si="9"/>
        <v>9.2574220479727</v>
      </c>
      <c r="AM40" s="34">
        <f t="shared" si="10"/>
        <v>13.6489329923453</v>
      </c>
      <c r="AN40" s="34">
        <f t="shared" si="11"/>
        <v>13.9053358520382</v>
      </c>
      <c r="AP40" s="39" t="s">
        <v>174</v>
      </c>
      <c r="AQ40" s="44">
        <f t="shared" si="12"/>
        <v>27.5542688443835</v>
      </c>
      <c r="AR40" s="44">
        <f t="shared" si="13"/>
        <v>8.99659475791</v>
      </c>
      <c r="AS40" s="44">
        <f t="shared" si="14"/>
        <v>4.7281089256849</v>
      </c>
      <c r="AT40" s="44">
        <f t="shared" si="15"/>
        <v>2.96246269482225</v>
      </c>
      <c r="AU40" s="44">
        <f t="shared" si="16"/>
        <v>9.80645448084557</v>
      </c>
      <c r="AV40" s="44">
        <f t="shared" si="17"/>
        <v>9.84798337282925</v>
      </c>
      <c r="AW40" s="44">
        <f t="shared" si="18"/>
        <v>9.74359714030707</v>
      </c>
      <c r="AX40" s="40"/>
      <c r="AY40" s="30" t="s">
        <v>175</v>
      </c>
      <c r="AZ40" s="10" t="s">
        <v>40</v>
      </c>
      <c r="BA40" s="44">
        <f>SUM(AV20:AV25)+SUM(AV34:AV39)</f>
        <v>119.797103877423</v>
      </c>
      <c r="BB40" s="44">
        <f>SUM(AW20:AW25)+SUM(AW34:AW39)</f>
        <v>121.226429078832</v>
      </c>
      <c r="BC40" s="49">
        <f>BA40-BA41</f>
        <v>-1.67064599541013</v>
      </c>
      <c r="BD40" s="49">
        <f>BB40-BB41</f>
        <v>2.06660505250798</v>
      </c>
      <c r="BF40" s="66"/>
      <c r="BG40" s="67" t="s">
        <v>176</v>
      </c>
      <c r="BI40" s="80"/>
      <c r="BJ40" s="84"/>
      <c r="BK40" s="85">
        <v>333</v>
      </c>
      <c r="BL40" s="85">
        <v>345</v>
      </c>
      <c r="BM40" s="85">
        <v>327</v>
      </c>
      <c r="BN40" s="85">
        <v>173</v>
      </c>
      <c r="BO40" s="85">
        <v>160</v>
      </c>
      <c r="BP40" s="85">
        <v>307</v>
      </c>
      <c r="BQ40" s="85">
        <v>318</v>
      </c>
      <c r="BS40" s="101"/>
      <c r="BT40" s="102"/>
      <c r="BU40" s="102" t="s">
        <v>177</v>
      </c>
      <c r="BV40" s="102"/>
      <c r="BW40" s="135">
        <f>BK37*2</f>
        <v>999.8</v>
      </c>
    </row>
    <row r="41" ht="15.15" spans="2:75">
      <c r="B41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B41"/>
      <c r="AQ41" s="45">
        <f>SUM(AQ12:AQ40)</f>
        <v>754.523854733941</v>
      </c>
      <c r="AR41" s="45">
        <f t="shared" ref="AR41:AW41" si="22">SUM(AR12:AR40)</f>
        <v>315.827722073911</v>
      </c>
      <c r="AS41" s="45">
        <f t="shared" si="22"/>
        <v>193.92732635041</v>
      </c>
      <c r="AT41" s="45">
        <f t="shared" si="22"/>
        <v>162.201261586185</v>
      </c>
      <c r="AU41" s="45">
        <f t="shared" si="22"/>
        <v>478.163172446958</v>
      </c>
      <c r="AV41" s="45">
        <f t="shared" si="22"/>
        <v>291.353619172183</v>
      </c>
      <c r="AW41" s="45">
        <f t="shared" si="22"/>
        <v>289.734772576717</v>
      </c>
      <c r="AY41" s="29"/>
      <c r="AZ41" s="10" t="s">
        <v>36</v>
      </c>
      <c r="BA41" s="44">
        <f>SUM(AV13:AV18)+SUM(AV27:AV32)</f>
        <v>121.467749872833</v>
      </c>
      <c r="BB41" s="44">
        <f>SUM(AW13:AW18)+SUM(AW27:AW32)</f>
        <v>119.159824026324</v>
      </c>
      <c r="BC41" s="50"/>
      <c r="BD41" s="50"/>
      <c r="BF41" s="66"/>
      <c r="BG41" s="67" t="s">
        <v>178</v>
      </c>
      <c r="BI41" s="80"/>
      <c r="BJ41" s="84"/>
      <c r="BK41" s="52">
        <f>((BK50-(-4.01))/((-4.33)-(-4.01)))*(103-104)+104</f>
        <v>113.401938515861</v>
      </c>
      <c r="BL41" s="52">
        <f>((BL50-0.7)/(0.727-0.7))*(36-35)+35</f>
        <v>54.25697479846</v>
      </c>
      <c r="BM41" s="52">
        <f>((BM50-(-0.052))/(-0.07-(-0.052)))*(176-177)+176</f>
        <v>120.875838588341</v>
      </c>
      <c r="BN41" s="52">
        <f>((BN50-(-1))/(-1.036-(-1)))*(134-135)+135</f>
        <v>134.008627178054</v>
      </c>
      <c r="BO41" s="52">
        <f>((BO50-(-0.268))/(-0.287-(-0.268)))*(344-345)+345</f>
        <v>305.826185535945</v>
      </c>
      <c r="BP41" s="52">
        <f>((BP50-(-2.14))/(-2.25-(-2.14)))*(294-295)+295</f>
        <v>305.247551760696</v>
      </c>
      <c r="BQ41" s="52">
        <f>((BQ50-(-1.192))/(-1.235-(-1.192)))*(309-310)+310</f>
        <v>435.698036041832</v>
      </c>
      <c r="BS41" s="101"/>
      <c r="BT41" s="102"/>
      <c r="BU41" s="102" t="s">
        <v>179</v>
      </c>
      <c r="BV41" s="102"/>
      <c r="BW41" s="135">
        <f>BK38*2</f>
        <v>3.2</v>
      </c>
    </row>
    <row r="42" ht="15.15" spans="2:75">
      <c r="B4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B42"/>
      <c r="AC42" s="9"/>
      <c r="AD42" s="9"/>
      <c r="AE42" s="9"/>
      <c r="AF42" s="9"/>
      <c r="AG42" s="41"/>
      <c r="AH42" s="41"/>
      <c r="AI42" s="9"/>
      <c r="AJ42" s="9"/>
      <c r="AK42" s="9"/>
      <c r="AL42" s="9"/>
      <c r="AM42" s="9"/>
      <c r="AN42" s="9"/>
      <c r="AQ42" s="40"/>
      <c r="AR42" s="40"/>
      <c r="AS42" s="40"/>
      <c r="AT42" s="40"/>
      <c r="AU42" s="40"/>
      <c r="AV42" s="40"/>
      <c r="AW42" s="40"/>
      <c r="AY42" s="30">
        <v>44</v>
      </c>
      <c r="AZ42" s="10" t="s">
        <v>40</v>
      </c>
      <c r="BA42" s="44">
        <f>SUM(AV12:AV13)+SUM(AV17:AV20)+SUM(AV25:AV27)+SUM(AV32:AV35)+SUM(AV39:AV40)</f>
        <v>150.790812456718</v>
      </c>
      <c r="BB42" s="44">
        <f>SUM(AW12:AW13)+SUM(AW17:AW20)+SUM(AW25:AW27)+SUM(AW32:AW35)+SUM(AW39:AW40)</f>
        <v>149.089634531338</v>
      </c>
      <c r="BC42" s="49">
        <f>BA42-BA43-BA44</f>
        <v>0.228005741253099</v>
      </c>
      <c r="BD42" s="49">
        <f>BB42-BB43-BB44</f>
        <v>-1.55550351404011</v>
      </c>
      <c r="BF42" s="66"/>
      <c r="BG42" s="67" t="s">
        <v>180</v>
      </c>
      <c r="BI42" s="80"/>
      <c r="BJ42" s="84"/>
      <c r="BK42" s="52">
        <f t="shared" ref="BK42:BQ42" si="23">SUM(BK37:BK41)</f>
        <v>947.901938515861</v>
      </c>
      <c r="BL42" s="52">
        <f t="shared" si="23"/>
        <v>387.26302279846</v>
      </c>
      <c r="BM42" s="52">
        <f t="shared" si="23"/>
        <v>995.222838588341</v>
      </c>
      <c r="BN42" s="52">
        <f t="shared" si="23"/>
        <v>528.962786142934</v>
      </c>
      <c r="BO42" s="52">
        <f t="shared" si="23"/>
        <v>725.326185535945</v>
      </c>
      <c r="BP42" s="52">
        <f t="shared" si="23"/>
        <v>615.447551760696</v>
      </c>
      <c r="BQ42" s="52">
        <f t="shared" si="23"/>
        <v>743.304084041832</v>
      </c>
      <c r="BS42" s="101" t="s">
        <v>181</v>
      </c>
      <c r="BT42" s="102"/>
      <c r="BU42" s="102" t="s">
        <v>182</v>
      </c>
      <c r="BV42" s="102"/>
      <c r="BW42" s="135">
        <f>BK37</f>
        <v>499.9</v>
      </c>
    </row>
    <row r="43" ht="15.15" spans="29:75"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Q43" s="40"/>
      <c r="AR43" s="40"/>
      <c r="AS43" s="40"/>
      <c r="AT43" s="40"/>
      <c r="AU43" s="40"/>
      <c r="AV43" s="40"/>
      <c r="AW43" s="40"/>
      <c r="AY43" s="51"/>
      <c r="AZ43" s="10" t="s">
        <v>36</v>
      </c>
      <c r="BA43" s="44">
        <f>SUM(AV14:AV16)+SUM(AV21:AV24)+SUM(AV28:AV31)+SUM(AV36:AV38)</f>
        <v>140.562806715465</v>
      </c>
      <c r="BB43" s="44">
        <f>SUM(AW14:AW16)+SUM(AW21:AW24)+SUM(AW28:AW31)+SUM(AW36:AW38)</f>
        <v>140.645138045378</v>
      </c>
      <c r="BC43" s="52"/>
      <c r="BD43" s="52"/>
      <c r="BF43" s="66"/>
      <c r="BG43" s="69" t="s">
        <v>183</v>
      </c>
      <c r="BH43" s="78"/>
      <c r="BI43" s="79"/>
      <c r="BJ43" s="86"/>
      <c r="BK43" s="50">
        <f>MOD(BK42,360)</f>
        <v>227.901938515861</v>
      </c>
      <c r="BL43" s="50">
        <f t="shared" ref="BL43:BQ43" si="24">MOD(BL42,360)</f>
        <v>27.26302279846</v>
      </c>
      <c r="BM43" s="50">
        <f t="shared" si="24"/>
        <v>275.222838588341</v>
      </c>
      <c r="BN43" s="50">
        <f t="shared" si="24"/>
        <v>168.962786142934</v>
      </c>
      <c r="BO43" s="50">
        <f t="shared" si="24"/>
        <v>5.326185535945</v>
      </c>
      <c r="BP43" s="50">
        <f t="shared" si="24"/>
        <v>255.447551760696</v>
      </c>
      <c r="BQ43" s="50">
        <f t="shared" si="24"/>
        <v>23.304084041832</v>
      </c>
      <c r="BS43" s="101"/>
      <c r="BT43" s="102"/>
      <c r="BU43" s="102" t="s">
        <v>184</v>
      </c>
      <c r="BV43" s="102"/>
      <c r="BW43" s="135">
        <f>BK38</f>
        <v>1.6</v>
      </c>
    </row>
    <row r="44" ht="15.15" spans="25:75">
      <c r="Y44" s="2" t="s">
        <v>185</v>
      </c>
      <c r="Z44" s="40">
        <f>AVERAGE(C12:Z42)</f>
        <v>1.08408599818095</v>
      </c>
      <c r="AC44" s="40"/>
      <c r="AD44" s="40"/>
      <c r="AE44" s="40"/>
      <c r="AF44" s="40"/>
      <c r="AG44" s="42"/>
      <c r="AH44" s="42"/>
      <c r="AI44" s="40"/>
      <c r="AJ44" s="40"/>
      <c r="AK44" s="40"/>
      <c r="AL44" s="40"/>
      <c r="AM44" s="40"/>
      <c r="AN44" s="40"/>
      <c r="AQ44" s="40"/>
      <c r="AR44" s="40"/>
      <c r="AS44" s="40"/>
      <c r="AT44" s="40"/>
      <c r="AU44" s="40"/>
      <c r="AV44" s="40"/>
      <c r="AW44" s="40"/>
      <c r="AY44" s="29"/>
      <c r="AZ44" s="10" t="s">
        <v>36</v>
      </c>
      <c r="BA44" s="44">
        <f>AV11*1</f>
        <v>10</v>
      </c>
      <c r="BB44" s="44">
        <f>AW11*1</f>
        <v>10</v>
      </c>
      <c r="BC44" s="50"/>
      <c r="BD44" s="50"/>
      <c r="BF44" s="66"/>
      <c r="BG44" s="75"/>
      <c r="BH44" s="76"/>
      <c r="BI44" s="77"/>
      <c r="BJ44" s="25"/>
      <c r="BK44" s="25"/>
      <c r="BL44" s="25"/>
      <c r="BM44" s="25"/>
      <c r="BN44" s="25"/>
      <c r="BO44" s="25"/>
      <c r="BP44" s="25"/>
      <c r="BQ44" s="25"/>
      <c r="BS44" s="101" t="s">
        <v>186</v>
      </c>
      <c r="BT44" s="102"/>
      <c r="BU44" s="102" t="s">
        <v>187</v>
      </c>
      <c r="BV44" s="102"/>
      <c r="BW44" s="135">
        <f>BL45*0.27</f>
        <v>0.118646235249551</v>
      </c>
    </row>
    <row r="45" ht="15.9" spans="29:78"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Q45" s="40"/>
      <c r="AR45" s="40"/>
      <c r="AS45" s="40"/>
      <c r="AT45" s="40"/>
      <c r="AU45" s="40"/>
      <c r="AV45" s="40"/>
      <c r="AW45" s="40"/>
      <c r="AY45" s="53" t="s">
        <v>188</v>
      </c>
      <c r="AZ45" s="10" t="s">
        <v>40</v>
      </c>
      <c r="BA45" s="44">
        <f>SUM(AV16:AV18)+SUM(AV23:AV25)+SUM(AV30:AV32)+SUM(AV37:AV39)</f>
        <v>119.925375133574</v>
      </c>
      <c r="BB45" s="44">
        <f>SUM(AW16:AW18)+SUM(AW23:AW25)+SUM(AW30:AW32)+SUM(AW37:AW39)</f>
        <v>120.550244245931</v>
      </c>
      <c r="BC45" s="49">
        <f>BA45-BA46</f>
        <v>-1.414103483107</v>
      </c>
      <c r="BD45" s="49">
        <f>BB45-BB46</f>
        <v>0.714235386705468</v>
      </c>
      <c r="BF45" s="66"/>
      <c r="BG45" s="67" t="s">
        <v>189</v>
      </c>
      <c r="BI45" s="80"/>
      <c r="BJ45" s="87">
        <f>BJ30/BJ31</f>
        <v>1.08408599818095</v>
      </c>
      <c r="BK45" s="88">
        <f t="shared" ref="BK45:BQ45" si="25">BK30/(BK31*BK32*BK33)</f>
        <v>0.546976796999789</v>
      </c>
      <c r="BL45" s="88">
        <f t="shared" si="25"/>
        <v>0.439430500924261</v>
      </c>
      <c r="BM45" s="88">
        <f t="shared" si="25"/>
        <v>0.100513859082081</v>
      </c>
      <c r="BN45" s="88">
        <f t="shared" si="25"/>
        <v>0.22188095027667</v>
      </c>
      <c r="BO45" s="88">
        <f t="shared" si="25"/>
        <v>0.17382766724495</v>
      </c>
      <c r="BP45" s="88">
        <f t="shared" si="25"/>
        <v>0.00636009667724089</v>
      </c>
      <c r="BQ45" s="88">
        <f t="shared" si="25"/>
        <v>0.00401205436115802</v>
      </c>
      <c r="BS45" s="101"/>
      <c r="BT45" s="102"/>
      <c r="BU45" s="102" t="s">
        <v>190</v>
      </c>
      <c r="BV45" s="102"/>
      <c r="BW45" s="135">
        <f>BL46</f>
        <v>27.26302279846</v>
      </c>
      <c r="BZ45"/>
    </row>
    <row r="46" ht="15.9" spans="29:75"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Q46" s="40"/>
      <c r="AR46" s="40"/>
      <c r="AS46" s="40"/>
      <c r="AT46" s="40"/>
      <c r="AU46" s="40"/>
      <c r="AV46" s="40"/>
      <c r="AW46" s="40"/>
      <c r="AY46" s="54"/>
      <c r="AZ46" s="10" t="s">
        <v>36</v>
      </c>
      <c r="BA46" s="44">
        <f>SUM(AV13:AV15)+SUM(AV20:AV22)+SUM(AV27:AV29)+SUM(AV34:AV36)</f>
        <v>121.339478616681</v>
      </c>
      <c r="BB46" s="44">
        <f>SUM(AW13:AW15)+SUM(AW20:AW22)+SUM(AW27:AW29)+SUM(AW34:AW36)</f>
        <v>119.836008859225</v>
      </c>
      <c r="BC46" s="50"/>
      <c r="BD46" s="50"/>
      <c r="BF46" s="68"/>
      <c r="BG46" s="69" t="s">
        <v>191</v>
      </c>
      <c r="BH46" s="78"/>
      <c r="BI46" s="79"/>
      <c r="BJ46" s="69"/>
      <c r="BK46" s="87">
        <f>BK43</f>
        <v>227.901938515861</v>
      </c>
      <c r="BL46" s="87">
        <f t="shared" ref="BL46:BQ46" si="26">BL43</f>
        <v>27.26302279846</v>
      </c>
      <c r="BM46" s="87">
        <f t="shared" si="26"/>
        <v>275.222838588341</v>
      </c>
      <c r="BN46" s="87">
        <f t="shared" si="26"/>
        <v>168.962786142934</v>
      </c>
      <c r="BO46" s="87">
        <f t="shared" si="26"/>
        <v>5.326185535945</v>
      </c>
      <c r="BP46" s="87">
        <f t="shared" si="26"/>
        <v>255.447551760696</v>
      </c>
      <c r="BQ46" s="87">
        <f t="shared" si="26"/>
        <v>23.304084041832</v>
      </c>
      <c r="BS46" s="101" t="s">
        <v>192</v>
      </c>
      <c r="BT46" s="102"/>
      <c r="BU46" s="102" t="s">
        <v>193</v>
      </c>
      <c r="BV46" s="102"/>
      <c r="BW46" s="135">
        <f>BN45*0.33</f>
        <v>0.0732207135913012</v>
      </c>
    </row>
    <row r="47" ht="15.15" spans="29:75"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Q47" s="40"/>
      <c r="AR47" s="40"/>
      <c r="AS47" s="40"/>
      <c r="AT47" s="40"/>
      <c r="AU47" s="40"/>
      <c r="AV47" s="40"/>
      <c r="AW47" s="40"/>
      <c r="BJ47" s="10" t="s">
        <v>12</v>
      </c>
      <c r="BK47" s="29" t="s">
        <v>13</v>
      </c>
      <c r="BL47" s="29" t="s">
        <v>14</v>
      </c>
      <c r="BM47" s="29" t="s">
        <v>15</v>
      </c>
      <c r="BN47" s="29" t="s">
        <v>16</v>
      </c>
      <c r="BO47" s="29" t="s">
        <v>17</v>
      </c>
      <c r="BP47" s="29" t="s">
        <v>18</v>
      </c>
      <c r="BQ47" s="29" t="s">
        <v>19</v>
      </c>
      <c r="BS47" s="103"/>
      <c r="BT47" s="104"/>
      <c r="BU47" s="104" t="s">
        <v>194</v>
      </c>
      <c r="BV47" s="104"/>
      <c r="BW47" s="136">
        <f>BN46</f>
        <v>168.962786142934</v>
      </c>
    </row>
    <row r="48" spans="29:49"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Q48" s="40"/>
      <c r="AR48" s="40"/>
      <c r="AS48" s="40"/>
      <c r="AT48" s="40"/>
      <c r="AU48" s="40"/>
      <c r="AV48" s="40"/>
      <c r="AW48" s="40"/>
    </row>
    <row r="49" spans="29:69"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Q49" s="40"/>
      <c r="AR49" s="40"/>
      <c r="AS49" s="40"/>
      <c r="AT49" s="40"/>
      <c r="AU49" s="40"/>
      <c r="AV49" s="40"/>
      <c r="AW49" s="40"/>
      <c r="BK49" s="89"/>
      <c r="BL49" s="89"/>
      <c r="BM49" s="89"/>
      <c r="BN49" s="89"/>
      <c r="BO49" s="89"/>
      <c r="BP49" s="89"/>
      <c r="BQ49" s="89"/>
    </row>
    <row r="50" spans="29:69"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Q50" s="40"/>
      <c r="AR50" s="40"/>
      <c r="AS50" s="40"/>
      <c r="AT50" s="40"/>
      <c r="AU50" s="40"/>
      <c r="AV50" s="40"/>
      <c r="AW50" s="40"/>
      <c r="BJ50" s="90"/>
      <c r="BK50" s="91">
        <f t="shared" ref="BK50:BQ50" si="27">BK30/BK29</f>
        <v>-1.0013796749246</v>
      </c>
      <c r="BL50" s="91">
        <f t="shared" si="27"/>
        <v>1.21993831955842</v>
      </c>
      <c r="BM50" s="91">
        <f t="shared" si="27"/>
        <v>-1.04423490540986</v>
      </c>
      <c r="BN50" s="91">
        <f t="shared" si="27"/>
        <v>-1.03568942159005</v>
      </c>
      <c r="BO50" s="91">
        <f t="shared" si="27"/>
        <v>-1.01230247481704</v>
      </c>
      <c r="BP50" s="91">
        <f t="shared" si="27"/>
        <v>-1.0127693063234</v>
      </c>
      <c r="BQ50" s="91">
        <f t="shared" si="27"/>
        <v>4.2130155497988</v>
      </c>
    </row>
    <row r="51" spans="29:74"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/>
      <c r="AP51"/>
      <c r="AQ51" s="46"/>
      <c r="AR51" s="46"/>
      <c r="AS51" s="46"/>
      <c r="AT51" s="46"/>
      <c r="AU51" s="46"/>
      <c r="AV51" s="46"/>
      <c r="AW51" s="46"/>
      <c r="AX51"/>
      <c r="AY51"/>
      <c r="AZ51"/>
      <c r="BA51"/>
      <c r="BB51"/>
      <c r="BC51"/>
      <c r="BJ51" s="40"/>
      <c r="BK51" s="40"/>
      <c r="BL51" s="40"/>
      <c r="BM51" s="40"/>
      <c r="BN51" s="40"/>
      <c r="BO51" s="40"/>
      <c r="BP51" s="40"/>
      <c r="BQ51" s="40"/>
      <c r="BS51" s="2" t="s">
        <v>195</v>
      </c>
      <c r="BT51" s="2">
        <f>(BN45+BO45)/(BK45+BL45)</f>
        <v>0.401161486086337</v>
      </c>
      <c r="BU51" s="137"/>
      <c r="BV51" s="137"/>
    </row>
    <row r="52" spans="29:77"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/>
      <c r="AP52"/>
      <c r="AQ52" s="46"/>
      <c r="AR52" s="46"/>
      <c r="AS52" s="46"/>
      <c r="AT52" s="46"/>
      <c r="AU52" s="46"/>
      <c r="AV52" s="46"/>
      <c r="AW52" s="46"/>
      <c r="AX52"/>
      <c r="AY52"/>
      <c r="AZ52"/>
      <c r="BA52"/>
      <c r="BB52"/>
      <c r="BC52"/>
      <c r="BK52" s="92" t="s">
        <v>196</v>
      </c>
      <c r="BL52" s="93"/>
      <c r="BM52" s="93"/>
      <c r="BN52" s="105" t="s">
        <v>35</v>
      </c>
      <c r="BO52" s="106">
        <f>MAX(C12:Z40)</f>
        <v>2.4268655317138</v>
      </c>
      <c r="BP52" s="105" t="s">
        <v>197</v>
      </c>
      <c r="BS52" s="107"/>
      <c r="BT52" s="108"/>
      <c r="BU52" s="108"/>
      <c r="BV52" s="108"/>
      <c r="BW52" s="138"/>
      <c r="BX52" s="139"/>
      <c r="BY52" s="139"/>
    </row>
    <row r="53" ht="15.15" spans="29:82"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/>
      <c r="AP53"/>
      <c r="AQ53" s="46"/>
      <c r="AR53" s="46"/>
      <c r="AS53" s="46"/>
      <c r="AT53" s="46"/>
      <c r="AU53" s="46"/>
      <c r="AV53" s="46"/>
      <c r="AW53" s="46"/>
      <c r="AX53"/>
      <c r="AY53"/>
      <c r="AZ53"/>
      <c r="BA53"/>
      <c r="BB53"/>
      <c r="BC53"/>
      <c r="BK53" s="92" t="s">
        <v>198</v>
      </c>
      <c r="BL53" s="93"/>
      <c r="BM53" s="93"/>
      <c r="BN53" s="105" t="s">
        <v>35</v>
      </c>
      <c r="BO53" s="106">
        <f>MIN(C12:Z40)</f>
        <v>-0.168928677335222</v>
      </c>
      <c r="BP53" s="105" t="s">
        <v>197</v>
      </c>
      <c r="BS53" s="109" t="s">
        <v>199</v>
      </c>
      <c r="BT53" s="109"/>
      <c r="BU53" s="109"/>
      <c r="BV53" s="109"/>
      <c r="BW53" s="109"/>
      <c r="BX53" s="109"/>
      <c r="BY53" s="109"/>
      <c r="BZ53" s="109"/>
      <c r="CA53" s="109"/>
      <c r="CB53" s="109"/>
      <c r="CC53" s="109"/>
      <c r="CD53" s="109"/>
    </row>
    <row r="54" ht="18.75" spans="29:82"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/>
      <c r="AP54"/>
      <c r="AQ54" s="46"/>
      <c r="AR54" s="46"/>
      <c r="AS54" s="46"/>
      <c r="AT54" s="46"/>
      <c r="AU54" s="46"/>
      <c r="AV54" s="46"/>
      <c r="AW54" s="46"/>
      <c r="AX54"/>
      <c r="AY54"/>
      <c r="AZ54"/>
      <c r="BA54"/>
      <c r="BB54"/>
      <c r="BC54"/>
      <c r="BH54"/>
      <c r="BI54"/>
      <c r="BJ54"/>
      <c r="BK54" s="92" t="s">
        <v>200</v>
      </c>
      <c r="BL54" s="93"/>
      <c r="BM54" s="93"/>
      <c r="BN54" s="105" t="s">
        <v>35</v>
      </c>
      <c r="BO54" s="110">
        <f>BO52-BO53</f>
        <v>2.59579420904902</v>
      </c>
      <c r="BP54" s="105" t="s">
        <v>197</v>
      </c>
      <c r="BQ54"/>
      <c r="BR54"/>
      <c r="BS54" s="111" t="s">
        <v>201</v>
      </c>
      <c r="BT54" s="112"/>
      <c r="BU54" s="140" t="s">
        <v>202</v>
      </c>
      <c r="BV54" s="141" t="s">
        <v>203</v>
      </c>
      <c r="BW54" s="141" t="s">
        <v>204</v>
      </c>
      <c r="BX54" s="141" t="s">
        <v>205</v>
      </c>
      <c r="BY54" s="141" t="s">
        <v>206</v>
      </c>
      <c r="BZ54" s="141" t="s">
        <v>207</v>
      </c>
      <c r="CA54" s="141" t="s">
        <v>208</v>
      </c>
      <c r="CB54" s="141" t="s">
        <v>209</v>
      </c>
      <c r="CC54" s="141" t="s">
        <v>210</v>
      </c>
      <c r="CD54" s="145" t="s">
        <v>211</v>
      </c>
    </row>
    <row r="55" ht="17.2" customHeight="1" spans="29:82"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/>
      <c r="AP55"/>
      <c r="AQ55" s="46"/>
      <c r="AR55" s="46"/>
      <c r="AS55" s="46"/>
      <c r="AT55" s="46"/>
      <c r="AU55" s="46"/>
      <c r="AV55" s="46"/>
      <c r="AW55" s="46"/>
      <c r="AX55"/>
      <c r="AY55"/>
      <c r="AZ55"/>
      <c r="BA55"/>
      <c r="BB55"/>
      <c r="BC55"/>
      <c r="BH55"/>
      <c r="BI55"/>
      <c r="BJ55"/>
      <c r="BK55" s="46"/>
      <c r="BL55" s="46"/>
      <c r="BM55" s="46"/>
      <c r="BN55" s="46"/>
      <c r="BO55" s="46"/>
      <c r="BP55" s="46"/>
      <c r="BQ55" s="46"/>
      <c r="BR55"/>
      <c r="BS55" s="113" t="s">
        <v>212</v>
      </c>
      <c r="BT55" s="114"/>
      <c r="BU55" s="142">
        <f t="shared" ref="BU55:CB55" si="28">BJ45</f>
        <v>1.08408599818095</v>
      </c>
      <c r="BV55" s="142">
        <f t="shared" si="28"/>
        <v>0.546976796999789</v>
      </c>
      <c r="BW55" s="142">
        <f t="shared" si="28"/>
        <v>0.439430500924261</v>
      </c>
      <c r="BX55" s="142">
        <f t="shared" si="28"/>
        <v>0.100513859082081</v>
      </c>
      <c r="BY55" s="142">
        <f t="shared" si="28"/>
        <v>0.22188095027667</v>
      </c>
      <c r="BZ55" s="142">
        <f t="shared" si="28"/>
        <v>0.17382766724495</v>
      </c>
      <c r="CA55" s="142">
        <f t="shared" si="28"/>
        <v>0.00636009667724089</v>
      </c>
      <c r="CB55" s="142">
        <f t="shared" si="28"/>
        <v>0.00401205436115802</v>
      </c>
      <c r="CC55" s="146">
        <f>BL45*0.27</f>
        <v>0.11864623524955</v>
      </c>
      <c r="CD55" s="147">
        <f>BN45*0.33</f>
        <v>0.0732207135913011</v>
      </c>
    </row>
    <row r="56" ht="19.5" customHeight="1" spans="29:82"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/>
      <c r="AP56"/>
      <c r="AQ56" s="46"/>
      <c r="AR56" s="46"/>
      <c r="AS56" s="46"/>
      <c r="AT56" s="46"/>
      <c r="AU56" s="46"/>
      <c r="AV56" s="46"/>
      <c r="AW56" s="46"/>
      <c r="AX56"/>
      <c r="AY56"/>
      <c r="AZ56"/>
      <c r="BA56"/>
      <c r="BB56"/>
      <c r="BC56"/>
      <c r="BH56"/>
      <c r="BI56"/>
      <c r="BJ56"/>
      <c r="BK56" s="46"/>
      <c r="BL56" s="46"/>
      <c r="BM56" s="46"/>
      <c r="BN56" s="46"/>
      <c r="BO56" s="46"/>
      <c r="BP56" s="46"/>
      <c r="BQ56" s="46"/>
      <c r="BR56"/>
      <c r="BS56" s="151" t="s">
        <v>213</v>
      </c>
      <c r="BT56" s="116"/>
      <c r="BU56" s="143">
        <f>BJ46</f>
        <v>0</v>
      </c>
      <c r="BV56" s="143">
        <f>BK46</f>
        <v>227.901938515861</v>
      </c>
      <c r="BW56" s="143">
        <f t="shared" ref="BW56:CB56" si="29">BL46</f>
        <v>27.26302279846</v>
      </c>
      <c r="BX56" s="143">
        <f t="shared" si="29"/>
        <v>275.222838588341</v>
      </c>
      <c r="BY56" s="143">
        <f t="shared" si="29"/>
        <v>168.962786142934</v>
      </c>
      <c r="BZ56" s="143">
        <f t="shared" si="29"/>
        <v>5.326185535945</v>
      </c>
      <c r="CA56" s="143">
        <f t="shared" si="29"/>
        <v>255.447551760696</v>
      </c>
      <c r="CB56" s="143">
        <f t="shared" si="29"/>
        <v>23.304084041832</v>
      </c>
      <c r="CC56" s="148">
        <f>BL46</f>
        <v>27.26302279846</v>
      </c>
      <c r="CD56" s="149">
        <f>BN46</f>
        <v>168.962786142934</v>
      </c>
    </row>
    <row r="57" spans="29:72"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/>
      <c r="AP57"/>
      <c r="AQ57" s="46"/>
      <c r="AR57" s="46"/>
      <c r="AS57" s="46"/>
      <c r="AT57" s="46"/>
      <c r="AU57" s="46"/>
      <c r="AV57" s="46"/>
      <c r="AW57" s="46"/>
      <c r="AX57"/>
      <c r="AY57"/>
      <c r="AZ57"/>
      <c r="BA57"/>
      <c r="BB57"/>
      <c r="BC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9:77"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/>
      <c r="AP58"/>
      <c r="AQ58" s="46"/>
      <c r="AR58" s="46"/>
      <c r="AS58" s="46"/>
      <c r="AT58" s="46"/>
      <c r="AU58" s="46"/>
      <c r="AV58" s="46"/>
      <c r="AW58" s="46"/>
      <c r="AX58"/>
      <c r="AY58"/>
      <c r="AZ58"/>
      <c r="BA58"/>
      <c r="BB58"/>
      <c r="BC58"/>
      <c r="BH58"/>
      <c r="BI58"/>
      <c r="BJ58"/>
      <c r="BK58" s="46"/>
      <c r="BL58" s="46"/>
      <c r="BM58" s="46"/>
      <c r="BN58" s="46"/>
      <c r="BO58" s="46"/>
      <c r="BP58" s="46"/>
      <c r="BQ58" s="46"/>
      <c r="BR58"/>
      <c r="BS58" s="107" t="s">
        <v>214</v>
      </c>
      <c r="BT58" s="108"/>
      <c r="BU58" s="108"/>
      <c r="BV58" s="108"/>
      <c r="BW58" s="138"/>
      <c r="BX58" s="139"/>
      <c r="BY58" s="139"/>
    </row>
    <row r="59" spans="29:77"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/>
      <c r="AP59"/>
      <c r="AQ59" s="46"/>
      <c r="AR59" s="46"/>
      <c r="AS59" s="46"/>
      <c r="AT59" s="46"/>
      <c r="AU59" s="46"/>
      <c r="AV59" s="46"/>
      <c r="AW59" s="46"/>
      <c r="AX59"/>
      <c r="AY59"/>
      <c r="AZ59"/>
      <c r="BA59"/>
      <c r="BB59"/>
      <c r="BC59"/>
      <c r="BH59"/>
      <c r="BI59"/>
      <c r="BJ59"/>
      <c r="BK59" s="46"/>
      <c r="BL59" s="46"/>
      <c r="BM59" s="46"/>
      <c r="BN59" s="46"/>
      <c r="BO59" s="46"/>
      <c r="BP59" s="46"/>
      <c r="BQ59" s="46"/>
      <c r="BR59"/>
      <c r="BS59" s="117" t="str">
        <f>IF(AND(((BY55+BZ55)/(BV55+BW55))&gt;0,((BY55+BZ55)/(BV55+BW55))&lt;=0.25),((BY55+BZ55)/(BV55+BW55)),"")</f>
        <v/>
      </c>
      <c r="BT59" s="152" t="s">
        <v>215</v>
      </c>
      <c r="BU59" s="118"/>
      <c r="BV59" s="118"/>
      <c r="BW59" s="144"/>
      <c r="BX59" s="144"/>
      <c r="BY59" s="144"/>
    </row>
    <row r="60" spans="29:77"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/>
      <c r="AP60"/>
      <c r="AQ60" s="46"/>
      <c r="AR60" s="46"/>
      <c r="AS60" s="46"/>
      <c r="AT60" s="46"/>
      <c r="AU60" s="46"/>
      <c r="AV60" s="46"/>
      <c r="AW60" s="46"/>
      <c r="AX60"/>
      <c r="AY60"/>
      <c r="AZ60"/>
      <c r="BA60"/>
      <c r="BB60"/>
      <c r="BC60"/>
      <c r="BS60" s="119">
        <f>IF(AND(((BY55+BZ55)/(BV55+BW55))&gt;0.25,((BY55+BZ55)/(BV55+BW55))&lt;=1.5),((BY55+BZ55)/(BV55+BW55)),"")</f>
        <v>0.401161486086337</v>
      </c>
      <c r="BT60" s="152" t="s">
        <v>216</v>
      </c>
      <c r="BU60" s="118"/>
      <c r="BV60" s="118"/>
      <c r="BW60" s="118"/>
      <c r="BX60" s="118"/>
      <c r="BY60" s="118"/>
    </row>
    <row r="61" spans="29:77"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/>
      <c r="AP61"/>
      <c r="AQ61" s="46"/>
      <c r="AR61" s="46"/>
      <c r="AS61" s="46"/>
      <c r="AT61" s="46"/>
      <c r="AU61" s="46"/>
      <c r="AV61" s="46"/>
      <c r="AW61" s="46"/>
      <c r="AX61"/>
      <c r="AY61"/>
      <c r="AZ61"/>
      <c r="BA61"/>
      <c r="BB61"/>
      <c r="BC61"/>
      <c r="BS61" s="120" t="str">
        <f>IF(AND(((BY55+BZ55)/(BV55+BW55))&gt;1.5,((BY55+BZ55)/(BV55+BW55))&lt;=3),((BY55+BZ55)/(BV55+BW55)),"")</f>
        <v/>
      </c>
      <c r="BT61" s="152" t="s">
        <v>217</v>
      </c>
      <c r="BU61" s="144"/>
      <c r="BV61" s="144"/>
      <c r="BW61" s="144"/>
      <c r="BX61" s="144"/>
      <c r="BY61" s="144"/>
    </row>
    <row r="62" spans="29:77"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/>
      <c r="AP62"/>
      <c r="AQ62" s="46"/>
      <c r="AR62" s="46"/>
      <c r="AS62" s="46"/>
      <c r="AT62" s="46"/>
      <c r="AU62" s="46"/>
      <c r="AV62" s="46"/>
      <c r="AW62" s="46"/>
      <c r="AX62"/>
      <c r="AY62"/>
      <c r="AZ62"/>
      <c r="BA62"/>
      <c r="BB62"/>
      <c r="BC62"/>
      <c r="BS62" s="121" t="str">
        <f>IF(((BY55+BZ55)/(BV55+BW55))&gt;3,(BY55+BZ55)/(BV55+BW55),"")</f>
        <v/>
      </c>
      <c r="BT62" s="152" t="s">
        <v>218</v>
      </c>
      <c r="BU62" s="144"/>
      <c r="BV62" s="144"/>
      <c r="BW62" s="144"/>
      <c r="BX62" s="144"/>
      <c r="BY62" s="144"/>
    </row>
    <row r="63" spans="29:55"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/>
      <c r="AP63"/>
      <c r="AQ63" s="46"/>
      <c r="AR63" s="46"/>
      <c r="AS63" s="46"/>
      <c r="AT63" s="46"/>
      <c r="AU63" s="46"/>
      <c r="AV63" s="46"/>
      <c r="AW63" s="46"/>
      <c r="AX63"/>
      <c r="AY63"/>
      <c r="AZ63"/>
      <c r="BA63"/>
      <c r="BB63"/>
      <c r="BC63"/>
    </row>
    <row r="64" spans="29:55"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/>
      <c r="AP64"/>
      <c r="AQ64" s="46"/>
      <c r="AR64" s="46"/>
      <c r="AS64" s="46"/>
      <c r="AT64" s="46"/>
      <c r="AU64" s="46"/>
      <c r="AV64" s="46"/>
      <c r="AW64" s="46"/>
      <c r="AX64"/>
      <c r="AY64"/>
      <c r="AZ64"/>
      <c r="BA64"/>
      <c r="BB64"/>
      <c r="BC64"/>
    </row>
    <row r="65" spans="29:67"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/>
      <c r="AP65"/>
      <c r="AQ65" s="46"/>
      <c r="AR65" s="46"/>
      <c r="AS65" s="46"/>
      <c r="AT65" s="46"/>
      <c r="AU65" s="46"/>
      <c r="AV65" s="46"/>
      <c r="AW65" s="46"/>
      <c r="AX65"/>
      <c r="AY65"/>
      <c r="AZ65"/>
      <c r="BA65"/>
      <c r="BB65"/>
      <c r="BC65"/>
      <c r="BO65" s="40">
        <f>BY55+BZ55</f>
        <v>0.39570861752162</v>
      </c>
    </row>
    <row r="66" spans="29:67"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/>
      <c r="AP66"/>
      <c r="AQ66" s="46"/>
      <c r="AR66" s="46"/>
      <c r="AS66" s="46"/>
      <c r="AT66" s="150"/>
      <c r="AU66" s="46"/>
      <c r="AV66" s="46"/>
      <c r="AW66" s="46"/>
      <c r="AX66"/>
      <c r="AY66"/>
      <c r="AZ66"/>
      <c r="BA66"/>
      <c r="BB66"/>
      <c r="BC66"/>
      <c r="BO66" s="40">
        <f>BV55+BW55</f>
        <v>0.986407297924051</v>
      </c>
    </row>
    <row r="67" spans="29:55"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/>
      <c r="AP67"/>
      <c r="AQ67" s="46"/>
      <c r="AR67" s="46"/>
      <c r="AS67" s="46"/>
      <c r="AT67" s="46"/>
      <c r="AU67" s="46"/>
      <c r="AV67" s="46"/>
      <c r="AW67" s="46"/>
      <c r="AX67"/>
      <c r="AY67"/>
      <c r="AZ67"/>
      <c r="BA67"/>
      <c r="BB67"/>
      <c r="BC67"/>
    </row>
    <row r="68" spans="29:55"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/>
      <c r="AP68"/>
      <c r="AQ68" s="46"/>
      <c r="AR68" s="46"/>
      <c r="AS68" s="46"/>
      <c r="AT68" s="46"/>
      <c r="AU68" s="46"/>
      <c r="AV68" s="46"/>
      <c r="AW68" s="46"/>
      <c r="AX68"/>
      <c r="AY68"/>
      <c r="AZ68"/>
      <c r="BA68"/>
      <c r="BB68"/>
      <c r="BC68"/>
    </row>
    <row r="69" spans="29:55"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/>
      <c r="AP69"/>
      <c r="AQ69" s="46"/>
      <c r="AR69" s="46"/>
      <c r="AS69" s="46"/>
      <c r="AT69" s="46"/>
      <c r="AU69" s="46"/>
      <c r="AV69" s="46"/>
      <c r="AW69" s="46"/>
      <c r="AX69"/>
      <c r="AY69"/>
      <c r="AZ69"/>
      <c r="BA69"/>
      <c r="BB69"/>
      <c r="BC69"/>
    </row>
    <row r="70" spans="29:55"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/>
      <c r="AP70"/>
      <c r="AQ70" s="46"/>
      <c r="AR70" s="46"/>
      <c r="AS70" s="46"/>
      <c r="AT70" s="46"/>
      <c r="AU70" s="46"/>
      <c r="AV70" s="46"/>
      <c r="AW70" s="46"/>
      <c r="AX70"/>
      <c r="AY70"/>
      <c r="AZ70"/>
      <c r="BA70"/>
      <c r="BB70"/>
      <c r="BC70"/>
    </row>
    <row r="71" spans="29:55"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/>
      <c r="AP71"/>
      <c r="AQ71"/>
      <c r="AR71" s="46"/>
      <c r="AS71" s="46"/>
      <c r="AT71" s="46"/>
      <c r="AU71" s="46"/>
      <c r="AV71"/>
      <c r="AW71"/>
      <c r="AX71"/>
      <c r="AY71"/>
      <c r="AZ71"/>
      <c r="BA71"/>
      <c r="BB71"/>
      <c r="BC71"/>
    </row>
    <row r="72" spans="29:55"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/>
      <c r="AP72"/>
      <c r="AQ72"/>
      <c r="AR72" s="46"/>
      <c r="AS72" s="46"/>
      <c r="AT72" s="46"/>
      <c r="AU72" s="46"/>
      <c r="AV72"/>
      <c r="AW72"/>
      <c r="AX72"/>
      <c r="AY72"/>
      <c r="AZ72"/>
      <c r="BA72"/>
      <c r="BB72"/>
      <c r="BC72"/>
    </row>
    <row r="73" spans="41:55">
      <c r="AO73"/>
      <c r="AP73"/>
      <c r="AQ73"/>
      <c r="AR73" s="46"/>
      <c r="AS73" s="46"/>
      <c r="AT73" s="46"/>
      <c r="AU73" s="46"/>
      <c r="AV73"/>
      <c r="AW73"/>
      <c r="AX73"/>
      <c r="AY73"/>
      <c r="AZ73"/>
      <c r="BA73"/>
      <c r="BB73"/>
      <c r="BC73"/>
    </row>
    <row r="74" spans="41:55">
      <c r="AO74"/>
      <c r="AP74"/>
      <c r="AQ74"/>
      <c r="AR74" s="46"/>
      <c r="AS74" s="46"/>
      <c r="AT74" s="46"/>
      <c r="AU74" s="46"/>
      <c r="AV74"/>
      <c r="AW74"/>
      <c r="AX74"/>
      <c r="AY74"/>
      <c r="AZ74"/>
      <c r="BA74"/>
      <c r="BB74"/>
      <c r="BC74"/>
    </row>
    <row r="75" spans="41:55">
      <c r="AO75"/>
      <c r="AP75"/>
      <c r="AQ75"/>
      <c r="AR75" s="46"/>
      <c r="AS75" s="46"/>
      <c r="AT75" s="46"/>
      <c r="AU75" s="46"/>
      <c r="AV75"/>
      <c r="AW75"/>
      <c r="AX75"/>
      <c r="AY75"/>
      <c r="AZ75"/>
      <c r="BA75"/>
      <c r="BB75"/>
      <c r="BC75"/>
    </row>
    <row r="76" spans="41:55">
      <c r="AO76"/>
      <c r="AP76"/>
      <c r="AQ76"/>
      <c r="AR76" s="46"/>
      <c r="AS76" s="46"/>
      <c r="AT76" s="46"/>
      <c r="AU76" s="46"/>
      <c r="AV76"/>
      <c r="AW76"/>
      <c r="AX76"/>
      <c r="AY76"/>
      <c r="AZ76"/>
      <c r="BA76"/>
      <c r="BB76"/>
      <c r="BC76"/>
    </row>
    <row r="77" spans="41:55">
      <c r="AO77"/>
      <c r="AP77"/>
      <c r="AQ77"/>
      <c r="AR77" s="46"/>
      <c r="AS77" s="46"/>
      <c r="AT77" s="46"/>
      <c r="AU77" s="46"/>
      <c r="AV77"/>
      <c r="AW77"/>
      <c r="AX77"/>
      <c r="AY77"/>
      <c r="AZ77"/>
      <c r="BA77"/>
      <c r="BB77"/>
      <c r="BC77"/>
    </row>
    <row r="78" spans="41:55"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41:55"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41:55"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41:55"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41:55"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41:55"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41:55"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41:55"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41:55"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41:55"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41:55"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41:55"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41:55"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41:55"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</sheetData>
  <mergeCells count="49">
    <mergeCell ref="A1:Y1"/>
    <mergeCell ref="A2:Y2"/>
    <mergeCell ref="A3:Z3"/>
    <mergeCell ref="C5:E5"/>
    <mergeCell ref="C6:E6"/>
    <mergeCell ref="C7:E7"/>
    <mergeCell ref="C8:E8"/>
    <mergeCell ref="AC10:AD10"/>
    <mergeCell ref="AE10:AF10"/>
    <mergeCell ref="AG10:AH10"/>
    <mergeCell ref="AI10:AJ10"/>
    <mergeCell ref="AK10:AL10"/>
    <mergeCell ref="AM10:AN10"/>
    <mergeCell ref="BA11:BB11"/>
    <mergeCell ref="BS53:CD53"/>
    <mergeCell ref="BS54:BT54"/>
    <mergeCell ref="BS55:BT55"/>
    <mergeCell ref="BS56:BT56"/>
    <mergeCell ref="AY10:AY11"/>
    <mergeCell ref="AY45:AY46"/>
    <mergeCell ref="AZ10:AZ11"/>
    <mergeCell ref="BC13:BC14"/>
    <mergeCell ref="BC15:BC17"/>
    <mergeCell ref="BC18:BC19"/>
    <mergeCell ref="BC20:BC22"/>
    <mergeCell ref="BC23:BC24"/>
    <mergeCell ref="BC25:BC26"/>
    <mergeCell ref="BC27:BC29"/>
    <mergeCell ref="BC30:BC31"/>
    <mergeCell ref="BC32:BC34"/>
    <mergeCell ref="BC35:BC36"/>
    <mergeCell ref="BC37:BC39"/>
    <mergeCell ref="BC40:BC41"/>
    <mergeCell ref="BC42:BC44"/>
    <mergeCell ref="BC45:BC46"/>
    <mergeCell ref="BD13:BD14"/>
    <mergeCell ref="BD15:BD17"/>
    <mergeCell ref="BD18:BD19"/>
    <mergeCell ref="BD20:BD22"/>
    <mergeCell ref="BD23:BD24"/>
    <mergeCell ref="BD25:BD26"/>
    <mergeCell ref="BD27:BD29"/>
    <mergeCell ref="BD30:BD31"/>
    <mergeCell ref="BD32:BD34"/>
    <mergeCell ref="BD35:BD36"/>
    <mergeCell ref="BD37:BD39"/>
    <mergeCell ref="BD40:BD41"/>
    <mergeCell ref="BD42:BD44"/>
    <mergeCell ref="BD45:BD46"/>
  </mergeCells>
  <conditionalFormatting sqref="C46:Z51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C58:I86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300" verticalDpi="300"/>
  <headerFooter/>
  <ignoredErrors>
    <ignoredError sqref="AR11:AW11" numberStoredAsText="1"/>
    <ignoredError sqref="BO54" unlockedFormula="1"/>
    <ignoredError sqref="AC30:AF40;AD29:AF29;AC22:AF28;AD21:AF21;AC15:AF20;AD14:AF14;AC13:AF13;AF12;BO3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Langkah Perhitungan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Santyabudhi</dc:creator>
  <cp:lastModifiedBy>atmatech</cp:lastModifiedBy>
  <dcterms:created xsi:type="dcterms:W3CDTF">2013-02-24T16:18:00Z</dcterms:created>
  <dcterms:modified xsi:type="dcterms:W3CDTF">2024-10-11T17:45:00Z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FB08A536C77E48978C0E818197226101_12</vt:lpwstr>
  </property>
  <property fmtid="{D5CDD505-2E9C-101B-9397-08002B2CF9AE}" pid="3" name="KSOProductBuildVer">
    <vt:lpwstr>1033-12.2.0.18586</vt:lpwstr>
  </property>
</Properties>
</file>