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Langkah Perhitung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<sst xmlns="http://schemas.openxmlformats.org/spreadsheetml/2006/main" count="481" uniqueCount="219">
  <si>
    <t>ANALISIS  HARMONIK  PASANG SURUT</t>
  </si>
  <si>
    <t>Metoda  Admiralty  Panjang Data  29 Hari (Dengan Tabel)</t>
  </si>
  <si>
    <t>LOKASI</t>
  </si>
  <si>
    <t>Bitung</t>
  </si>
  <si>
    <t xml:space="preserve">KORDINAT </t>
  </si>
  <si>
    <t>1°26'24.00"N - 125°11'34.80"E</t>
  </si>
  <si>
    <t>HARI TENGAH</t>
  </si>
  <si>
    <t>TIME KEPT</t>
  </si>
  <si>
    <t>GMT +8</t>
  </si>
  <si>
    <t>SECTION II (USING TABLE 8.A)</t>
  </si>
  <si>
    <t>SECTION III X AND Y WITH DATUMS</t>
  </si>
  <si>
    <t>SECTION IV USING TABLE 10.A</t>
  </si>
  <si>
    <r>
      <rPr>
        <b/>
        <sz val="11"/>
        <color theme="1"/>
        <rFont val="Calibri"/>
        <charset val="134"/>
        <scheme val="minor"/>
      </rPr>
      <t>A</t>
    </r>
    <r>
      <rPr>
        <b/>
        <sz val="8"/>
        <color theme="1"/>
        <rFont val="Calibri"/>
        <charset val="134"/>
        <scheme val="minor"/>
      </rPr>
      <t>0</t>
    </r>
  </si>
  <si>
    <r>
      <rPr>
        <b/>
        <sz val="11"/>
        <color theme="1"/>
        <rFont val="Calibri"/>
        <charset val="134"/>
        <scheme val="minor"/>
      </rPr>
      <t>M</t>
    </r>
    <r>
      <rPr>
        <b/>
        <sz val="8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</si>
  <si>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S</t>
    </r>
    <r>
      <rPr>
        <b/>
        <sz val="8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</si>
  <si>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N</t>
    </r>
    <r>
      <rPr>
        <b/>
        <sz val="8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</si>
  <si>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K</t>
    </r>
    <r>
      <rPr>
        <b/>
        <sz val="8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</si>
  <si>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O</t>
    </r>
    <r>
      <rPr>
        <b/>
        <sz val="8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</si>
  <si>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M</t>
    </r>
    <r>
      <rPr>
        <b/>
        <sz val="8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</si>
  <si>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>MS</t>
    </r>
    <r>
      <rPr>
        <b/>
        <sz val="8"/>
        <color theme="1"/>
        <rFont val="Calibri"/>
        <charset val="134"/>
        <scheme val="minor"/>
      </rPr>
      <t>4</t>
    </r>
  </si>
  <si>
    <t>SECTION VIII</t>
  </si>
  <si>
    <t>SECTION I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</si>
  <si>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</si>
  <si>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Y</t>
    </r>
    <r>
      <rPr>
        <b/>
        <sz val="6"/>
        <color theme="1"/>
        <rFont val="Calibri"/>
        <charset val="134"/>
        <scheme val="minor"/>
      </rPr>
      <t>1</t>
    </r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</si>
  <si>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</si>
  <si>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Y</t>
    </r>
    <r>
      <rPr>
        <b/>
        <sz val="6"/>
        <color theme="1"/>
        <rFont val="Calibri"/>
        <charset val="134"/>
        <scheme val="minor"/>
      </rPr>
      <t>2</t>
    </r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</si>
  <si>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</si>
  <si>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>Y</t>
    </r>
    <r>
      <rPr>
        <b/>
        <sz val="6"/>
        <color theme="1"/>
        <rFont val="Calibri"/>
        <charset val="134"/>
        <scheme val="minor"/>
      </rPr>
      <t>4</t>
    </r>
  </si>
  <si>
    <r>
      <rPr>
        <b/>
        <sz val="11"/>
        <color theme="1"/>
        <rFont val="Calibri"/>
        <charset val="134"/>
        <scheme val="minor"/>
      </rPr>
      <t>X</t>
    </r>
    <r>
      <rPr>
        <b/>
        <sz val="6"/>
        <color theme="1"/>
        <rFont val="Calibri"/>
        <charset val="134"/>
        <scheme val="minor"/>
      </rPr>
      <t>O</t>
    </r>
  </si>
  <si>
    <t>suffix</t>
  </si>
  <si>
    <t>sign</t>
  </si>
  <si>
    <t>X</t>
  </si>
  <si>
    <t>Y</t>
  </si>
  <si>
    <t>SECTION V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</si>
  <si>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00</t>
    </r>
  </si>
  <si>
    <t>=</t>
  </si>
  <si>
    <t>-</t>
  </si>
  <si>
    <r>
      <rPr>
        <b/>
        <sz val="11"/>
        <color theme="1"/>
        <rFont val="Calibri"/>
        <charset val="134"/>
        <scheme val="minor"/>
      </rPr>
      <t>w and 1+W for S</t>
    </r>
    <r>
      <rPr>
        <b/>
        <sz val="8"/>
        <color theme="1"/>
        <rFont val="Calibri"/>
        <charset val="134"/>
        <scheme val="minor"/>
      </rPr>
      <t>2</t>
    </r>
    <r>
      <rPr>
        <b/>
        <sz val="11"/>
        <color theme="1"/>
        <rFont val="Calibri"/>
        <charset val="134"/>
        <scheme val="minor"/>
      </rPr>
      <t>, MS</t>
    </r>
    <r>
      <rPr>
        <b/>
        <sz val="8"/>
        <color theme="1"/>
        <rFont val="Calibri"/>
        <charset val="134"/>
        <scheme val="minor"/>
      </rPr>
      <t>4</t>
    </r>
  </si>
  <si>
    <t>JAM</t>
  </si>
  <si>
    <t>Tanggal</t>
  </si>
  <si>
    <t>+</t>
  </si>
  <si>
    <t>10</t>
  </si>
  <si>
    <t>Contribution</t>
  </si>
  <si>
    <t>USING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</si>
  <si>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10</t>
    </r>
  </si>
  <si>
    <t>VII</t>
  </si>
  <si>
    <t>: K1 :</t>
  </si>
  <si>
    <t xml:space="preserve">E </t>
  </si>
  <si>
    <t>1 AGUSTUS 2009</t>
  </si>
  <si>
    <t>Hari ke - 1</t>
  </si>
  <si>
    <t>TAB 11.A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</si>
  <si>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12</t>
    </r>
    <r>
      <rPr>
        <b/>
        <sz val="11"/>
        <color theme="1"/>
        <rFont val="Calibri"/>
        <charset val="134"/>
        <scheme val="minor"/>
      </rPr>
      <t>-Y1</t>
    </r>
    <r>
      <rPr>
        <b/>
        <sz val="8"/>
        <color theme="1"/>
        <rFont val="Calibri"/>
        <charset val="134"/>
        <scheme val="minor"/>
      </rPr>
      <t>b</t>
    </r>
  </si>
  <si>
    <t xml:space="preserve">u </t>
  </si>
  <si>
    <t>2 AGUSTUS 2009</t>
  </si>
  <si>
    <t>Hari ke - 2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</si>
  <si>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13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1c</t>
    </r>
  </si>
  <si>
    <t xml:space="preserve">sum: </t>
  </si>
  <si>
    <t xml:space="preserve">E+u </t>
  </si>
  <si>
    <t>3 AGUSTUS 2009</t>
  </si>
  <si>
    <t>Hari ke - 3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</si>
  <si>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20</t>
    </r>
  </si>
  <si>
    <t>Tab.18</t>
  </si>
  <si>
    <t>: S2 :</t>
  </si>
  <si>
    <t>w/f</t>
  </si>
  <si>
    <t>4 AGUSTUS 2009</t>
  </si>
  <si>
    <t>Hari ke - 4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</si>
  <si>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22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2b</t>
    </r>
  </si>
  <si>
    <t>W/f</t>
  </si>
  <si>
    <t>5 AGUSTUS 2009</t>
  </si>
  <si>
    <t>Hari ke - 5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</si>
  <si>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23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2c</t>
    </r>
  </si>
  <si>
    <t>Tab.13</t>
  </si>
  <si>
    <t>: K2 :</t>
  </si>
  <si>
    <t>f</t>
  </si>
  <si>
    <t>6 AGUSTUS 2009</t>
  </si>
  <si>
    <t>Hari ke - 6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</si>
  <si>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42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4b</t>
    </r>
  </si>
  <si>
    <t>w</t>
  </si>
  <si>
    <t>7 AGUSTUS 2009</t>
  </si>
  <si>
    <t>Hari ke - 7</t>
  </si>
  <si>
    <t>1b</t>
  </si>
  <si>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44</t>
    </r>
    <r>
      <rPr>
        <b/>
        <sz val="11"/>
        <color theme="1"/>
        <rFont val="Calibri"/>
        <charset val="134"/>
        <scheme val="minor"/>
      </rPr>
      <t>-Y</t>
    </r>
    <r>
      <rPr>
        <b/>
        <sz val="8"/>
        <color theme="1"/>
        <rFont val="Calibri"/>
        <charset val="134"/>
        <scheme val="minor"/>
      </rPr>
      <t>4d</t>
    </r>
  </si>
  <si>
    <t>W</t>
  </si>
  <si>
    <t>8 AGUSTUS 2009</t>
  </si>
  <si>
    <t>Hari ke - 8</t>
  </si>
  <si>
    <t>SECTION VI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</si>
  <si>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10</t>
    </r>
  </si>
  <si>
    <t>1+W</t>
  </si>
  <si>
    <t>9 AGUSTUS 2009</t>
  </si>
  <si>
    <t>Hari ke - 9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</si>
  <si>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12+</t>
    </r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1b</t>
    </r>
  </si>
  <si>
    <t>w and 1+W for K1</t>
  </si>
  <si>
    <t>10 AGUSTUS 2009</t>
  </si>
  <si>
    <t>Hari ke - 10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</si>
  <si>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13+</t>
    </r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1c</t>
    </r>
  </si>
  <si>
    <t>2E</t>
  </si>
  <si>
    <t>11 AGUSTUS 2009</t>
  </si>
  <si>
    <t>Hari ke - 11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</si>
  <si>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20</t>
    </r>
  </si>
  <si>
    <t>u</t>
  </si>
  <si>
    <t>12 AGUSTUS 2009</t>
  </si>
  <si>
    <t>Hari ke - 12</t>
  </si>
  <si>
    <t>1c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</si>
  <si>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22</t>
    </r>
    <r>
      <rPr>
        <b/>
        <sz val="11"/>
        <color theme="1"/>
        <rFont val="Calibri"/>
        <charset val="134"/>
        <scheme val="minor"/>
      </rPr>
      <t>+X</t>
    </r>
    <r>
      <rPr>
        <b/>
        <sz val="8"/>
        <color theme="1"/>
        <rFont val="Calibri"/>
        <charset val="134"/>
        <scheme val="minor"/>
      </rPr>
      <t>2b</t>
    </r>
  </si>
  <si>
    <t>2E + u</t>
  </si>
  <si>
    <t>13 AGUSTUS 2009</t>
  </si>
  <si>
    <t>Hari ke - 13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</si>
  <si>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23</t>
    </r>
    <r>
      <rPr>
        <b/>
        <sz val="11"/>
        <color theme="1"/>
        <rFont val="Calibri"/>
        <charset val="134"/>
        <scheme val="minor"/>
      </rPr>
      <t>+X</t>
    </r>
    <r>
      <rPr>
        <b/>
        <sz val="8"/>
        <color theme="1"/>
        <rFont val="Calibri"/>
        <charset val="134"/>
        <scheme val="minor"/>
      </rPr>
      <t>2c</t>
    </r>
  </si>
  <si>
    <t>wf</t>
  </si>
  <si>
    <t>14 AGUSTUS 2009</t>
  </si>
  <si>
    <t>Hari ke - 14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</si>
  <si>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42</t>
    </r>
    <r>
      <rPr>
        <b/>
        <sz val="11"/>
        <color theme="1"/>
        <rFont val="Calibri"/>
        <charset val="134"/>
        <scheme val="minor"/>
      </rPr>
      <t>+X</t>
    </r>
    <r>
      <rPr>
        <b/>
        <sz val="8"/>
        <color theme="1"/>
        <rFont val="Calibri"/>
        <charset val="134"/>
        <scheme val="minor"/>
      </rPr>
      <t>4b</t>
    </r>
  </si>
  <si>
    <t>Wf</t>
  </si>
  <si>
    <t>15 AGUSTUS 2009</t>
  </si>
  <si>
    <t>Hari ke - 15</t>
  </si>
  <si>
    <r>
      <rPr>
        <b/>
        <sz val="11"/>
        <color theme="1"/>
        <rFont val="Calibri"/>
        <charset val="134"/>
        <scheme val="minor"/>
      </rPr>
      <t>Y</t>
    </r>
    <r>
      <rPr>
        <b/>
        <sz val="8"/>
        <color theme="1"/>
        <rFont val="Calibri"/>
        <charset val="134"/>
        <scheme val="minor"/>
      </rPr>
      <t>44+</t>
    </r>
    <r>
      <rPr>
        <b/>
        <sz val="11"/>
        <color theme="1"/>
        <rFont val="Calibri"/>
        <charset val="134"/>
        <scheme val="minor"/>
      </rPr>
      <t>X</t>
    </r>
    <r>
      <rPr>
        <b/>
        <sz val="8"/>
        <color theme="1"/>
        <rFont val="Calibri"/>
        <charset val="134"/>
        <scheme val="minor"/>
      </rPr>
      <t>4d</t>
    </r>
  </si>
  <si>
    <t>16 AGUSTUS 2009</t>
  </si>
  <si>
    <t>Hari ke - 16</t>
  </si>
  <si>
    <t>17 AGUSTUS 2009</t>
  </si>
  <si>
    <t>Hari ke - 17</t>
  </si>
  <si>
    <t>SECTION VII</t>
  </si>
  <si>
    <t>V  : SUM = PR cos r</t>
  </si>
  <si>
    <t>18 AGUSTUS 2009</t>
  </si>
  <si>
    <t>Hari ke - 18</t>
  </si>
  <si>
    <t>VI : SUM = PR sin r</t>
  </si>
  <si>
    <t>19 AGUSTUS 2009</t>
  </si>
  <si>
    <t>Hari ke - 19</t>
  </si>
  <si>
    <t>2b</t>
  </si>
  <si>
    <t>PR</t>
  </si>
  <si>
    <t>w and 1+W for N2</t>
  </si>
  <si>
    <t>20 AGUSTUS 2009</t>
  </si>
  <si>
    <t>Hari ke - 20</t>
  </si>
  <si>
    <t>TABLE 11.A : P</t>
  </si>
  <si>
    <t>: M2 :</t>
  </si>
  <si>
    <t>3E</t>
  </si>
  <si>
    <t>21 AGUSTUS 2009</t>
  </si>
  <si>
    <t>Hari ke - 21</t>
  </si>
  <si>
    <t>TABLE 13    : f</t>
  </si>
  <si>
    <t>: N2 :</t>
  </si>
  <si>
    <t>angel</t>
  </si>
  <si>
    <t>22 AGUSTUS 2009</t>
  </si>
  <si>
    <t>Hari ke - 22</t>
  </si>
  <si>
    <t>VIII               : 1 + W</t>
  </si>
  <si>
    <t>difference (M2-N2)</t>
  </si>
  <si>
    <t>23 AGUSTUS 2009</t>
  </si>
  <si>
    <t>Hari ke - 23</t>
  </si>
  <si>
    <t>TABLE 14 : E0</t>
  </si>
  <si>
    <t>24 AGUSTUS 2009</t>
  </si>
  <si>
    <t>Hari ke - 24</t>
  </si>
  <si>
    <t>2c</t>
  </si>
  <si>
    <t>TABLE 15 : E0'</t>
  </si>
  <si>
    <t>25 AGUSTUS 2009</t>
  </si>
  <si>
    <t>Hari ke - 25</t>
  </si>
  <si>
    <t>TABLE 16 : E0"</t>
  </si>
  <si>
    <t>M2, O1, M4</t>
  </si>
  <si>
    <t>: W= 0</t>
  </si>
  <si>
    <t>; w = 0</t>
  </si>
  <si>
    <t>26 AGUSTUS 2009</t>
  </si>
  <si>
    <t>Hari ke - 26</t>
  </si>
  <si>
    <t>E0+ E0' + E0" = E</t>
  </si>
  <si>
    <t>S2</t>
  </si>
  <si>
    <t>: f=1</t>
  </si>
  <si>
    <t>; E, u = 0</t>
  </si>
  <si>
    <t>27 AGUSTUS 2009</t>
  </si>
  <si>
    <t>Hari ke - 27</t>
  </si>
  <si>
    <t>TABLE 17     :  u</t>
  </si>
  <si>
    <t>N2, MS4</t>
  </si>
  <si>
    <t>: f, u as M2</t>
  </si>
  <si>
    <t>28 AGUSTUS 2009</t>
  </si>
  <si>
    <t>Hari ke - 28</t>
  </si>
  <si>
    <t>VIII                :  w</t>
  </si>
  <si>
    <t>M4</t>
  </si>
  <si>
    <t>: f = (f of M2) x (f of M2)</t>
  </si>
  <si>
    <t>29 AGUSTUS 2009</t>
  </si>
  <si>
    <t>Hari ke - 29</t>
  </si>
  <si>
    <t>4b</t>
  </si>
  <si>
    <t>TABLE 11.A  :  p</t>
  </si>
  <si>
    <t xml:space="preserve">  E = (E of M2) x 2</t>
  </si>
  <si>
    <t>TABLE 12     : r</t>
  </si>
  <si>
    <t xml:space="preserve">  u = (u of M2) x 2</t>
  </si>
  <si>
    <t>SUM             = g</t>
  </si>
  <si>
    <t>MS4</t>
  </si>
  <si>
    <t>: E = E of M2</t>
  </si>
  <si>
    <r>
      <rPr>
        <b/>
        <sz val="11"/>
        <color theme="1"/>
        <rFont val="Calibri"/>
        <charset val="134"/>
        <scheme val="minor"/>
      </rPr>
      <t>MULTIPLE OF 360</t>
    </r>
    <r>
      <rPr>
        <b/>
        <sz val="11"/>
        <color theme="1"/>
        <rFont val="Calibri"/>
        <charset val="134"/>
      </rPr>
      <t>°</t>
    </r>
  </si>
  <si>
    <t xml:space="preserve">  u = u of M2</t>
  </si>
  <si>
    <t>S0</t>
  </si>
  <si>
    <t>K2</t>
  </si>
  <si>
    <t>: H = (H of S2) x 0.27</t>
  </si>
  <si>
    <t>4d</t>
  </si>
  <si>
    <t xml:space="preserve">H </t>
  </si>
  <si>
    <t xml:space="preserve">  g = g of S2</t>
  </si>
  <si>
    <r>
      <rPr>
        <b/>
        <sz val="11"/>
        <color theme="1"/>
        <rFont val="Calibri"/>
        <charset val="134"/>
        <scheme val="minor"/>
      </rPr>
      <t>g</t>
    </r>
    <r>
      <rPr>
        <b/>
        <sz val="11"/>
        <color theme="1"/>
        <rFont val="Calibri"/>
        <charset val="134"/>
      </rPr>
      <t>°</t>
    </r>
  </si>
  <si>
    <t>P1</t>
  </si>
  <si>
    <t>: H = (H of K1) x 0.33</t>
  </si>
  <si>
    <t xml:space="preserve">  g = g of K1</t>
  </si>
  <si>
    <t>Formzahl</t>
  </si>
  <si>
    <t>Tinggi air max</t>
  </si>
  <si>
    <t>m</t>
  </si>
  <si>
    <t>Tinggi air min</t>
  </si>
  <si>
    <t>HASIL KONSTANTA HARMONIS</t>
  </si>
  <si>
    <t>Tunggang Pasut</t>
  </si>
  <si>
    <t>Konstanta</t>
  </si>
  <si>
    <r>
      <rPr>
        <b/>
        <sz val="11"/>
        <color theme="0"/>
        <rFont val="Arial"/>
        <charset val="134"/>
      </rPr>
      <t>S</t>
    </r>
    <r>
      <rPr>
        <b/>
        <vertAlign val="subscript"/>
        <sz val="11"/>
        <color theme="0"/>
        <rFont val="Arial"/>
        <charset val="134"/>
      </rPr>
      <t>0</t>
    </r>
  </si>
  <si>
    <r>
      <rPr>
        <b/>
        <sz val="11"/>
        <color theme="0"/>
        <rFont val="Arial"/>
        <charset val="134"/>
      </rPr>
      <t>M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</si>
  <si>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S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</si>
  <si>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N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</si>
  <si>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K</t>
    </r>
    <r>
      <rPr>
        <b/>
        <vertAlign val="subscript"/>
        <sz val="11"/>
        <color theme="0"/>
        <rFont val="Arial"/>
        <charset val="134"/>
      </rPr>
      <t>1</t>
    </r>
  </si>
  <si>
    <r>
      <rPr>
        <b/>
        <sz val="11"/>
        <color theme="0"/>
        <rFont val="Arial"/>
        <charset val="134"/>
      </rPr>
      <t>O</t>
    </r>
    <r>
      <rPr>
        <b/>
        <vertAlign val="subscript"/>
        <sz val="11"/>
        <color theme="0"/>
        <rFont val="Arial"/>
        <charset val="134"/>
      </rPr>
      <t>1</t>
    </r>
  </si>
  <si>
    <r>
      <rPr>
        <b/>
        <sz val="11"/>
        <color theme="0"/>
        <rFont val="Arial"/>
        <charset val="134"/>
      </rPr>
      <t>M</t>
    </r>
    <r>
      <rPr>
        <b/>
        <vertAlign val="subscript"/>
        <sz val="11"/>
        <color theme="0"/>
        <rFont val="Arial"/>
        <charset val="134"/>
      </rPr>
      <t>4</t>
    </r>
  </si>
  <si>
    <r>
      <rPr>
        <b/>
        <sz val="11"/>
        <color theme="0"/>
        <rFont val="Arial"/>
        <charset val="134"/>
      </rPr>
      <t>MS</t>
    </r>
    <r>
      <rPr>
        <b/>
        <vertAlign val="subscript"/>
        <sz val="11"/>
        <color theme="0"/>
        <rFont val="Arial"/>
        <charset val="134"/>
      </rPr>
      <t>4</t>
    </r>
  </si>
  <si>
    <r>
      <rPr>
        <b/>
        <sz val="11"/>
        <color theme="0"/>
        <rFont val="Arial"/>
        <charset val="134"/>
      </rPr>
      <t>K</t>
    </r>
    <r>
      <rPr>
        <b/>
        <vertAlign val="subscript"/>
        <sz val="11"/>
        <color theme="0"/>
        <rFont val="Arial"/>
        <charset val="134"/>
      </rPr>
      <t>2</t>
    </r>
  </si>
  <si>
    <r>
      <rPr>
        <b/>
        <sz val="11"/>
        <color theme="0"/>
        <rFont val="Arial"/>
        <charset val="134"/>
      </rPr>
      <t>P</t>
    </r>
    <r>
      <rPr>
        <b/>
        <vertAlign val="subscript"/>
        <sz val="11"/>
        <color theme="0"/>
        <rFont val="Arial"/>
        <charset val="134"/>
      </rPr>
      <t>1</t>
    </r>
  </si>
  <si>
    <t>A  Cm</t>
  </si>
  <si>
    <t>g °</t>
  </si>
  <si>
    <t>Dimana Nilai Formzahl dan Tipe Pasutnya adalah;</t>
  </si>
  <si>
    <r>
      <rPr>
        <b/>
        <u/>
        <sz val="11"/>
        <color theme="1"/>
        <rFont val="Arial"/>
        <charset val="134"/>
      </rPr>
      <t>=</t>
    </r>
    <r>
      <rPr>
        <u/>
        <sz val="11"/>
        <color theme="1"/>
        <rFont val="Arial"/>
        <charset val="134"/>
      </rPr>
      <t xml:space="preserve"> Harian Ganda  0 &lt; F &lt;= 0.25</t>
    </r>
  </si>
  <si>
    <r>
      <rPr>
        <b/>
        <u/>
        <sz val="11"/>
        <color theme="1"/>
        <rFont val="Arial"/>
        <charset val="134"/>
      </rPr>
      <t xml:space="preserve">= </t>
    </r>
    <r>
      <rPr>
        <u/>
        <sz val="11"/>
        <color theme="1"/>
        <rFont val="Arial"/>
        <charset val="134"/>
      </rPr>
      <t>Campuran Condong Harian Ganda   0.25 &lt; F &lt;= 1.5</t>
    </r>
  </si>
  <si>
    <r>
      <rPr>
        <b/>
        <u/>
        <sz val="11"/>
        <color theme="1"/>
        <rFont val="Arial"/>
        <charset val="134"/>
      </rPr>
      <t>=</t>
    </r>
    <r>
      <rPr>
        <u/>
        <sz val="11"/>
        <color theme="1"/>
        <rFont val="Arial"/>
        <charset val="134"/>
      </rPr>
      <t xml:space="preserve"> Campuran Condong Harian tunggal   1.5 &lt; F &lt;= 3.0</t>
    </r>
  </si>
  <si>
    <r>
      <rPr>
        <b/>
        <u/>
        <sz val="11"/>
        <color theme="1"/>
        <rFont val="Arial"/>
        <charset val="134"/>
      </rPr>
      <t>=</t>
    </r>
    <r>
      <rPr>
        <u/>
        <sz val="11"/>
        <color theme="1"/>
        <rFont val="Arial"/>
        <charset val="134"/>
      </rPr>
      <t xml:space="preserve"> Harian Tunggal   F &gt; 3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</si>
</sst>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0.000"/>
    <numFmt numFmtId="181" formatCode="#,##0.000"/>
    <numFmt numFmtId="182" formatCode="0.0"/>
    <numFmt numFmtId="183" formatCode="0.0000000"/>
    <numFmt numFmtId="184" formatCode="0.00000000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name val="Times New Roman"/>
      <charset val="134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name val="Arial"/>
      <charset val="134"/>
    </font>
    <font>
      <b/>
      <u/>
      <sz val="11"/>
      <color theme="1"/>
      <name val="Arial"/>
      <charset val="134"/>
    </font>
    <font>
      <i/>
      <u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0"/>
      <name val="Arial"/>
      <charset val="134"/>
    </font>
    <font>
      <b/>
      <i/>
      <u/>
      <sz val="11"/>
      <color theme="1"/>
      <name val="Arial"/>
      <charset val="134"/>
    </font>
    <font>
      <u/>
      <sz val="11"/>
      <color theme="1"/>
      <name val="Arial"/>
      <charset val="134"/>
    </font>
    <font>
      <b/>
      <i/>
      <u/>
      <sz val="11"/>
      <color rgb="FF0000FF"/>
      <name val="Arial"/>
      <charset val="134"/>
    </font>
    <font>
      <b/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vertAlign val="subscript"/>
      <sz val="11"/>
      <color theme="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5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53" applyNumberFormat="0" applyAlignment="0" applyProtection="0">
      <alignment vertical="center"/>
    </xf>
    <xf numFmtId="0" fontId="28" fillId="7" borderId="54" applyNumberFormat="0" applyAlignment="0" applyProtection="0">
      <alignment vertical="center"/>
    </xf>
    <xf numFmtId="0" fontId="29" fillId="7" borderId="53" applyNumberFormat="0" applyAlignment="0" applyProtection="0">
      <alignment vertical="center"/>
    </xf>
    <xf numFmtId="0" fontId="30" fillId="8" borderId="55" applyNumberFormat="0" applyAlignment="0" applyProtection="0">
      <alignment vertical="center"/>
    </xf>
    <xf numFmtId="0" fontId="31" fillId="0" borderId="56" applyNumberFormat="0" applyFill="0" applyAlignment="0" applyProtection="0">
      <alignment vertical="center"/>
    </xf>
    <xf numFmtId="0" fontId="32" fillId="0" borderId="57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1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80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58" fontId="0" fillId="0" borderId="8" xfId="0" applyNumberFormat="1" applyBorder="1" applyAlignment="1">
      <alignment horizontal="right"/>
    </xf>
    <xf numFmtId="1" fontId="4" fillId="0" borderId="9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58" fontId="0" fillId="2" borderId="8" xfId="0" applyNumberFormat="1" applyFill="1" applyBorder="1" applyAlignment="1">
      <alignment horizontal="right"/>
    </xf>
    <xf numFmtId="1" fontId="4" fillId="2" borderId="1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58" fontId="0" fillId="0" borderId="12" xfId="0" applyNumberFormat="1" applyBorder="1" applyAlignment="1">
      <alignment horizontal="right"/>
    </xf>
    <xf numFmtId="1" fontId="4" fillId="0" borderId="13" xfId="0" applyNumberFormat="1" applyFont="1" applyFill="1" applyBorder="1" applyAlignment="1">
      <alignment horizontal="center" vertical="center"/>
    </xf>
    <xf numFmtId="1" fontId="4" fillId="0" borderId="14" xfId="0" applyNumberFormat="1" applyFont="1" applyFill="1" applyBorder="1" applyAlignment="1">
      <alignment horizontal="center" vertical="center"/>
    </xf>
    <xf numFmtId="0" fontId="5" fillId="0" borderId="0" xfId="0" applyFont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4" fillId="0" borderId="20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180" fontId="1" fillId="0" borderId="22" xfId="0" applyNumberFormat="1" applyFont="1" applyBorder="1" applyAlignment="1">
      <alignment horizontal="center" vertical="center"/>
    </xf>
    <xf numFmtId="180" fontId="1" fillId="0" borderId="23" xfId="0" applyNumberFormat="1" applyFont="1" applyBorder="1" applyAlignment="1">
      <alignment horizontal="center" vertical="center"/>
    </xf>
    <xf numFmtId="1" fontId="4" fillId="0" borderId="24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1" fontId="4" fillId="2" borderId="24" xfId="0" applyNumberFormat="1" applyFont="1" applyFill="1" applyBorder="1" applyAlignment="1">
      <alignment horizontal="center" vertical="center"/>
    </xf>
    <xf numFmtId="1" fontId="4" fillId="0" borderId="26" xfId="0" applyNumberFormat="1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180" fontId="1" fillId="0" borderId="0" xfId="0" applyNumberFormat="1" applyFont="1"/>
    <xf numFmtId="180" fontId="6" fillId="0" borderId="0" xfId="0" applyNumberFormat="1" applyFont="1" applyAlignment="1">
      <alignment horizontal="center" vertical="center"/>
    </xf>
    <xf numFmtId="180" fontId="6" fillId="0" borderId="0" xfId="0" applyNumberFormat="1" applyFont="1"/>
    <xf numFmtId="49" fontId="1" fillId="0" borderId="5" xfId="0" applyNumberFormat="1" applyFont="1" applyBorder="1" applyAlignment="1">
      <alignment horizontal="center"/>
    </xf>
    <xf numFmtId="180" fontId="1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180" fontId="0" fillId="0" borderId="0" xfId="0" applyNumberFormat="1"/>
    <xf numFmtId="0" fontId="1" fillId="0" borderId="5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80" fontId="1" fillId="0" borderId="15" xfId="0" applyNumberFormat="1" applyFont="1" applyBorder="1" applyAlignment="1">
      <alignment horizontal="center" vertical="center"/>
    </xf>
    <xf numFmtId="180" fontId="1" fillId="0" borderId="19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180" fontId="1" fillId="0" borderId="28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5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center"/>
    </xf>
    <xf numFmtId="180" fontId="1" fillId="0" borderId="31" xfId="0" applyNumberFormat="1" applyFont="1" applyBorder="1" applyAlignment="1">
      <alignment horizontal="center"/>
    </xf>
    <xf numFmtId="180" fontId="1" fillId="0" borderId="29" xfId="0" applyNumberFormat="1" applyFont="1" applyBorder="1" applyAlignment="1">
      <alignment horizontal="center"/>
    </xf>
    <xf numFmtId="180" fontId="1" fillId="0" borderId="30" xfId="0" applyNumberFormat="1" applyFont="1" applyBorder="1" applyAlignment="1">
      <alignment horizontal="center"/>
    </xf>
    <xf numFmtId="0" fontId="1" fillId="0" borderId="28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180" fontId="1" fillId="0" borderId="33" xfId="0" applyNumberFormat="1" applyFont="1" applyBorder="1" applyAlignment="1">
      <alignment horizontal="center"/>
    </xf>
    <xf numFmtId="180" fontId="1" fillId="0" borderId="32" xfId="0" applyNumberFormat="1" applyFont="1" applyBorder="1" applyAlignment="1">
      <alignment horizontal="center"/>
    </xf>
    <xf numFmtId="180" fontId="1" fillId="0" borderId="0" xfId="0" applyNumberFormat="1" applyFont="1" applyAlignment="1">
      <alignment horizontal="center"/>
    </xf>
    <xf numFmtId="0" fontId="1" fillId="0" borderId="28" xfId="0" applyFont="1" applyBorder="1"/>
    <xf numFmtId="0" fontId="1" fillId="0" borderId="32" xfId="0" applyFont="1" applyBorder="1"/>
    <xf numFmtId="0" fontId="1" fillId="0" borderId="19" xfId="0" applyFont="1" applyBorder="1"/>
    <xf numFmtId="0" fontId="1" fillId="0" borderId="34" xfId="0" applyFont="1" applyBorder="1"/>
    <xf numFmtId="0" fontId="1" fillId="0" borderId="35" xfId="0" applyFont="1" applyBorder="1" applyAlignment="1">
      <alignment horizontal="center"/>
    </xf>
    <xf numFmtId="180" fontId="1" fillId="0" borderId="36" xfId="0" applyNumberFormat="1" applyFont="1" applyBorder="1" applyAlignment="1">
      <alignment horizontal="center"/>
    </xf>
    <xf numFmtId="180" fontId="1" fillId="0" borderId="34" xfId="0" applyNumberFormat="1" applyFont="1" applyBorder="1" applyAlignment="1">
      <alignment horizontal="center"/>
    </xf>
    <xf numFmtId="180" fontId="1" fillId="0" borderId="35" xfId="0" applyNumberFormat="1" applyFont="1" applyBorder="1" applyAlignment="1">
      <alignment horizontal="center"/>
    </xf>
    <xf numFmtId="180" fontId="7" fillId="0" borderId="33" xfId="0" applyNumberFormat="1" applyFont="1" applyBorder="1" applyAlignment="1">
      <alignment horizontal="center"/>
    </xf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3" xfId="0" applyFont="1" applyBorder="1"/>
    <xf numFmtId="1" fontId="1" fillId="0" borderId="28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right"/>
    </xf>
    <xf numFmtId="0" fontId="1" fillId="0" borderId="15" xfId="0" applyFont="1" applyBorder="1" applyAlignment="1">
      <alignment horizontal="center" vertical="center"/>
    </xf>
    <xf numFmtId="0" fontId="1" fillId="0" borderId="28" xfId="0" applyFont="1" applyBorder="1" applyAlignment="1">
      <alignment horizontal="right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/>
    </xf>
    <xf numFmtId="180" fontId="1" fillId="0" borderId="37" xfId="0" applyNumberFormat="1" applyFont="1" applyBorder="1" applyAlignment="1">
      <alignment horizontal="center" vertical="center"/>
    </xf>
    <xf numFmtId="180" fontId="1" fillId="0" borderId="38" xfId="0" applyNumberFormat="1" applyFont="1" applyBorder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0" fontId="8" fillId="0" borderId="0" xfId="0" applyFont="1"/>
    <xf numFmtId="180" fontId="8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4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180" fontId="1" fillId="3" borderId="28" xfId="0" applyNumberFormat="1" applyFont="1" applyFill="1" applyBorder="1" applyAlignment="1">
      <alignment horizontal="center" vertical="center"/>
    </xf>
    <xf numFmtId="0" fontId="1" fillId="2" borderId="29" xfId="0" applyFont="1" applyFill="1" applyBorder="1"/>
    <xf numFmtId="0" fontId="1" fillId="2" borderId="30" xfId="0" applyFont="1" applyFill="1" applyBorder="1"/>
    <xf numFmtId="0" fontId="1" fillId="2" borderId="32" xfId="0" applyFont="1" applyFill="1" applyBorder="1"/>
    <xf numFmtId="0" fontId="1" fillId="2" borderId="0" xfId="0" applyFont="1" applyFill="1"/>
    <xf numFmtId="0" fontId="1" fillId="2" borderId="34" xfId="0" applyFont="1" applyFill="1" applyBorder="1"/>
    <xf numFmtId="0" fontId="1" fillId="2" borderId="35" xfId="0" applyFont="1" applyFill="1" applyBorder="1"/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>
      <alignment horizontal="right" vertical="center"/>
    </xf>
    <xf numFmtId="0" fontId="10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81" fontId="9" fillId="0" borderId="0" xfId="0" applyNumberFormat="1" applyFont="1" applyAlignment="1" applyProtection="1">
      <alignment horizontal="right" vertical="center"/>
      <protection locked="0"/>
    </xf>
    <xf numFmtId="0" fontId="13" fillId="4" borderId="39" xfId="0" applyFont="1" applyFill="1" applyBorder="1" applyAlignment="1" applyProtection="1">
      <alignment horizontal="center" vertical="center"/>
      <protection hidden="1"/>
    </xf>
    <xf numFmtId="0" fontId="13" fillId="4" borderId="40" xfId="0" applyFont="1" applyFill="1" applyBorder="1" applyAlignment="1" applyProtection="1">
      <alignment horizontal="center" vertical="center"/>
      <protection hidden="1"/>
    </xf>
    <xf numFmtId="0" fontId="12" fillId="3" borderId="8" xfId="0" applyFont="1" applyFill="1" applyBorder="1" applyAlignment="1" applyProtection="1">
      <alignment horizontal="center" vertical="center"/>
      <protection hidden="1"/>
    </xf>
    <xf numFmtId="0" fontId="12" fillId="3" borderId="41" xfId="0" applyFont="1" applyFill="1" applyBorder="1" applyAlignment="1" applyProtection="1">
      <alignment horizontal="center" vertical="center"/>
      <protection hidden="1"/>
    </xf>
    <xf numFmtId="0" fontId="12" fillId="3" borderId="12" xfId="0" applyFont="1" applyFill="1" applyBorder="1" applyAlignment="1" applyProtection="1">
      <alignment horizontal="center" vertical="center"/>
      <protection hidden="1"/>
    </xf>
    <xf numFmtId="0" fontId="12" fillId="3" borderId="42" xfId="0" applyFont="1" applyFill="1" applyBorder="1" applyAlignment="1" applyProtection="1">
      <alignment horizontal="center" vertical="center"/>
      <protection hidden="1"/>
    </xf>
    <xf numFmtId="182" fontId="14" fillId="0" borderId="0" xfId="0" applyNumberFormat="1" applyFont="1" applyAlignment="1">
      <alignment horizontal="center" vertical="center"/>
    </xf>
    <xf numFmtId="0" fontId="15" fillId="0" borderId="0" xfId="0" applyFont="1" applyAlignment="1" applyProtection="1">
      <alignment horizontal="left" vertical="center"/>
      <protection hidden="1"/>
    </xf>
    <xf numFmtId="180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1" fillId="0" borderId="31" xfId="0" applyFont="1" applyBorder="1" applyAlignment="1">
      <alignment horizontal="left"/>
    </xf>
    <xf numFmtId="183" fontId="1" fillId="0" borderId="0" xfId="0" applyNumberFormat="1" applyFont="1" applyAlignment="1">
      <alignment horizontal="right"/>
    </xf>
    <xf numFmtId="0" fontId="1" fillId="0" borderId="33" xfId="0" applyFont="1" applyBorder="1" applyAlignment="1">
      <alignment horizontal="left"/>
    </xf>
    <xf numFmtId="183" fontId="1" fillId="0" borderId="35" xfId="0" applyNumberFormat="1" applyFont="1" applyBorder="1" applyAlignment="1">
      <alignment horizontal="right"/>
    </xf>
    <xf numFmtId="0" fontId="1" fillId="0" borderId="36" xfId="0" applyFont="1" applyBorder="1" applyAlignment="1">
      <alignment horizontal="left"/>
    </xf>
    <xf numFmtId="184" fontId="1" fillId="0" borderId="33" xfId="0" applyNumberFormat="1" applyFont="1" applyBorder="1" applyAlignment="1">
      <alignment horizontal="right" vertical="center"/>
    </xf>
    <xf numFmtId="184" fontId="1" fillId="0" borderId="33" xfId="0" applyNumberFormat="1" applyFont="1" applyBorder="1" applyAlignment="1">
      <alignment horizontal="right"/>
    </xf>
    <xf numFmtId="184" fontId="1" fillId="0" borderId="36" xfId="0" applyNumberFormat="1" applyFont="1" applyBorder="1" applyAlignment="1">
      <alignment horizontal="right" vertical="center"/>
    </xf>
    <xf numFmtId="180" fontId="1" fillId="0" borderId="33" xfId="0" applyNumberFormat="1" applyFont="1" applyBorder="1" applyAlignment="1">
      <alignment horizontal="right"/>
    </xf>
    <xf numFmtId="0" fontId="17" fillId="0" borderId="0" xfId="0" applyFont="1"/>
    <xf numFmtId="180" fontId="1" fillId="0" borderId="33" xfId="0" applyNumberFormat="1" applyFont="1" applyBorder="1" applyAlignment="1">
      <alignment horizontal="right" vertical="center"/>
    </xf>
    <xf numFmtId="0" fontId="1" fillId="2" borderId="31" xfId="0" applyFont="1" applyFill="1" applyBorder="1"/>
    <xf numFmtId="0" fontId="1" fillId="2" borderId="33" xfId="0" applyFont="1" applyFill="1" applyBorder="1"/>
    <xf numFmtId="180" fontId="1" fillId="2" borderId="33" xfId="0" applyNumberFormat="1" applyFont="1" applyFill="1" applyBorder="1"/>
    <xf numFmtId="180" fontId="1" fillId="2" borderId="36" xfId="0" applyNumberFormat="1" applyFont="1" applyFill="1" applyBorder="1"/>
    <xf numFmtId="0" fontId="7" fillId="0" borderId="0" xfId="0" applyFont="1"/>
    <xf numFmtId="0" fontId="18" fillId="0" borderId="0" xfId="0" applyFont="1"/>
    <xf numFmtId="0" fontId="18" fillId="0" borderId="0" xfId="0" applyFont="1" applyProtection="1">
      <protection hidden="1"/>
    </xf>
    <xf numFmtId="0" fontId="13" fillId="4" borderId="43" xfId="0" applyFont="1" applyFill="1" applyBorder="1" applyAlignment="1" applyProtection="1">
      <alignment horizontal="center" vertical="center"/>
      <protection hidden="1"/>
    </xf>
    <xf numFmtId="0" fontId="13" fillId="4" borderId="44" xfId="0" applyFont="1" applyFill="1" applyBorder="1" applyAlignment="1" applyProtection="1">
      <alignment horizontal="center" vertical="center"/>
      <protection hidden="1"/>
    </xf>
    <xf numFmtId="180" fontId="12" fillId="3" borderId="45" xfId="0" applyNumberFormat="1" applyFont="1" applyFill="1" applyBorder="1" applyAlignment="1" applyProtection="1">
      <alignment horizontal="center" vertical="center"/>
      <protection hidden="1"/>
    </xf>
    <xf numFmtId="180" fontId="12" fillId="3" borderId="46" xfId="0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13" fillId="4" borderId="47" xfId="0" applyFont="1" applyFill="1" applyBorder="1" applyAlignment="1" applyProtection="1">
      <alignment horizontal="center" vertical="center"/>
      <protection hidden="1"/>
    </xf>
    <xf numFmtId="180" fontId="12" fillId="3" borderId="48" xfId="0" applyNumberFormat="1" applyFont="1" applyFill="1" applyBorder="1" applyAlignment="1" applyProtection="1">
      <alignment horizontal="center" vertical="center"/>
      <protection hidden="1"/>
    </xf>
    <xf numFmtId="180" fontId="12" fillId="3" borderId="49" xfId="0" applyNumberFormat="1" applyFont="1" applyFill="1" applyBorder="1" applyAlignment="1" applyProtection="1">
      <alignment horizontal="center" vertical="center"/>
      <protection hidden="1"/>
    </xf>
    <xf numFmtId="180" fontId="12" fillId="3" borderId="14" xfId="0" applyNumberFormat="1" applyFont="1" applyFill="1" applyBorder="1" applyAlignment="1" applyProtection="1">
      <alignment horizontal="center" vertical="center"/>
      <protection hidden="1"/>
    </xf>
    <xf numFmtId="180" fontId="12" fillId="3" borderId="26" xfId="0" applyNumberFormat="1" applyFont="1" applyFill="1" applyBorder="1" applyAlignment="1" applyProtection="1">
      <alignment horizontal="center" vertical="center"/>
      <protection hidden="1"/>
    </xf>
    <xf numFmtId="180" fontId="5" fillId="0" borderId="0" xfId="0" applyNumberFormat="1" applyFont="1"/>
    <xf numFmtId="0" fontId="12" fillId="3" borderId="12" xfId="0" applyFont="1" applyFill="1" applyBorder="1" applyAlignment="1" applyProtection="1" quotePrefix="1">
      <alignment horizontal="center" vertical="center"/>
      <protection hidden="1"/>
    </xf>
    <xf numFmtId="0" fontId="15" fillId="0" borderId="0" xfId="0" applyFont="1" applyAlignment="1" applyProtection="1" quotePrefix="1">
      <alignment horizontal="left" vertical="center"/>
      <protection hidden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3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Grafik Elevasi Muka Air Laut di Bitung</a:t>
            </a:r>
            <a:r>
              <a:rPr lang="en-US" sz="3200" baseline="0"/>
              <a:t> pada Agustus</a:t>
            </a:r>
            <a:r>
              <a:rPr lang="en-US" sz="3200"/>
              <a:t> 2009</a:t>
            </a:r>
            <a:endParaRPr lang="en-US" sz="3200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'Langkah Perhitungan'!$B$12</c:f>
              <c:strCache>
                <c:ptCount val="1"/>
                <c:pt idx="0">
                  <c:v>1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Perhitungan'!$C$12:$Z$12</c:f>
              <c:numCache>
                <c:formatCode>0</c:formatCode>
                <c:ptCount val="24"/>
                <c:pt idx="0">
                  <c:v>128.810347530382</c:v>
                </c:pt>
                <c:pt idx="1">
                  <c:v>120.783493321635</c:v>
                </c:pt>
                <c:pt idx="2">
                  <c:v>114.87715171087</c:v>
                </c:pt>
                <c:pt idx="3">
                  <c:v>112.302581719619</c:v>
                </c:pt>
                <c:pt idx="4">
                  <c:v>113.047381238877</c:v>
                </c:pt>
                <c:pt idx="5">
                  <c:v>116.248085965862</c:v>
                </c:pt>
                <c:pt idx="6">
                  <c:v>120.783540884468</c:v>
                </c:pt>
                <c:pt idx="7">
                  <c:v>125.638018280463</c:v>
                </c:pt>
                <c:pt idx="8">
                  <c:v>129.987038424056</c:v>
                </c:pt>
                <c:pt idx="9">
                  <c:v>133.251199364288</c:v>
                </c:pt>
                <c:pt idx="10">
                  <c:v>135.276574565686</c:v>
                </c:pt>
                <c:pt idx="11">
                  <c:v>136.534969271982</c:v>
                </c:pt>
                <c:pt idx="12">
                  <c:v>138.115607564044</c:v>
                </c:pt>
                <c:pt idx="13">
                  <c:v>141.383283700309</c:v>
                </c:pt>
                <c:pt idx="14">
                  <c:v>147.384954667749</c:v>
                </c:pt>
                <c:pt idx="15">
                  <c:v>156.268244232652</c:v>
                </c:pt>
                <c:pt idx="16">
                  <c:v>167.025693232772</c:v>
                </c:pt>
                <c:pt idx="17">
                  <c:v>177.719263839766</c:v>
                </c:pt>
                <c:pt idx="18">
                  <c:v>186.05387419262</c:v>
                </c:pt>
                <c:pt idx="19">
                  <c:v>190.001803824005</c:v>
                </c:pt>
                <c:pt idx="20">
                  <c:v>188.262008369791</c:v>
                </c:pt>
                <c:pt idx="21">
                  <c:v>180.522278772494</c:v>
                </c:pt>
                <c:pt idx="22">
                  <c:v>167.566749770097</c:v>
                </c:pt>
                <c:pt idx="23">
                  <c:v>151.218881210191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'Langkah Perhitungan'!$B$13</c:f>
              <c:strCache>
                <c:ptCount val="1"/>
                <c:pt idx="0">
                  <c:v>2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Perhitungan'!$C$13:$Z$13</c:f>
              <c:numCache>
                <c:formatCode>0</c:formatCode>
                <c:ptCount val="24"/>
                <c:pt idx="0">
                  <c:v>134.064678286508</c:v>
                </c:pt>
                <c:pt idx="1">
                  <c:v>118.949398862479</c:v>
                </c:pt>
                <c:pt idx="2">
                  <c:v>108.346400945007</c:v>
                </c:pt>
                <c:pt idx="3">
                  <c:v>103.773789549127</c:v>
                </c:pt>
                <c:pt idx="4">
                  <c:v>105.437801674528</c:v>
                </c:pt>
                <c:pt idx="5">
                  <c:v>112.215760687018</c:v>
                </c:pt>
                <c:pt idx="6">
                  <c:v>121.979485814319</c:v>
                </c:pt>
                <c:pt idx="7">
                  <c:v>132.147324753629</c:v>
                </c:pt>
                <c:pt idx="8">
                  <c:v>140.304993101381</c:v>
                </c:pt>
                <c:pt idx="9">
                  <c:v>144.770576155973</c:v>
                </c:pt>
                <c:pt idx="10">
                  <c:v>145.024278757748</c:v>
                </c:pt>
                <c:pt idx="11">
                  <c:v>141.908736021644</c:v>
                </c:pt>
                <c:pt idx="12">
                  <c:v>137.480604027032</c:v>
                </c:pt>
                <c:pt idx="13">
                  <c:v>134.464057625949</c:v>
                </c:pt>
                <c:pt idx="14">
                  <c:v>135.419341337122</c:v>
                </c:pt>
                <c:pt idx="15">
                  <c:v>141.87835272525</c:v>
                </c:pt>
                <c:pt idx="16">
                  <c:v>153.728140318733</c:v>
                </c:pt>
                <c:pt idx="17">
                  <c:v>169.052731650348</c:v>
                </c:pt>
                <c:pt idx="18">
                  <c:v>184.519129674282</c:v>
                </c:pt>
                <c:pt idx="19">
                  <c:v>196.23824268345</c:v>
                </c:pt>
                <c:pt idx="20">
                  <c:v>200.865195055202</c:v>
                </c:pt>
                <c:pt idx="21">
                  <c:v>196.584712555108</c:v>
                </c:pt>
                <c:pt idx="22">
                  <c:v>183.642595012915</c:v>
                </c:pt>
                <c:pt idx="23">
                  <c:v>164.26004695447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'Langkah Perhitungan'!$B$14</c:f>
              <c:strCache>
                <c:ptCount val="1"/>
                <c:pt idx="0">
                  <c:v>3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Perhitungan'!$C$14:$Z$14</c:f>
              <c:numCache>
                <c:formatCode>0</c:formatCode>
                <c:ptCount val="24"/>
                <c:pt idx="0">
                  <c:v>142.015109738147</c:v>
                </c:pt>
                <c:pt idx="1">
                  <c:v>120.955524564737</c:v>
                </c:pt>
                <c:pt idx="2">
                  <c:v>104.732656741408</c:v>
                </c:pt>
                <c:pt idx="3">
                  <c:v>95.9285152427271</c:v>
                </c:pt>
                <c:pt idx="4">
                  <c:v>95.5992084717984</c:v>
                </c:pt>
                <c:pt idx="5">
                  <c:v>103.020386354153</c:v>
                </c:pt>
                <c:pt idx="6">
                  <c:v>115.719534157937</c:v>
                </c:pt>
                <c:pt idx="7">
                  <c:v>129.963668988414</c:v>
                </c:pt>
                <c:pt idx="8">
                  <c:v>141.755428487267</c:v>
                </c:pt>
                <c:pt idx="9">
                  <c:v>148.080433911271</c:v>
                </c:pt>
                <c:pt idx="10">
                  <c:v>147.883487493251</c:v>
                </c:pt>
                <c:pt idx="11">
                  <c:v>142.307820893777</c:v>
                </c:pt>
                <c:pt idx="12">
                  <c:v>134.139639190846</c:v>
                </c:pt>
                <c:pt idx="13">
                  <c:v>126.844058215023</c:v>
                </c:pt>
                <c:pt idx="14">
                  <c:v>123.667654905917</c:v>
                </c:pt>
                <c:pt idx="15">
                  <c:v>126.979380083785</c:v>
                </c:pt>
                <c:pt idx="16">
                  <c:v>137.716763664613</c:v>
                </c:pt>
                <c:pt idx="17">
                  <c:v>154.870472125513</c:v>
                </c:pt>
                <c:pt idx="18">
                  <c:v>175.275504452699</c:v>
                </c:pt>
                <c:pt idx="19">
                  <c:v>194.122192061906</c:v>
                </c:pt>
                <c:pt idx="20">
                  <c:v>206.281539539628</c:v>
                </c:pt>
                <c:pt idx="21">
                  <c:v>207.985945800953</c:v>
                </c:pt>
                <c:pt idx="22">
                  <c:v>198.104323803077</c:v>
                </c:pt>
                <c:pt idx="23">
                  <c:v>178.4562342159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'Langkah Perhitungan'!$B$15</c:f>
              <c:strCache>
                <c:ptCount val="1"/>
                <c:pt idx="0">
                  <c:v>4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Perhitungan'!$C$15:$Z$15</c:f>
              <c:numCache>
                <c:formatCode>0</c:formatCode>
                <c:ptCount val="24"/>
                <c:pt idx="0">
                  <c:v>153.139547851961</c:v>
                </c:pt>
                <c:pt idx="1">
                  <c:v>127.299034766417</c:v>
                </c:pt>
                <c:pt idx="2">
                  <c:v>105.872322969351</c:v>
                </c:pt>
                <c:pt idx="3">
                  <c:v>92.6388300325749</c:v>
                </c:pt>
                <c:pt idx="4">
                  <c:v>89.6035623181771</c:v>
                </c:pt>
                <c:pt idx="5">
                  <c:v>96.6265924118032</c:v>
                </c:pt>
                <c:pt idx="6">
                  <c:v>111.327837123256</c:v>
                </c:pt>
                <c:pt idx="7">
                  <c:v>129.466790235654</c:v>
                </c:pt>
                <c:pt idx="8">
                  <c:v>145.954815828237</c:v>
                </c:pt>
                <c:pt idx="9">
                  <c:v>156.340343533802</c:v>
                </c:pt>
                <c:pt idx="10">
                  <c:v>158.234822412007</c:v>
                </c:pt>
                <c:pt idx="11">
                  <c:v>152.04307106269</c:v>
                </c:pt>
                <c:pt idx="12">
                  <c:v>140.674736795583</c:v>
                </c:pt>
                <c:pt idx="13">
                  <c:v>128.456472759516</c:v>
                </c:pt>
                <c:pt idx="14">
                  <c:v>119.826667824915</c:v>
                </c:pt>
                <c:pt idx="15">
                  <c:v>118.301050387087</c:v>
                </c:pt>
                <c:pt idx="16">
                  <c:v>125.796583446859</c:v>
                </c:pt>
                <c:pt idx="17">
                  <c:v>142.139274277344</c:v>
                </c:pt>
                <c:pt idx="18">
                  <c:v>164.732572308162</c:v>
                </c:pt>
                <c:pt idx="19">
                  <c:v>188.709590230535</c:v>
                </c:pt>
                <c:pt idx="20">
                  <c:v>207.945042152382</c:v>
                </c:pt>
                <c:pt idx="21">
                  <c:v>216.850769028112</c:v>
                </c:pt>
                <c:pt idx="22">
                  <c:v>212.269093320777</c:v>
                </c:pt>
                <c:pt idx="23">
                  <c:v>194.583416098472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'Langkah Perhitungan'!$B$16</c:f>
              <c:strCache>
                <c:ptCount val="1"/>
                <c:pt idx="0">
                  <c:v>5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Perhitungan'!$C$16:$Z$16</c:f>
              <c:numCache>
                <c:formatCode>0</c:formatCode>
                <c:ptCount val="24"/>
                <c:pt idx="0">
                  <c:v>167.57937936194</c:v>
                </c:pt>
                <c:pt idx="1">
                  <c:v>137.241986874922</c:v>
                </c:pt>
                <c:pt idx="2">
                  <c:v>110.066929330284</c:v>
                </c:pt>
                <c:pt idx="3">
                  <c:v>91.4627638781464</c:v>
                </c:pt>
                <c:pt idx="4">
                  <c:v>84.619389456293</c:v>
                </c:pt>
                <c:pt idx="5">
                  <c:v>89.9944680262207</c:v>
                </c:pt>
                <c:pt idx="6">
                  <c:v>105.375337649469</c:v>
                </c:pt>
                <c:pt idx="7">
                  <c:v>126.380726165886</c:v>
                </c:pt>
                <c:pt idx="8">
                  <c:v>147.340588422356</c:v>
                </c:pt>
                <c:pt idx="9">
                  <c:v>162.594464294481</c:v>
                </c:pt>
                <c:pt idx="10">
                  <c:v>168.101940876732</c:v>
                </c:pt>
                <c:pt idx="11">
                  <c:v>162.854183950589</c:v>
                </c:pt>
                <c:pt idx="12">
                  <c:v>149.340637791376</c:v>
                </c:pt>
                <c:pt idx="13">
                  <c:v>132.677250262411</c:v>
                </c:pt>
                <c:pt idx="14">
                  <c:v>118.780899152097</c:v>
                </c:pt>
                <c:pt idx="15">
                  <c:v>112.513361906771</c:v>
                </c:pt>
                <c:pt idx="16">
                  <c:v>116.543225482222</c:v>
                </c:pt>
                <c:pt idx="17">
                  <c:v>131.016317020419</c:v>
                </c:pt>
                <c:pt idx="18">
                  <c:v>153.659593935977</c:v>
                </c:pt>
                <c:pt idx="19">
                  <c:v>180.057695399577</c:v>
                </c:pt>
                <c:pt idx="20">
                  <c:v>204.252997768949</c:v>
                </c:pt>
                <c:pt idx="21">
                  <c:v>219.952491661053</c:v>
                </c:pt>
                <c:pt idx="22">
                  <c:v>222.270969115981</c:v>
                </c:pt>
                <c:pt idx="23">
                  <c:v>209.436513233243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'Langkah Perhitungan'!$B$17</c:f>
              <c:strCache>
                <c:ptCount val="1"/>
                <c:pt idx="0">
                  <c:v>6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Perhitungan'!$C$17:$Z$17</c:f>
              <c:numCache>
                <c:formatCode>0</c:formatCode>
                <c:ptCount val="24"/>
                <c:pt idx="0">
                  <c:v>183.687690292383</c:v>
                </c:pt>
                <c:pt idx="1">
                  <c:v>150.854074394462</c:v>
                </c:pt>
                <c:pt idx="2">
                  <c:v>118.668628803426</c:v>
                </c:pt>
                <c:pt idx="3">
                  <c:v>94.4318529720628</c:v>
                </c:pt>
                <c:pt idx="4">
                  <c:v>82.9502957817563</c:v>
                </c:pt>
                <c:pt idx="5">
                  <c:v>85.5021713253403</c:v>
                </c:pt>
                <c:pt idx="6">
                  <c:v>99.9980574352903</c:v>
                </c:pt>
                <c:pt idx="7">
                  <c:v>121.911976484531</c:v>
                </c:pt>
                <c:pt idx="8">
                  <c:v>145.419629892395</c:v>
                </c:pt>
                <c:pt idx="9">
                  <c:v>164.525108596705</c:v>
                </c:pt>
                <c:pt idx="10">
                  <c:v>174.301961576464</c:v>
                </c:pt>
                <c:pt idx="11">
                  <c:v>172.257564719685</c:v>
                </c:pt>
                <c:pt idx="12">
                  <c:v>159.360266825796</c:v>
                </c:pt>
                <c:pt idx="13">
                  <c:v>140.026588727843</c:v>
                </c:pt>
                <c:pt idx="14">
                  <c:v>120.765773362058</c:v>
                </c:pt>
                <c:pt idx="15">
                  <c:v>107.994123575831</c:v>
                </c:pt>
                <c:pt idx="16">
                  <c:v>106.061167565437</c:v>
                </c:pt>
                <c:pt idx="17">
                  <c:v>116.279324421709</c:v>
                </c:pt>
                <c:pt idx="18">
                  <c:v>136.972100905952</c:v>
                </c:pt>
                <c:pt idx="19">
                  <c:v>164.025147172388</c:v>
                </c:pt>
                <c:pt idx="20">
                  <c:v>191.582757151683</c:v>
                </c:pt>
                <c:pt idx="21">
                  <c:v>213.012175559177</c:v>
                </c:pt>
                <c:pt idx="22">
                  <c:v>222.37787945339</c:v>
                </c:pt>
                <c:pt idx="23">
                  <c:v>216.247068709943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'Langkah Perhitungan'!$B$18</c:f>
              <c:strCache>
                <c:ptCount val="1"/>
                <c:pt idx="0">
                  <c:v>7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Perhitungan'!$C$18:$Z$18</c:f>
              <c:numCache>
                <c:formatCode>0</c:formatCode>
                <c:ptCount val="24"/>
                <c:pt idx="0">
                  <c:v>195.128728412074</c:v>
                </c:pt>
                <c:pt idx="1">
                  <c:v>163.744638521542</c:v>
                </c:pt>
                <c:pt idx="2">
                  <c:v>129.774443408554</c:v>
                </c:pt>
                <c:pt idx="3">
                  <c:v>101.460995002706</c:v>
                </c:pt>
                <c:pt idx="4">
                  <c:v>85.0718586137388</c:v>
                </c:pt>
                <c:pt idx="5">
                  <c:v>83.2820410259337</c:v>
                </c:pt>
                <c:pt idx="6">
                  <c:v>94.9733912419965</c:v>
                </c:pt>
                <c:pt idx="7">
                  <c:v>116.126932670993</c:v>
                </c:pt>
                <c:pt idx="8">
                  <c:v>141.059514927802</c:v>
                </c:pt>
                <c:pt idx="9">
                  <c:v>163.532077970963</c:v>
                </c:pt>
                <c:pt idx="10">
                  <c:v>177.835921087368</c:v>
                </c:pt>
                <c:pt idx="11">
                  <c:v>180.126763929567</c:v>
                </c:pt>
                <c:pt idx="12">
                  <c:v>169.798116937251</c:v>
                </c:pt>
                <c:pt idx="13">
                  <c:v>150.121866316681</c:v>
                </c:pt>
                <c:pt idx="14">
                  <c:v>127.457886411125</c:v>
                </c:pt>
                <c:pt idx="15">
                  <c:v>109.136669477011</c:v>
                </c:pt>
                <c:pt idx="16">
                  <c:v>100.998201702483</c:v>
                </c:pt>
                <c:pt idx="17">
                  <c:v>105.758098521757</c:v>
                </c:pt>
                <c:pt idx="18">
                  <c:v>122.705731026779</c:v>
                </c:pt>
                <c:pt idx="19">
                  <c:v>148.334944536625</c:v>
                </c:pt>
                <c:pt idx="20">
                  <c:v>177.191226299277</c:v>
                </c:pt>
                <c:pt idx="21">
                  <c:v>202.685890910692</c:v>
                </c:pt>
                <c:pt idx="22">
                  <c:v>218.218201833401</c:v>
                </c:pt>
                <c:pt idx="23">
                  <c:v>218.884603657121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'Langkah Perhitungan'!$B$19</c:f>
              <c:strCache>
                <c:ptCount val="1"/>
                <c:pt idx="0">
                  <c:v>8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Perhitungan'!$C$19:$Z$19</c:f>
              <c:numCache>
                <c:formatCode>0</c:formatCode>
                <c:ptCount val="24"/>
                <c:pt idx="0">
                  <c:v>203.347406487623</c:v>
                </c:pt>
                <c:pt idx="1">
                  <c:v>174.847944817188</c:v>
                </c:pt>
                <c:pt idx="2">
                  <c:v>140.541351776989</c:v>
                </c:pt>
                <c:pt idx="3">
                  <c:v>109.221841042322</c:v>
                </c:pt>
                <c:pt idx="4">
                  <c:v>88.4400808286474</c:v>
                </c:pt>
                <c:pt idx="5">
                  <c:v>82.3251165486849</c:v>
                </c:pt>
                <c:pt idx="6">
                  <c:v>90.9108262730807</c:v>
                </c:pt>
                <c:pt idx="7">
                  <c:v>110.830327445524</c:v>
                </c:pt>
                <c:pt idx="8">
                  <c:v>136.603165567407</c:v>
                </c:pt>
                <c:pt idx="9">
                  <c:v>161.849650046516</c:v>
                </c:pt>
                <c:pt idx="10">
                  <c:v>180.371181722375</c:v>
                </c:pt>
                <c:pt idx="11">
                  <c:v>187.405858285929</c:v>
                </c:pt>
                <c:pt idx="12">
                  <c:v>181.062002456796</c:v>
                </c:pt>
                <c:pt idx="13">
                  <c:v>163.301091345079</c:v>
                </c:pt>
                <c:pt idx="14">
                  <c:v>139.665759678733</c:v>
                </c:pt>
                <c:pt idx="15">
                  <c:v>117.558053418249</c:v>
                </c:pt>
                <c:pt idx="16">
                  <c:v>103.779072994529</c:v>
                </c:pt>
                <c:pt idx="17">
                  <c:v>102.46860809131</c:v>
                </c:pt>
                <c:pt idx="18">
                  <c:v>114.2251137144</c:v>
                </c:pt>
                <c:pt idx="19">
                  <c:v>136.402851961663</c:v>
                </c:pt>
                <c:pt idx="20">
                  <c:v>164.022824572681</c:v>
                </c:pt>
                <c:pt idx="21">
                  <c:v>190.788400657253</c:v>
                </c:pt>
                <c:pt idx="22">
                  <c:v>210.164002841966</c:v>
                </c:pt>
                <c:pt idx="23">
                  <c:v>216.747208717517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'Langkah Perhitungan'!$B$20</c:f>
              <c:strCache>
                <c:ptCount val="1"/>
                <c:pt idx="0">
                  <c:v>9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Perhitungan'!$C$20:$Z$20</c:f>
              <c:numCache>
                <c:formatCode>0</c:formatCode>
                <c:ptCount val="24"/>
                <c:pt idx="0">
                  <c:v>207.87472618507</c:v>
                </c:pt>
                <c:pt idx="1">
                  <c:v>184.853669524666</c:v>
                </c:pt>
                <c:pt idx="2">
                  <c:v>153.030794629284</c:v>
                </c:pt>
                <c:pt idx="3">
                  <c:v>120.374870753327</c:v>
                </c:pt>
                <c:pt idx="4">
                  <c:v>95.0344140148793</c:v>
                </c:pt>
                <c:pt idx="5">
                  <c:v>82.8824284122359</c:v>
                </c:pt>
                <c:pt idx="6">
                  <c:v>86.0152506834885</c:v>
                </c:pt>
                <c:pt idx="7">
                  <c:v>102.603080960285</c:v>
                </c:pt>
                <c:pt idx="8">
                  <c:v>127.814327289896</c:v>
                </c:pt>
                <c:pt idx="9">
                  <c:v>155.208121070756</c:v>
                </c:pt>
                <c:pt idx="10">
                  <c:v>178.141454674599</c:v>
                </c:pt>
                <c:pt idx="11">
                  <c:v>191.085588557384</c:v>
                </c:pt>
                <c:pt idx="12">
                  <c:v>190.875771611696</c:v>
                </c:pt>
                <c:pt idx="13">
                  <c:v>177.699716842201</c:v>
                </c:pt>
                <c:pt idx="14">
                  <c:v>155.35423915295</c:v>
                </c:pt>
                <c:pt idx="15">
                  <c:v>130.369326546973</c:v>
                </c:pt>
                <c:pt idx="16">
                  <c:v>110.096357553714</c:v>
                </c:pt>
                <c:pt idx="17">
                  <c:v>100.443225589456</c:v>
                </c:pt>
                <c:pt idx="18">
                  <c:v>104.165288718824</c:v>
                </c:pt>
                <c:pt idx="19">
                  <c:v>120.307092907845</c:v>
                </c:pt>
                <c:pt idx="20">
                  <c:v>144.76381913674</c:v>
                </c:pt>
                <c:pt idx="21">
                  <c:v>171.46793633169</c:v>
                </c:pt>
                <c:pt idx="22">
                  <c:v>193.73072458972</c:v>
                </c:pt>
                <c:pt idx="23">
                  <c:v>205.615485596514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'Langkah Perhitungan'!$B$21</c:f>
              <c:strCache>
                <c:ptCount val="1"/>
                <c:pt idx="0">
                  <c:v>10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Perhitungan'!$C$21:$Z$21</c:f>
              <c:numCache>
                <c:formatCode>0</c:formatCode>
                <c:ptCount val="24"/>
                <c:pt idx="0">
                  <c:v>203.384213892857</c:v>
                </c:pt>
                <c:pt idx="1">
                  <c:v>186.786559053423</c:v>
                </c:pt>
                <c:pt idx="2">
                  <c:v>159.576562608648</c:v>
                </c:pt>
                <c:pt idx="3">
                  <c:v>128.694153207276</c:v>
                </c:pt>
                <c:pt idx="4">
                  <c:v>102.174847081305</c:v>
                </c:pt>
                <c:pt idx="5">
                  <c:v>86.6143715345538</c:v>
                </c:pt>
                <c:pt idx="6">
                  <c:v>85.3021359937927</c:v>
                </c:pt>
                <c:pt idx="7">
                  <c:v>97.7044834272803</c:v>
                </c:pt>
                <c:pt idx="8">
                  <c:v>120.164208195534</c:v>
                </c:pt>
                <c:pt idx="9">
                  <c:v>147.131466121404</c:v>
                </c:pt>
                <c:pt idx="10">
                  <c:v>172.342914491594</c:v>
                </c:pt>
                <c:pt idx="11">
                  <c:v>189.889461471494</c:v>
                </c:pt>
                <c:pt idx="12">
                  <c:v>195.42669412189</c:v>
                </c:pt>
                <c:pt idx="13">
                  <c:v>187.508221895746</c:v>
                </c:pt>
                <c:pt idx="14">
                  <c:v>168.455684155432</c:v>
                </c:pt>
                <c:pt idx="15">
                  <c:v>143.998959203406</c:v>
                </c:pt>
                <c:pt idx="16">
                  <c:v>121.478999051589</c:v>
                </c:pt>
                <c:pt idx="17">
                  <c:v>107.329242706351</c:v>
                </c:pt>
                <c:pt idx="18">
                  <c:v>105.058652497346</c:v>
                </c:pt>
                <c:pt idx="19">
                  <c:v>114.598265143169</c:v>
                </c:pt>
                <c:pt idx="20">
                  <c:v>132.952518251955</c:v>
                </c:pt>
                <c:pt idx="21">
                  <c:v>155.398076387876</c:v>
                </c:pt>
                <c:pt idx="22">
                  <c:v>176.527835938314</c:v>
                </c:pt>
                <c:pt idx="23">
                  <c:v>191.049108400235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'Langkah Perhitungan'!$B$22</c:f>
              <c:strCache>
                <c:ptCount val="1"/>
                <c:pt idx="0">
                  <c:v>11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Perhitungan'!$C$22:$Z$22</c:f>
              <c:numCache>
                <c:formatCode>0</c:formatCode>
                <c:ptCount val="24"/>
                <c:pt idx="0">
                  <c:v>194.707475495486</c:v>
                </c:pt>
                <c:pt idx="1">
                  <c:v>185.524187113827</c:v>
                </c:pt>
                <c:pt idx="2">
                  <c:v>164.908824330181</c:v>
                </c:pt>
                <c:pt idx="3">
                  <c:v>137.820759561588</c:v>
                </c:pt>
                <c:pt idx="4">
                  <c:v>111.482773692377</c:v>
                </c:pt>
                <c:pt idx="5">
                  <c:v>93.0194074099588</c:v>
                </c:pt>
                <c:pt idx="6">
                  <c:v>87.1149016872678</c:v>
                </c:pt>
                <c:pt idx="7">
                  <c:v>94.7686146186768</c:v>
                </c:pt>
                <c:pt idx="8">
                  <c:v>113.495125710222</c:v>
                </c:pt>
                <c:pt idx="9">
                  <c:v>138.486169156533</c:v>
                </c:pt>
                <c:pt idx="10">
                  <c:v>163.96231536328</c:v>
                </c:pt>
                <c:pt idx="11">
                  <c:v>184.291585908019</c:v>
                </c:pt>
                <c:pt idx="12">
                  <c:v>194.955094386232</c:v>
                </c:pt>
                <c:pt idx="13">
                  <c:v>193.544423632782</c:v>
                </c:pt>
                <c:pt idx="14">
                  <c:v>180.617538981448</c:v>
                </c:pt>
                <c:pt idx="15">
                  <c:v>159.877484219243</c:v>
                </c:pt>
                <c:pt idx="16">
                  <c:v>137.249934616324</c:v>
                </c:pt>
                <c:pt idx="17">
                  <c:v>119.027814742172</c:v>
                </c:pt>
                <c:pt idx="18">
                  <c:v>109.85728895169</c:v>
                </c:pt>
                <c:pt idx="19">
                  <c:v>111.461312224351</c:v>
                </c:pt>
                <c:pt idx="20">
                  <c:v>122.534783585748</c:v>
                </c:pt>
                <c:pt idx="21">
                  <c:v>139.562906320098</c:v>
                </c:pt>
                <c:pt idx="22">
                  <c:v>157.933431799116</c:v>
                </c:pt>
                <c:pt idx="23">
                  <c:v>172.881672692245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'Langkah Perhitungan'!$B$23</c:f>
              <c:strCache>
                <c:ptCount val="1"/>
                <c:pt idx="0">
                  <c:v>12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Perhitungan'!$C$23:$Z$23</c:f>
              <c:numCache>
                <c:formatCode>0</c:formatCode>
                <c:ptCount val="24"/>
                <c:pt idx="0">
                  <c:v>180.273514743555</c:v>
                </c:pt>
                <c:pt idx="1">
                  <c:v>177.472468476922</c:v>
                </c:pt>
                <c:pt idx="2">
                  <c:v>164.283185725408</c:v>
                </c:pt>
                <c:pt idx="3">
                  <c:v>143.500327877805</c:v>
                </c:pt>
                <c:pt idx="4">
                  <c:v>120.474766047145</c:v>
                </c:pt>
                <c:pt idx="5">
                  <c:v>101.576961088943</c:v>
                </c:pt>
                <c:pt idx="6">
                  <c:v>92.1383672391414</c:v>
                </c:pt>
                <c:pt idx="7">
                  <c:v>94.7930542772059</c:v>
                </c:pt>
                <c:pt idx="8">
                  <c:v>108.871478001658</c:v>
                </c:pt>
                <c:pt idx="9">
                  <c:v>130.889400549721</c:v>
                </c:pt>
                <c:pt idx="10">
                  <c:v>155.696947090607</c:v>
                </c:pt>
                <c:pt idx="11">
                  <c:v>177.768238700269</c:v>
                </c:pt>
                <c:pt idx="12">
                  <c:v>192.342439976655</c:v>
                </c:pt>
                <c:pt idx="13">
                  <c:v>196.375893734095</c:v>
                </c:pt>
                <c:pt idx="14">
                  <c:v>189.279909081095</c:v>
                </c:pt>
                <c:pt idx="15">
                  <c:v>173.230166208649</c:v>
                </c:pt>
                <c:pt idx="16">
                  <c:v>152.732210150812</c:v>
                </c:pt>
                <c:pt idx="17">
                  <c:v>133.352419982987</c:v>
                </c:pt>
                <c:pt idx="18">
                  <c:v>119.986746300287</c:v>
                </c:pt>
                <c:pt idx="19">
                  <c:v>115.382408679439</c:v>
                </c:pt>
                <c:pt idx="20">
                  <c:v>119.542421333697</c:v>
                </c:pt>
                <c:pt idx="21">
                  <c:v>130.145089295094</c:v>
                </c:pt>
                <c:pt idx="22">
                  <c:v>143.556924347532</c:v>
                </c:pt>
                <c:pt idx="23">
                  <c:v>155.84110991897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'Langkah Perhitungan'!$B$24</c:f>
              <c:strCache>
                <c:ptCount val="1"/>
                <c:pt idx="0">
                  <c:v>13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Perhitungan'!$C$24:$Z$24</c:f>
              <c:numCache>
                <c:formatCode>0</c:formatCode>
                <c:ptCount val="24"/>
                <c:pt idx="0">
                  <c:v>163.478175418571</c:v>
                </c:pt>
                <c:pt idx="1">
                  <c:v>163.947654558832</c:v>
                </c:pt>
                <c:pt idx="2">
                  <c:v>156.374450930827</c:v>
                </c:pt>
                <c:pt idx="3">
                  <c:v>142.081570545437</c:v>
                </c:pt>
                <c:pt idx="4">
                  <c:v>124.585183349535</c:v>
                </c:pt>
                <c:pt idx="5">
                  <c:v>108.734687557103</c:v>
                </c:pt>
                <c:pt idx="6">
                  <c:v>99.2232775638874</c:v>
                </c:pt>
                <c:pt idx="7">
                  <c:v>99.0971500242257</c:v>
                </c:pt>
                <c:pt idx="8">
                  <c:v>108.865819482579</c:v>
                </c:pt>
                <c:pt idx="9">
                  <c:v>126.470183467872</c:v>
                </c:pt>
                <c:pt idx="10">
                  <c:v>147.999936787868</c:v>
                </c:pt>
                <c:pt idx="11">
                  <c:v>168.837769896324</c:v>
                </c:pt>
                <c:pt idx="12">
                  <c:v>184.840444858393</c:v>
                </c:pt>
                <c:pt idx="13">
                  <c:v>193.222593319779</c:v>
                </c:pt>
                <c:pt idx="14">
                  <c:v>192.981307737268</c:v>
                </c:pt>
                <c:pt idx="15">
                  <c:v>184.903024287025</c:v>
                </c:pt>
                <c:pt idx="16">
                  <c:v>171.285459460585</c:v>
                </c:pt>
                <c:pt idx="17">
                  <c:v>155.44972054183</c:v>
                </c:pt>
                <c:pt idx="18">
                  <c:v>141.037508870966</c:v>
                </c:pt>
                <c:pt idx="19">
                  <c:v>131.127082511847</c:v>
                </c:pt>
                <c:pt idx="20">
                  <c:v>127.365443364318</c:v>
                </c:pt>
                <c:pt idx="21">
                  <c:v>129.467960914208</c:v>
                </c:pt>
                <c:pt idx="22">
                  <c:v>135.391893869836</c:v>
                </c:pt>
                <c:pt idx="23">
                  <c:v>142.165968924766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'Langkah Perhitungan'!$B$25</c:f>
              <c:strCache>
                <c:ptCount val="1"/>
                <c:pt idx="0">
                  <c:v>14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Perhitungan'!$C$25:$Z$25</c:f>
              <c:numCache>
                <c:formatCode>0</c:formatCode>
                <c:ptCount val="24"/>
                <c:pt idx="0">
                  <c:v>146.955037686613</c:v>
                </c:pt>
                <c:pt idx="1">
                  <c:v>147.835990885256</c:v>
                </c:pt>
                <c:pt idx="2">
                  <c:v>144.078806602212</c:v>
                </c:pt>
                <c:pt idx="3">
                  <c:v>136.117971537407</c:v>
                </c:pt>
                <c:pt idx="4">
                  <c:v>125.45998691525</c:v>
                </c:pt>
                <c:pt idx="5">
                  <c:v>114.53083085485</c:v>
                </c:pt>
                <c:pt idx="6">
                  <c:v>106.282852891463</c:v>
                </c:pt>
                <c:pt idx="7">
                  <c:v>103.471472462517</c:v>
                </c:pt>
                <c:pt idx="8">
                  <c:v>107.769744455304</c:v>
                </c:pt>
                <c:pt idx="9">
                  <c:v>119.082875762176</c:v>
                </c:pt>
                <c:pt idx="10">
                  <c:v>135.416625730793</c:v>
                </c:pt>
                <c:pt idx="11">
                  <c:v>153.435770815478</c:v>
                </c:pt>
                <c:pt idx="12">
                  <c:v>169.518924739569</c:v>
                </c:pt>
                <c:pt idx="13">
                  <c:v>180.854576381488</c:v>
                </c:pt>
                <c:pt idx="14">
                  <c:v>186.109229785716</c:v>
                </c:pt>
                <c:pt idx="15">
                  <c:v>185.458043961829</c:v>
                </c:pt>
                <c:pt idx="16">
                  <c:v>180.121239486476</c:v>
                </c:pt>
                <c:pt idx="17">
                  <c:v>171.756768792659</c:v>
                </c:pt>
                <c:pt idx="18">
                  <c:v>162.016027227343</c:v>
                </c:pt>
                <c:pt idx="19">
                  <c:v>152.352581430419</c:v>
                </c:pt>
                <c:pt idx="20">
                  <c:v>143.963117952933</c:v>
                </c:pt>
                <c:pt idx="21">
                  <c:v>137.689230431542</c:v>
                </c:pt>
                <c:pt idx="22">
                  <c:v>133.835779234155</c:v>
                </c:pt>
                <c:pt idx="23">
                  <c:v>132.033826546775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'Langkah Perhitungan'!$B$26</c:f>
              <c:strCache>
                <c:ptCount val="1"/>
                <c:pt idx="0">
                  <c:v>15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Perhitungan'!$C$26:$Z$26</c:f>
              <c:numCache>
                <c:formatCode>0</c:formatCode>
                <c:ptCount val="24"/>
                <c:pt idx="0">
                  <c:v>131.326540420433</c:v>
                </c:pt>
                <c:pt idx="1">
                  <c:v>130.526711344635</c:v>
                </c:pt>
                <c:pt idx="2">
                  <c:v>128.689509066517</c:v>
                </c:pt>
                <c:pt idx="3">
                  <c:v>125.452509391059</c:v>
                </c:pt>
                <c:pt idx="4">
                  <c:v>121.110131578518</c:v>
                </c:pt>
                <c:pt idx="5">
                  <c:v>116.491655604347</c:v>
                </c:pt>
                <c:pt idx="6">
                  <c:v>112.785236053089</c:v>
                </c:pt>
                <c:pt idx="7">
                  <c:v>111.338325347236</c:v>
                </c:pt>
                <c:pt idx="8">
                  <c:v>113.347067657188</c:v>
                </c:pt>
                <c:pt idx="9">
                  <c:v>119.42029192566</c:v>
                </c:pt>
                <c:pt idx="10">
                  <c:v>129.220341222177</c:v>
                </c:pt>
                <c:pt idx="11">
                  <c:v>141.470331877149</c:v>
                </c:pt>
                <c:pt idx="12">
                  <c:v>154.396780057643</c:v>
                </c:pt>
                <c:pt idx="13">
                  <c:v>166.325960175639</c:v>
                </c:pt>
                <c:pt idx="14">
                  <c:v>176.046485210405</c:v>
                </c:pt>
                <c:pt idx="15">
                  <c:v>182.811778443381</c:v>
                </c:pt>
                <c:pt idx="16">
                  <c:v>186.184958445841</c:v>
                </c:pt>
                <c:pt idx="17">
                  <c:v>185.970870438614</c:v>
                </c:pt>
                <c:pt idx="18">
                  <c:v>182.259590717873</c:v>
                </c:pt>
                <c:pt idx="19">
                  <c:v>175.446444007488</c:v>
                </c:pt>
                <c:pt idx="20">
                  <c:v>166.16694024344</c:v>
                </c:pt>
                <c:pt idx="21">
                  <c:v>155.227221409076</c:v>
                </c:pt>
                <c:pt idx="22">
                  <c:v>143.605311947724</c:v>
                </c:pt>
                <c:pt idx="23">
                  <c:v>132.463974553411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'Langkah Perhitungan'!$B$27</c:f>
              <c:strCache>
                <c:ptCount val="1"/>
                <c:pt idx="0">
                  <c:v>16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Perhitungan'!$C$27:$Z$27</c:f>
              <c:numCache>
                <c:formatCode>0</c:formatCode>
                <c:ptCount val="24"/>
                <c:pt idx="0">
                  <c:v>123.037265637043</c:v>
                </c:pt>
                <c:pt idx="1">
                  <c:v>116.338469765876</c:v>
                </c:pt>
                <c:pt idx="2">
                  <c:v>112.81261801424</c:v>
                </c:pt>
                <c:pt idx="3">
                  <c:v>112.155033375587</c:v>
                </c:pt>
                <c:pt idx="4">
                  <c:v>113.441762478146</c:v>
                </c:pt>
                <c:pt idx="5">
                  <c:v>115.529334944306</c:v>
                </c:pt>
                <c:pt idx="6">
                  <c:v>117.52996459773</c:v>
                </c:pt>
                <c:pt idx="7">
                  <c:v>119.145523896502</c:v>
                </c:pt>
                <c:pt idx="8">
                  <c:v>120.722111400541</c:v>
                </c:pt>
                <c:pt idx="9">
                  <c:v>123.004211835677</c:v>
                </c:pt>
                <c:pt idx="10">
                  <c:v>126.709568111152</c:v>
                </c:pt>
                <c:pt idx="11">
                  <c:v>132.180612294534</c:v>
                </c:pt>
                <c:pt idx="12">
                  <c:v>139.352696661393</c:v>
                </c:pt>
                <c:pt idx="13">
                  <c:v>148.011861139809</c:v>
                </c:pt>
                <c:pt idx="14">
                  <c:v>157.998442376277</c:v>
                </c:pt>
                <c:pt idx="15">
                  <c:v>169.033192930878</c:v>
                </c:pt>
                <c:pt idx="16">
                  <c:v>180.261970018137</c:v>
                </c:pt>
                <c:pt idx="17">
                  <c:v>189.994476963566</c:v>
                </c:pt>
                <c:pt idx="18">
                  <c:v>196.013422948485</c:v>
                </c:pt>
                <c:pt idx="19">
                  <c:v>196.3498935429</c:v>
                </c:pt>
                <c:pt idx="20">
                  <c:v>190.054400518333</c:v>
                </c:pt>
                <c:pt idx="21">
                  <c:v>177.553907426093</c:v>
                </c:pt>
                <c:pt idx="22">
                  <c:v>160.523407068986</c:v>
                </c:pt>
                <c:pt idx="23">
                  <c:v>141.468966069737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'Langkah Perhitungan'!$B$28</c:f>
              <c:strCache>
                <c:ptCount val="1"/>
                <c:pt idx="0">
                  <c:v>17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Perhitungan'!$C$28:$Z$28</c:f>
              <c:numCache>
                <c:formatCode>0</c:formatCode>
                <c:ptCount val="24"/>
                <c:pt idx="0">
                  <c:v>123.246069996009</c:v>
                </c:pt>
                <c:pt idx="1">
                  <c:v>108.599946492342</c:v>
                </c:pt>
                <c:pt idx="2">
                  <c:v>99.6888678040365</c:v>
                </c:pt>
                <c:pt idx="3">
                  <c:v>97.5701135819281</c:v>
                </c:pt>
                <c:pt idx="4">
                  <c:v>101.787524732141</c:v>
                </c:pt>
                <c:pt idx="5">
                  <c:v>110.332885901904</c:v>
                </c:pt>
                <c:pt idx="6">
                  <c:v>120.173911587531</c:v>
                </c:pt>
                <c:pt idx="7">
                  <c:v>128.252265099258</c:v>
                </c:pt>
                <c:pt idx="8">
                  <c:v>132.558048915315</c:v>
                </c:pt>
                <c:pt idx="9">
                  <c:v>132.78984987121</c:v>
                </c:pt>
                <c:pt idx="10">
                  <c:v>130.287080454537</c:v>
                </c:pt>
                <c:pt idx="11">
                  <c:v>127.310425238187</c:v>
                </c:pt>
                <c:pt idx="12">
                  <c:v>126.130600557514</c:v>
                </c:pt>
                <c:pt idx="13">
                  <c:v>128.446594222208</c:v>
                </c:pt>
                <c:pt idx="14">
                  <c:v>135.266944808343</c:v>
                </c:pt>
                <c:pt idx="15">
                  <c:v>146.901783885633</c:v>
                </c:pt>
                <c:pt idx="16">
                  <c:v>162.684596433182</c:v>
                </c:pt>
                <c:pt idx="17">
                  <c:v>180.547986299816</c:v>
                </c:pt>
                <c:pt idx="18">
                  <c:v>197.025720249</c:v>
                </c:pt>
                <c:pt idx="19">
                  <c:v>208.066872815904</c:v>
                </c:pt>
                <c:pt idx="20">
                  <c:v>210.377601443811</c:v>
                </c:pt>
                <c:pt idx="21">
                  <c:v>202.550460613789</c:v>
                </c:pt>
                <c:pt idx="22">
                  <c:v>185.434941382447</c:v>
                </c:pt>
                <c:pt idx="23">
                  <c:v>161.782579144802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'Langkah Perhitungan'!$B$29</c:f>
              <c:strCache>
                <c:ptCount val="1"/>
                <c:pt idx="0">
                  <c:v>18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Perhitungan'!$C$29:$Z$29</c:f>
              <c:numCache>
                <c:formatCode>0</c:formatCode>
                <c:ptCount val="24"/>
                <c:pt idx="0">
                  <c:v>135.575914233119</c:v>
                </c:pt>
                <c:pt idx="1">
                  <c:v>111.349181332347</c:v>
                </c:pt>
                <c:pt idx="2">
                  <c:v>93.4767205579339</c:v>
                </c:pt>
                <c:pt idx="3">
                  <c:v>85.272510011458</c:v>
                </c:pt>
                <c:pt idx="4">
                  <c:v>87.9758820448654</c:v>
                </c:pt>
                <c:pt idx="5">
                  <c:v>100.057747577069</c:v>
                </c:pt>
                <c:pt idx="6">
                  <c:v>117.376667314914</c:v>
                </c:pt>
                <c:pt idx="7">
                  <c:v>134.376406385451</c:v>
                </c:pt>
                <c:pt idx="8">
                  <c:v>145.95481652552</c:v>
                </c:pt>
                <c:pt idx="9">
                  <c:v>149.229711131969</c:v>
                </c:pt>
                <c:pt idx="10">
                  <c:v>144.427620603379</c:v>
                </c:pt>
                <c:pt idx="11">
                  <c:v>134.529222827835</c:v>
                </c:pt>
                <c:pt idx="12">
                  <c:v>123.929652776114</c:v>
                </c:pt>
                <c:pt idx="13">
                  <c:v>116.867629605655</c:v>
                </c:pt>
                <c:pt idx="14">
                  <c:v>116.377180316199</c:v>
                </c:pt>
                <c:pt idx="15">
                  <c:v>123.967084042737</c:v>
                </c:pt>
                <c:pt idx="16">
                  <c:v>139.610638173257</c:v>
                </c:pt>
                <c:pt idx="17">
                  <c:v>161.567519918127</c:v>
                </c:pt>
                <c:pt idx="18">
                  <c:v>186.134945028949</c:v>
                </c:pt>
                <c:pt idx="19">
                  <c:v>207.958992620485</c:v>
                </c:pt>
                <c:pt idx="20">
                  <c:v>221.333873771722</c:v>
                </c:pt>
                <c:pt idx="21">
                  <c:v>222.102039759292</c:v>
                </c:pt>
                <c:pt idx="22">
                  <c:v>209.165245248109</c:v>
                </c:pt>
                <c:pt idx="23">
                  <c:v>184.821224318038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'Langkah Perhitungan'!$B$30</c:f>
              <c:strCache>
                <c:ptCount val="1"/>
                <c:pt idx="0">
                  <c:v>19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Perhitungan'!$C$30:$Z$30</c:f>
              <c:numCache>
                <c:formatCode>0</c:formatCode>
                <c:ptCount val="24"/>
                <c:pt idx="0">
                  <c:v>153.920241562888</c:v>
                </c:pt>
                <c:pt idx="1">
                  <c:v>122.469519560486</c:v>
                </c:pt>
                <c:pt idx="2">
                  <c:v>96.3403470920974</c:v>
                </c:pt>
                <c:pt idx="3">
                  <c:v>80.2995525105953</c:v>
                </c:pt>
                <c:pt idx="4">
                  <c:v>77.1978769901998</c:v>
                </c:pt>
                <c:pt idx="5">
                  <c:v>87.1793754517265</c:v>
                </c:pt>
                <c:pt idx="6">
                  <c:v>107.168608752858</c:v>
                </c:pt>
                <c:pt idx="7">
                  <c:v>131.202930697413</c:v>
                </c:pt>
                <c:pt idx="8">
                  <c:v>151.972528164992</c:v>
                </c:pt>
                <c:pt idx="9">
                  <c:v>163.233086822517</c:v>
                </c:pt>
                <c:pt idx="10">
                  <c:v>162.082604176174</c:v>
                </c:pt>
                <c:pt idx="11">
                  <c:v>149.996340759714</c:v>
                </c:pt>
                <c:pt idx="12">
                  <c:v>132.104940614373</c:v>
                </c:pt>
                <c:pt idx="13">
                  <c:v>115.117560798671</c:v>
                </c:pt>
                <c:pt idx="14">
                  <c:v>104.973433221941</c:v>
                </c:pt>
                <c:pt idx="15">
                  <c:v>105.302739182974</c:v>
                </c:pt>
                <c:pt idx="16">
                  <c:v>117.063009968294</c:v>
                </c:pt>
                <c:pt idx="17">
                  <c:v>138.853078235025</c:v>
                </c:pt>
                <c:pt idx="18">
                  <c:v>167.183196861025</c:v>
                </c:pt>
                <c:pt idx="19">
                  <c:v>196.60117607835</c:v>
                </c:pt>
                <c:pt idx="20">
                  <c:v>220.306316647831</c:v>
                </c:pt>
                <c:pt idx="21">
                  <c:v>231.797327446941</c:v>
                </c:pt>
                <c:pt idx="22">
                  <c:v>227.155941775052</c:v>
                </c:pt>
                <c:pt idx="23">
                  <c:v>206.717303242888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'Langkah Perhitungan'!$B$31</c:f>
              <c:strCache>
                <c:ptCount val="1"/>
                <c:pt idx="0">
                  <c:v>20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Perhitungan'!$C$31:$Z$31</c:f>
              <c:numCache>
                <c:formatCode>0</c:formatCode>
                <c:ptCount val="24"/>
                <c:pt idx="0">
                  <c:v>175.049854329849</c:v>
                </c:pt>
                <c:pt idx="1">
                  <c:v>139.279751494101</c:v>
                </c:pt>
                <c:pt idx="2">
                  <c:v>106.844628886878</c:v>
                </c:pt>
                <c:pt idx="3">
                  <c:v>83.8361614120038</c:v>
                </c:pt>
                <c:pt idx="4">
                  <c:v>74.2472235723365</c:v>
                </c:pt>
                <c:pt idx="5">
                  <c:v>79.5974798909214</c:v>
                </c:pt>
                <c:pt idx="6">
                  <c:v>98.4111509627534</c:v>
                </c:pt>
                <c:pt idx="7">
                  <c:v>125.78864791334</c:v>
                </c:pt>
                <c:pt idx="8">
                  <c:v>153.948434515012</c:v>
                </c:pt>
                <c:pt idx="9">
                  <c:v>174.309230777015</c:v>
                </c:pt>
                <c:pt idx="10">
                  <c:v>180.562637408632</c:v>
                </c:pt>
                <c:pt idx="11">
                  <c:v>171.220715470403</c:v>
                </c:pt>
                <c:pt idx="12">
                  <c:v>150.19806029869</c:v>
                </c:pt>
                <c:pt idx="13">
                  <c:v>125.103983587528</c:v>
                </c:pt>
                <c:pt idx="14">
                  <c:v>104.244623468026</c:v>
                </c:pt>
                <c:pt idx="15">
                  <c:v>93.9259969688656</c:v>
                </c:pt>
                <c:pt idx="16">
                  <c:v>97.1584524633126</c:v>
                </c:pt>
                <c:pt idx="17">
                  <c:v>113.74233582574</c:v>
                </c:pt>
                <c:pt idx="18">
                  <c:v>140.8773829743</c:v>
                </c:pt>
                <c:pt idx="19">
                  <c:v>173.555689540638</c:v>
                </c:pt>
                <c:pt idx="20">
                  <c:v>204.873173316722</c:v>
                </c:pt>
                <c:pt idx="21">
                  <c:v>227.051064403578</c:v>
                </c:pt>
                <c:pt idx="22">
                  <c:v>233.58160674374</c:v>
                </c:pt>
                <c:pt idx="23">
                  <c:v>221.758336307758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'Langkah Perhitungan'!$B$32</c:f>
              <c:strCache>
                <c:ptCount val="1"/>
                <c:pt idx="0">
                  <c:v>21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Perhitungan'!$C$32:$Z$32</c:f>
              <c:numCache>
                <c:formatCode>0</c:formatCode>
                <c:ptCount val="24"/>
                <c:pt idx="0">
                  <c:v>194.076264588175</c:v>
                </c:pt>
                <c:pt idx="1">
                  <c:v>157.473401665696</c:v>
                </c:pt>
                <c:pt idx="2">
                  <c:v>120.805926624964</c:v>
                </c:pt>
                <c:pt idx="3">
                  <c:v>92.0593391723955</c:v>
                </c:pt>
                <c:pt idx="4">
                  <c:v>76.6457575493322</c:v>
                </c:pt>
                <c:pt idx="5">
                  <c:v>76.9790484479979</c:v>
                </c:pt>
                <c:pt idx="6">
                  <c:v>92.5366631863283</c:v>
                </c:pt>
                <c:pt idx="7">
                  <c:v>119.730727949418</c:v>
                </c:pt>
                <c:pt idx="8">
                  <c:v>151.86727733313</c:v>
                </c:pt>
                <c:pt idx="9">
                  <c:v>180.127952035232</c:v>
                </c:pt>
                <c:pt idx="10">
                  <c:v>196.030290938817</c:v>
                </c:pt>
                <c:pt idx="11">
                  <c:v>194.565195224203</c:v>
                </c:pt>
                <c:pt idx="12">
                  <c:v>176.356110547077</c:v>
                </c:pt>
                <c:pt idx="13">
                  <c:v>147.556335161732</c:v>
                </c:pt>
                <c:pt idx="14">
                  <c:v>117.507778552016</c:v>
                </c:pt>
                <c:pt idx="15">
                  <c:v>95.4019565732423</c:v>
                </c:pt>
                <c:pt idx="16">
                  <c:v>87.50309386235</c:v>
                </c:pt>
                <c:pt idx="17">
                  <c:v>95.8706223305715</c:v>
                </c:pt>
                <c:pt idx="18">
                  <c:v>118.532135913574</c:v>
                </c:pt>
                <c:pt idx="19">
                  <c:v>150.418226028187</c:v>
                </c:pt>
                <c:pt idx="20">
                  <c:v>184.445448529834</c:v>
                </c:pt>
                <c:pt idx="21">
                  <c:v>212.688539727407</c:v>
                </c:pt>
                <c:pt idx="22">
                  <c:v>227.951521798912</c:v>
                </c:pt>
                <c:pt idx="23">
                  <c:v>225.750726189741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'Langkah Perhitungan'!$B$33</c:f>
              <c:strCache>
                <c:ptCount val="1"/>
                <c:pt idx="0">
                  <c:v>22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Perhitungan'!$C$33:$Z$33</c:f>
              <c:numCache>
                <c:formatCode>0</c:formatCode>
                <c:ptCount val="24"/>
                <c:pt idx="0">
                  <c:v>206.012829114651</c:v>
                </c:pt>
                <c:pt idx="1">
                  <c:v>173.45989467636</c:v>
                </c:pt>
                <c:pt idx="2">
                  <c:v>136.208112469914</c:v>
                </c:pt>
                <c:pt idx="3">
                  <c:v>103.185656494886</c:v>
                </c:pt>
                <c:pt idx="4">
                  <c:v>81.6533679659636</c:v>
                </c:pt>
                <c:pt idx="5">
                  <c:v>75.7974391231949</c:v>
                </c:pt>
                <c:pt idx="6">
                  <c:v>86.3961894629702</c:v>
                </c:pt>
                <c:pt idx="7">
                  <c:v>110.91251303654</c:v>
                </c:pt>
                <c:pt idx="8">
                  <c:v>143.644080924488</c:v>
                </c:pt>
                <c:pt idx="9">
                  <c:v>176.345022889341</c:v>
                </c:pt>
                <c:pt idx="10">
                  <c:v>199.980331811201</c:v>
                </c:pt>
                <c:pt idx="11">
                  <c:v>207.528278899879</c:v>
                </c:pt>
                <c:pt idx="12">
                  <c:v>196.676846278629</c:v>
                </c:pt>
                <c:pt idx="13">
                  <c:v>170.932808483959</c:v>
                </c:pt>
                <c:pt idx="14">
                  <c:v>138.432355281456</c:v>
                </c:pt>
                <c:pt idx="15">
                  <c:v>109.005832795891</c:v>
                </c:pt>
                <c:pt idx="16">
                  <c:v>90.9025652031185</c:v>
                </c:pt>
                <c:pt idx="17">
                  <c:v>88.5488065746739</c:v>
                </c:pt>
                <c:pt idx="18">
                  <c:v>101.949268813146</c:v>
                </c:pt>
                <c:pt idx="19">
                  <c:v>127.411772959116</c:v>
                </c:pt>
                <c:pt idx="20">
                  <c:v>158.78954434966</c:v>
                </c:pt>
                <c:pt idx="21">
                  <c:v>188.680444675096</c:v>
                </c:pt>
                <c:pt idx="22">
                  <c:v>209.657704088405</c:v>
                </c:pt>
                <c:pt idx="23">
                  <c:v>215.88016583131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'Langkah Perhitungan'!$B$34</c:f>
              <c:strCache>
                <c:ptCount val="1"/>
                <c:pt idx="0">
                  <c:v>23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Perhitungan'!$C$34:$Z$34</c:f>
              <c:numCache>
                <c:formatCode>0</c:formatCode>
                <c:ptCount val="24"/>
                <c:pt idx="0">
                  <c:v>204.951080401459</c:v>
                </c:pt>
                <c:pt idx="1">
                  <c:v>179.152659487728</c:v>
                </c:pt>
                <c:pt idx="2">
                  <c:v>145.077015742249</c:v>
                </c:pt>
                <c:pt idx="3">
                  <c:v>111.52202290473</c:v>
                </c:pt>
                <c:pt idx="4">
                  <c:v>86.6628024891786</c:v>
                </c:pt>
                <c:pt idx="5">
                  <c:v>75.9126071869138</c:v>
                </c:pt>
                <c:pt idx="6">
                  <c:v>81.1715988855122</c:v>
                </c:pt>
                <c:pt idx="7">
                  <c:v>101.04797226871</c:v>
                </c:pt>
                <c:pt idx="8">
                  <c:v>131.247542223125</c:v>
                </c:pt>
                <c:pt idx="9">
                  <c:v>164.965263401946</c:v>
                </c:pt>
                <c:pt idx="10">
                  <c:v>193.881015191166</c:v>
                </c:pt>
                <c:pt idx="11">
                  <c:v>210.221163287572</c:v>
                </c:pt>
                <c:pt idx="12">
                  <c:v>209.357357520535</c:v>
                </c:pt>
                <c:pt idx="13">
                  <c:v>191.641239717024</c:v>
                </c:pt>
                <c:pt idx="14">
                  <c:v>162.4304559251</c:v>
                </c:pt>
                <c:pt idx="15">
                  <c:v>130.281679675716</c:v>
                </c:pt>
                <c:pt idx="16">
                  <c:v>104.18728231793</c:v>
                </c:pt>
                <c:pt idx="17">
                  <c:v>90.965311110577</c:v>
                </c:pt>
                <c:pt idx="18">
                  <c:v>93.5886243669701</c:v>
                </c:pt>
                <c:pt idx="19">
                  <c:v>110.741675357257</c:v>
                </c:pt>
                <c:pt idx="20">
                  <c:v>137.473754066206</c:v>
                </c:pt>
                <c:pt idx="21">
                  <c:v>166.578346918993</c:v>
                </c:pt>
                <c:pt idx="22">
                  <c:v>190.32054244873</c:v>
                </c:pt>
                <c:pt idx="23">
                  <c:v>202.263613688664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'Langkah Perhitungan'!$B$35</c:f>
              <c:strCache>
                <c:ptCount val="1"/>
                <c:pt idx="0">
                  <c:v>24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Perhitungan'!$C$35:$Z$35</c:f>
              <c:numCache>
                <c:formatCode>0</c:formatCode>
                <c:ptCount val="24"/>
                <c:pt idx="0">
                  <c:v>198.95290605426</c:v>
                </c:pt>
                <c:pt idx="1">
                  <c:v>181.009770208332</c:v>
                </c:pt>
                <c:pt idx="2">
                  <c:v>153.08809727508</c:v>
                </c:pt>
                <c:pt idx="3">
                  <c:v>122.508833232266</c:v>
                </c:pt>
                <c:pt idx="4">
                  <c:v>97.0711892963715</c:v>
                </c:pt>
                <c:pt idx="5">
                  <c:v>82.9668324510975</c:v>
                </c:pt>
                <c:pt idx="6">
                  <c:v>83.5018086469951</c:v>
                </c:pt>
                <c:pt idx="7">
                  <c:v>98.6910269526159</c:v>
                </c:pt>
                <c:pt idx="8">
                  <c:v>125.372020198444</c:v>
                </c:pt>
                <c:pt idx="9">
                  <c:v>157.651021844176</c:v>
                </c:pt>
                <c:pt idx="10">
                  <c:v>187.902043557316</c:v>
                </c:pt>
                <c:pt idx="11">
                  <c:v>208.543911802017</c:v>
                </c:pt>
                <c:pt idx="12">
                  <c:v>214.271610203549</c:v>
                </c:pt>
                <c:pt idx="13">
                  <c:v>203.84644162141</c:v>
                </c:pt>
                <c:pt idx="14">
                  <c:v>180.553501931319</c:v>
                </c:pt>
                <c:pt idx="15">
                  <c:v>151.072628553181</c:v>
                </c:pt>
                <c:pt idx="16">
                  <c:v>123.300168496059</c:v>
                </c:pt>
                <c:pt idx="17">
                  <c:v>104.05759582387</c:v>
                </c:pt>
                <c:pt idx="18">
                  <c:v>97.4546044799651</c:v>
                </c:pt>
                <c:pt idx="19">
                  <c:v>104.189738361949</c:v>
                </c:pt>
                <c:pt idx="20">
                  <c:v>121.66406492612</c:v>
                </c:pt>
                <c:pt idx="21">
                  <c:v>144.675347140049</c:v>
                </c:pt>
                <c:pt idx="22">
                  <c:v>166.581092904066</c:v>
                </c:pt>
                <c:pt idx="23">
                  <c:v>180.898218052958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'Langkah Perhitungan'!$B$36</c:f>
              <c:strCache>
                <c:ptCount val="1"/>
                <c:pt idx="0">
                  <c:v>25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Perhitungan'!$C$36:$Z$36</c:f>
              <c:numCache>
                <c:formatCode>0</c:formatCode>
                <c:ptCount val="24"/>
                <c:pt idx="0">
                  <c:v>183.126465992233</c:v>
                </c:pt>
                <c:pt idx="1">
                  <c:v>172.230567326439</c:v>
                </c:pt>
                <c:pt idx="2">
                  <c:v>151.076891381403</c:v>
                </c:pt>
                <c:pt idx="3">
                  <c:v>125.49952657737</c:v>
                </c:pt>
                <c:pt idx="4">
                  <c:v>102.393562347241</c:v>
                </c:pt>
                <c:pt idx="5">
                  <c:v>87.7242434244789</c:v>
                </c:pt>
                <c:pt idx="6">
                  <c:v>85.1953156795371</c:v>
                </c:pt>
                <c:pt idx="7">
                  <c:v>95.7357532843919</c:v>
                </c:pt>
                <c:pt idx="8">
                  <c:v>117.513858104143</c:v>
                </c:pt>
                <c:pt idx="9">
                  <c:v>146.218939801607</c:v>
                </c:pt>
                <c:pt idx="10">
                  <c:v>175.687286944402</c:v>
                </c:pt>
                <c:pt idx="11">
                  <c:v>199.128130289369</c:v>
                </c:pt>
                <c:pt idx="12">
                  <c:v>210.935195778464</c:v>
                </c:pt>
                <c:pt idx="13">
                  <c:v>208.512991558832</c:v>
                </c:pt>
                <c:pt idx="14">
                  <c:v>193.220378873777</c:v>
                </c:pt>
                <c:pt idx="15">
                  <c:v>169.84996593147</c:v>
                </c:pt>
                <c:pt idx="16">
                  <c:v>144.876451623956</c:v>
                </c:pt>
                <c:pt idx="17">
                  <c:v>124.38091266714</c:v>
                </c:pt>
                <c:pt idx="18">
                  <c:v>112.562197693681</c:v>
                </c:pt>
                <c:pt idx="19">
                  <c:v>111.161875062113</c:v>
                </c:pt>
                <c:pt idx="20">
                  <c:v>119.513924551027</c:v>
                </c:pt>
                <c:pt idx="21">
                  <c:v>134.787593138086</c:v>
                </c:pt>
                <c:pt idx="22">
                  <c:v>152.35640096245</c:v>
                </c:pt>
                <c:pt idx="23">
                  <c:v>166.634852758621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'Langkah Perhitungan'!$B$37</c:f>
              <c:strCache>
                <c:ptCount val="1"/>
                <c:pt idx="0">
                  <c:v>26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Perhitungan'!$C$37:$Z$37</c:f>
              <c:numCache>
                <c:formatCode>0</c:formatCode>
                <c:ptCount val="24"/>
                <c:pt idx="0">
                  <c:v>172.623770952856</c:v>
                </c:pt>
                <c:pt idx="1">
                  <c:v>167.754352712415</c:v>
                </c:pt>
                <c:pt idx="2">
                  <c:v>153.048440260979</c:v>
                </c:pt>
                <c:pt idx="3">
                  <c:v>132.800667526775</c:v>
                </c:pt>
                <c:pt idx="4">
                  <c:v>112.902328352043</c:v>
                </c:pt>
                <c:pt idx="5">
                  <c:v>98.7846364101255</c:v>
                </c:pt>
                <c:pt idx="6">
                  <c:v>94.0128420321226</c:v>
                </c:pt>
                <c:pt idx="7">
                  <c:v>99.8560833824345</c:v>
                </c:pt>
                <c:pt idx="8">
                  <c:v>115.440104237158</c:v>
                </c:pt>
                <c:pt idx="9">
                  <c:v>137.995195050885</c:v>
                </c:pt>
                <c:pt idx="10">
                  <c:v>163.143494509394</c:v>
                </c:pt>
                <c:pt idx="11">
                  <c:v>185.540500982117</c:v>
                </c:pt>
                <c:pt idx="12">
                  <c:v>200.091770455189</c:v>
                </c:pt>
                <c:pt idx="13">
                  <c:v>203.500771220399</c:v>
                </c:pt>
                <c:pt idx="14">
                  <c:v>195.469241130456</c:v>
                </c:pt>
                <c:pt idx="15">
                  <c:v>178.85150111137</c:v>
                </c:pt>
                <c:pt idx="16">
                  <c:v>158.565201038537</c:v>
                </c:pt>
                <c:pt idx="17">
                  <c:v>139.78545222618</c:v>
                </c:pt>
                <c:pt idx="18">
                  <c:v>126.359970778777</c:v>
                </c:pt>
                <c:pt idx="19">
                  <c:v>120.131122841679</c:v>
                </c:pt>
                <c:pt idx="20">
                  <c:v>121.124571258073</c:v>
                </c:pt>
                <c:pt idx="21">
                  <c:v>127.99745352181</c:v>
                </c:pt>
                <c:pt idx="22">
                  <c:v>138.256310258114</c:v>
                </c:pt>
                <c:pt idx="23">
                  <c:v>148.400884045705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'Langkah Perhitungan'!$B$38</c:f>
              <c:strCache>
                <c:ptCount val="1"/>
                <c:pt idx="0">
                  <c:v>27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Perhitungan'!$C$38:$Z$38</c:f>
              <c:numCache>
                <c:formatCode>0</c:formatCode>
                <c:ptCount val="24"/>
                <c:pt idx="0">
                  <c:v>154.561738374862</c:v>
                </c:pt>
                <c:pt idx="1">
                  <c:v>153.821332161204</c:v>
                </c:pt>
                <c:pt idx="2">
                  <c:v>145.584907974151</c:v>
                </c:pt>
                <c:pt idx="3">
                  <c:v>132.020767599979</c:v>
                </c:pt>
                <c:pt idx="4">
                  <c:v>117.176621418822</c:v>
                </c:pt>
                <c:pt idx="5">
                  <c:v>105.360999118938</c:v>
                </c:pt>
                <c:pt idx="6">
                  <c:v>99.8062681571984</c:v>
                </c:pt>
                <c:pt idx="7">
                  <c:v>102.152009621687</c:v>
                </c:pt>
                <c:pt idx="8">
                  <c:v>112.487341533259</c:v>
                </c:pt>
                <c:pt idx="9">
                  <c:v>129.415699554112</c:v>
                </c:pt>
                <c:pt idx="10">
                  <c:v>150.036785889709</c:v>
                </c:pt>
                <c:pt idx="11">
                  <c:v>170.246656301141</c:v>
                </c:pt>
                <c:pt idx="12">
                  <c:v>185.691410311064</c:v>
                </c:pt>
                <c:pt idx="13">
                  <c:v>193.149597162956</c:v>
                </c:pt>
                <c:pt idx="14">
                  <c:v>191.664920634167</c:v>
                </c:pt>
                <c:pt idx="15">
                  <c:v>182.803971916021</c:v>
                </c:pt>
                <c:pt idx="16">
                  <c:v>169.883068808639</c:v>
                </c:pt>
                <c:pt idx="17">
                  <c:v>156.571056927358</c:v>
                </c:pt>
                <c:pt idx="18">
                  <c:v>145.613295109319</c:v>
                </c:pt>
                <c:pt idx="19">
                  <c:v>138.300038314456</c:v>
                </c:pt>
                <c:pt idx="20">
                  <c:v>134.739851661557</c:v>
                </c:pt>
                <c:pt idx="21">
                  <c:v>134.41357063485</c:v>
                </c:pt>
                <c:pt idx="22">
                  <c:v>136.41401412423</c:v>
                </c:pt>
                <c:pt idx="23">
                  <c:v>139.307441232396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'Langkah Perhitungan'!$B$39</c:f>
              <c:strCache>
                <c:ptCount val="1"/>
                <c:pt idx="0">
                  <c:v>28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Perhitungan'!$C$39:$Z$39</c:f>
              <c:numCache>
                <c:formatCode>0</c:formatCode>
                <c:ptCount val="24"/>
                <c:pt idx="0">
                  <c:v>141.127422126071</c:v>
                </c:pt>
                <c:pt idx="1">
                  <c:v>139.970653874861</c:v>
                </c:pt>
                <c:pt idx="2">
                  <c:v>134.998074818551</c:v>
                </c:pt>
                <c:pt idx="3">
                  <c:v>127.070920598822</c:v>
                </c:pt>
                <c:pt idx="4">
                  <c:v>118.437821756762</c:v>
                </c:pt>
                <c:pt idx="5">
                  <c:v>111.685978990177</c:v>
                </c:pt>
                <c:pt idx="6">
                  <c:v>108.757063589988</c:v>
                </c:pt>
                <c:pt idx="7">
                  <c:v>110.617974731768</c:v>
                </c:pt>
                <c:pt idx="8">
                  <c:v>117.445810735083</c:v>
                </c:pt>
                <c:pt idx="9">
                  <c:v>128.756700601859</c:v>
                </c:pt>
                <c:pt idx="10">
                  <c:v>143.220467749911</c:v>
                </c:pt>
                <c:pt idx="11">
                  <c:v>158.52152060763</c:v>
                </c:pt>
                <c:pt idx="12">
                  <c:v>171.771344097803</c:v>
                </c:pt>
                <c:pt idx="13">
                  <c:v>180.472557587581</c:v>
                </c:pt>
                <c:pt idx="14">
                  <c:v>183.46972810671</c:v>
                </c:pt>
                <c:pt idx="15">
                  <c:v>181.280911214232</c:v>
                </c:pt>
                <c:pt idx="16">
                  <c:v>175.644690662081</c:v>
                </c:pt>
                <c:pt idx="17">
                  <c:v>168.605237742764</c:v>
                </c:pt>
                <c:pt idx="18">
                  <c:v>161.672741786469</c:v>
                </c:pt>
                <c:pt idx="19">
                  <c:v>155.476720553687</c:v>
                </c:pt>
                <c:pt idx="20">
                  <c:v>149.980223725786</c:v>
                </c:pt>
                <c:pt idx="21">
                  <c:v>144.961348974768</c:v>
                </c:pt>
                <c:pt idx="22">
                  <c:v>140.342523723178</c:v>
                </c:pt>
                <c:pt idx="23">
                  <c:v>136.158436727414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'Langkah Perhitungan'!$B$40</c:f>
              <c:strCache>
                <c:ptCount val="1"/>
                <c:pt idx="0">
                  <c:v>29 AGUSTUS 2009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'Langkah Perhitungan'!$C$40:$Z$40</c:f>
              <c:numCache>
                <c:formatCode>0</c:formatCode>
                <c:ptCount val="24"/>
                <c:pt idx="0">
                  <c:v>132.326096206434</c:v>
                </c:pt>
                <c:pt idx="1">
                  <c:v>128.569841333215</c:v>
                </c:pt>
                <c:pt idx="2">
                  <c:v>124.665444864531</c:v>
                </c:pt>
                <c:pt idx="3">
                  <c:v>120.789611023467</c:v>
                </c:pt>
                <c:pt idx="4">
                  <c:v>117.601072220681</c:v>
                </c:pt>
                <c:pt idx="5">
                  <c:v>115.92509959848</c:v>
                </c:pt>
                <c:pt idx="6">
                  <c:v>116.31274944006</c:v>
                </c:pt>
                <c:pt idx="7">
                  <c:v>118.86985986398</c:v>
                </c:pt>
                <c:pt idx="8">
                  <c:v>123.454953190704</c:v>
                </c:pt>
                <c:pt idx="9">
                  <c:v>129.938169172916</c:v>
                </c:pt>
                <c:pt idx="10">
                  <c:v>138.148803423222</c:v>
                </c:pt>
                <c:pt idx="11">
                  <c:v>147.526692621575</c:v>
                </c:pt>
                <c:pt idx="12">
                  <c:v>156.920672405048</c:v>
                </c:pt>
                <c:pt idx="13">
                  <c:v>164.921271547759</c:v>
                </c:pt>
                <c:pt idx="14">
                  <c:v>170.570305734665</c:v>
                </c:pt>
                <c:pt idx="15">
                  <c:v>173.840187538419</c:v>
                </c:pt>
                <c:pt idx="16">
                  <c:v>175.425616628969</c:v>
                </c:pt>
                <c:pt idx="17">
                  <c:v>175.996122253782</c:v>
                </c:pt>
                <c:pt idx="18">
                  <c:v>175.5290288995</c:v>
                </c:pt>
                <c:pt idx="19">
                  <c:v>173.264756630008</c:v>
                </c:pt>
                <c:pt idx="20">
                  <c:v>168.303082192139</c:v>
                </c:pt>
                <c:pt idx="21">
                  <c:v>160.356712717096</c:v>
                </c:pt>
                <c:pt idx="22">
                  <c:v>150.10466527544</c:v>
                </c:pt>
                <c:pt idx="23">
                  <c:v>138.955798957941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2432"/>
        <c:axId val="105695872"/>
        <c:extLst>
          <c:ext xmlns:c15="http://schemas.microsoft.com/office/drawing/2012/chart" uri="{02D57815-91ED-43cb-92C2-25804820EDAC}">
            <c15:filteredScatterSeries>
              <c15:ser>
                <c:idx val="29"/>
                <c:order val="29"/>
                <c:tx>
                  <c:strRef>
                    <c:extLst>
                      <c:ext uri="{02D57815-91ED-43cb-92C2-25804820EDAC}">
                        <c15:formulaRef>
                          <c15:sqref>'Langkah Perhitungan'!$B$41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0"/>
                <c:order val="30"/>
                <c:tx>
                  <c:strRef>
                    <c:extLst>
                      <c:ext uri="{02D57815-91ED-43cb-92C2-25804820EDAC}">
                        <c15:formulaRef>
                          <c15:sqref>'Langkah Perhitungan'!$B$42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marker>
                  <c:symbol val="none"/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4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  <c:pt idx="5">
                        <c:v>#N/A</c:v>
                      </c:pt>
                      <c:pt idx="6">
                        <c:v>#N/A</c:v>
                      </c:pt>
                      <c:pt idx="7">
                        <c:v>#N/A</c:v>
                      </c:pt>
                      <c:pt idx="8">
                        <c:v>#N/A</c:v>
                      </c:pt>
                      <c:pt idx="9">
                        <c:v>#N/A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05682432"/>
        <c:scaling>
          <c:orientation val="minMax"/>
          <c:max val="23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Jam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695872"/>
        <c:crosses val="autoZero"/>
        <c:crossBetween val="midCat"/>
        <c:majorUnit val="1"/>
        <c:minorUnit val="1"/>
      </c:valAx>
      <c:valAx>
        <c:axId val="10569587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Tinggi Elevasi Muka Air Laut</a:t>
                </a:r>
                <a:endParaRPr lang="en-US" sz="200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568243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4eca8f-a529-4e3b-bfed-469fe89ea643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Grafik Elevasi Muka Air Laut di Bitung pada Tanggal 15 Agustus 2009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"hari ke 15"</c:f>
              <c:strCache>
                <c:ptCount val="1"/>
                <c:pt idx="0">
                  <c:v>hari ke 15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'Langkah Perhitungan'!$C$26:$Z$26</c:f>
              <c:numCache>
                <c:formatCode>0</c:formatCode>
                <c:ptCount val="24"/>
                <c:pt idx="0">
                  <c:v>131.326540420433</c:v>
                </c:pt>
                <c:pt idx="1">
                  <c:v>130.526711344635</c:v>
                </c:pt>
                <c:pt idx="2">
                  <c:v>128.689509066517</c:v>
                </c:pt>
                <c:pt idx="3">
                  <c:v>125.452509391059</c:v>
                </c:pt>
                <c:pt idx="4">
                  <c:v>121.110131578518</c:v>
                </c:pt>
                <c:pt idx="5">
                  <c:v>116.491655604347</c:v>
                </c:pt>
                <c:pt idx="6">
                  <c:v>112.785236053089</c:v>
                </c:pt>
                <c:pt idx="7">
                  <c:v>111.338325347236</c:v>
                </c:pt>
                <c:pt idx="8">
                  <c:v>113.347067657188</c:v>
                </c:pt>
                <c:pt idx="9">
                  <c:v>119.42029192566</c:v>
                </c:pt>
                <c:pt idx="10">
                  <c:v>129.220341222177</c:v>
                </c:pt>
                <c:pt idx="11">
                  <c:v>141.470331877149</c:v>
                </c:pt>
                <c:pt idx="12">
                  <c:v>154.396780057643</c:v>
                </c:pt>
                <c:pt idx="13">
                  <c:v>166.325960175639</c:v>
                </c:pt>
                <c:pt idx="14">
                  <c:v>176.046485210405</c:v>
                </c:pt>
                <c:pt idx="15">
                  <c:v>182.811778443381</c:v>
                </c:pt>
                <c:pt idx="16">
                  <c:v>186.184958445841</c:v>
                </c:pt>
                <c:pt idx="17">
                  <c:v>185.970870438614</c:v>
                </c:pt>
                <c:pt idx="18">
                  <c:v>182.259590717873</c:v>
                </c:pt>
                <c:pt idx="19">
                  <c:v>175.446444007488</c:v>
                </c:pt>
                <c:pt idx="20">
                  <c:v>166.16694024344</c:v>
                </c:pt>
                <c:pt idx="21">
                  <c:v>155.227221409076</c:v>
                </c:pt>
                <c:pt idx="22">
                  <c:v>143.605311947724</c:v>
                </c:pt>
                <c:pt idx="23">
                  <c:v>132.463974553411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158528"/>
        <c:axId val="107161472"/>
      </c:lineChart>
      <c:catAx>
        <c:axId val="1071585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JAM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61472"/>
        <c:crosses val="autoZero"/>
        <c:auto val="1"/>
        <c:lblAlgn val="ctr"/>
        <c:lblOffset val="100"/>
        <c:noMultiLvlLbl val="0"/>
      </c:catAx>
      <c:valAx>
        <c:axId val="10716147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5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b40619b-1ba8-465c-b0e3-d578811ae728}"/>
      </c:ext>
    </c:extLst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GRAFIK ELEVASI MUKA AIR DI BITUNG PADA TANGGAL 15 AGUSTUS 2009</a:t>
            </a:r>
            <a:endParaRPr lang="en-US" sz="1800">
              <a:effectLst/>
            </a:endParaRPr>
          </a:p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effectLst/>
              </a:rPr>
              <a:t>DENGAN TIPE PASUT CAMPURAN CONDONG HARIAN GANDA</a:t>
            </a:r>
            <a:endParaRPr lang="en-US" sz="18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"hari ke 15"</c:f>
              <c:strCache>
                <c:ptCount val="1"/>
                <c:pt idx="0">
                  <c:v>hari ke 15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'Langkah Perhitungan'!$C$11:$Z$11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'Langkah Perhitungan'!$C$26:$Z$26</c:f>
              <c:numCache>
                <c:formatCode>0</c:formatCode>
                <c:ptCount val="24"/>
                <c:pt idx="0">
                  <c:v>131.326540420433</c:v>
                </c:pt>
                <c:pt idx="1">
                  <c:v>130.526711344635</c:v>
                </c:pt>
                <c:pt idx="2">
                  <c:v>128.689509066517</c:v>
                </c:pt>
                <c:pt idx="3">
                  <c:v>125.452509391059</c:v>
                </c:pt>
                <c:pt idx="4">
                  <c:v>121.110131578518</c:v>
                </c:pt>
                <c:pt idx="5">
                  <c:v>116.491655604347</c:v>
                </c:pt>
                <c:pt idx="6">
                  <c:v>112.785236053089</c:v>
                </c:pt>
                <c:pt idx="7">
                  <c:v>111.338325347236</c:v>
                </c:pt>
                <c:pt idx="8">
                  <c:v>113.347067657188</c:v>
                </c:pt>
                <c:pt idx="9">
                  <c:v>119.42029192566</c:v>
                </c:pt>
                <c:pt idx="10">
                  <c:v>129.220341222177</c:v>
                </c:pt>
                <c:pt idx="11">
                  <c:v>141.470331877149</c:v>
                </c:pt>
                <c:pt idx="12">
                  <c:v>154.396780057643</c:v>
                </c:pt>
                <c:pt idx="13">
                  <c:v>166.325960175639</c:v>
                </c:pt>
                <c:pt idx="14">
                  <c:v>176.046485210405</c:v>
                </c:pt>
                <c:pt idx="15">
                  <c:v>182.811778443381</c:v>
                </c:pt>
                <c:pt idx="16">
                  <c:v>186.184958445841</c:v>
                </c:pt>
                <c:pt idx="17">
                  <c:v>185.970870438614</c:v>
                </c:pt>
                <c:pt idx="18">
                  <c:v>182.259590717873</c:v>
                </c:pt>
                <c:pt idx="19">
                  <c:v>175.446444007488</c:v>
                </c:pt>
                <c:pt idx="20">
                  <c:v>166.16694024344</c:v>
                </c:pt>
                <c:pt idx="21">
                  <c:v>155.227221409076</c:v>
                </c:pt>
                <c:pt idx="22">
                  <c:v>143.605311947724</c:v>
                </c:pt>
                <c:pt idx="23">
                  <c:v>132.463974553411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0"/>
        <c:smooth val="0"/>
        <c:axId val="107187200"/>
        <c:axId val="107198720"/>
      </c:lineChart>
      <c:catAx>
        <c:axId val="107187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JAM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98720"/>
        <c:crosses val="autoZero"/>
        <c:auto val="1"/>
        <c:lblAlgn val="ctr"/>
        <c:lblOffset val="100"/>
        <c:noMultiLvlLbl val="0"/>
      </c:catAx>
      <c:valAx>
        <c:axId val="1071987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TINGGI</a:t>
                </a:r>
                <a:r>
                  <a:rPr lang="en-US" sz="1600" baseline="0"/>
                  <a:t> AIR (m)</a:t>
                </a:r>
                <a:endParaRPr lang="en-US" sz="160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b1bea5a-a2a4-49bb-a903-0b0b146f3f8b}"/>
      </c:ext>
    </c:extLst>
  </c:chart>
  <c:spPr>
    <a:solidFill>
      <a:schemeClr val="bg1"/>
    </a:solidFill>
    <a:ln w="1270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jpe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65</xdr:col>
      <xdr:colOff>276225</xdr:colOff>
      <xdr:row>55</xdr:row>
      <xdr:rowOff>171450</xdr:rowOff>
    </xdr:from>
    <xdr:to>
      <xdr:col>69</xdr:col>
      <xdr:colOff>66675</xdr:colOff>
      <xdr:row>62</xdr:row>
      <xdr:rowOff>19050</xdr:rowOff>
    </xdr:to>
    <xdr:pic>
      <xdr:nvPicPr>
        <xdr:cNvPr id="5" name="Picture 4" descr="https://encrypted-tbn0.gstatic.com/images?q=tbn:ANd9GcQhL5MVsi4FCTh2pyPLXF9wJ8mtibwIsxeYrkhUdS877w&amp;s"/>
        <xdr:cNvPicPr>
          <a:picLocks noChangeAspect="1" noChangeArrowheads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636565" y="11057890"/>
          <a:ext cx="3013075" cy="1192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1142999</xdr:colOff>
      <xdr:row>40</xdr:row>
      <xdr:rowOff>200023</xdr:rowOff>
    </xdr:from>
    <xdr:to>
      <xdr:col>21</xdr:col>
      <xdr:colOff>600074</xdr:colOff>
      <xdr:row>94</xdr:row>
      <xdr:rowOff>9525</xdr:rowOff>
    </xdr:to>
    <xdr:graphicFrame>
      <xdr:nvGraphicFramePr>
        <xdr:cNvPr id="13" name="Chart 12"/>
        <xdr:cNvGraphicFramePr/>
      </xdr:nvGraphicFramePr>
      <xdr:xfrm>
        <a:off x="1773555" y="8149590"/>
        <a:ext cx="12629515" cy="9943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609599</xdr:colOff>
      <xdr:row>45</xdr:row>
      <xdr:rowOff>0</xdr:rowOff>
    </xdr:from>
    <xdr:to>
      <xdr:col>40</xdr:col>
      <xdr:colOff>19049</xdr:colOff>
      <xdr:row>67</xdr:row>
      <xdr:rowOff>180975</xdr:rowOff>
    </xdr:to>
    <xdr:graphicFrame>
      <xdr:nvGraphicFramePr>
        <xdr:cNvPr id="14" name="Chart 13"/>
        <xdr:cNvGraphicFramePr/>
      </xdr:nvGraphicFramePr>
      <xdr:xfrm>
        <a:off x="15043785" y="8928735"/>
        <a:ext cx="10976610" cy="439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590549</xdr:colOff>
      <xdr:row>70</xdr:row>
      <xdr:rowOff>9525</xdr:rowOff>
    </xdr:from>
    <xdr:to>
      <xdr:col>39</xdr:col>
      <xdr:colOff>609599</xdr:colOff>
      <xdr:row>94</xdr:row>
      <xdr:rowOff>0</xdr:rowOff>
    </xdr:to>
    <xdr:graphicFrame>
      <xdr:nvGraphicFramePr>
        <xdr:cNvPr id="16" name="Chart 15"/>
        <xdr:cNvGraphicFramePr/>
      </xdr:nvGraphicFramePr>
      <xdr:xfrm>
        <a:off x="15024735" y="13703935"/>
        <a:ext cx="10955020" cy="4379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1"/>
  <sheetViews>
    <sheetView tabSelected="1" zoomScale="98" zoomScaleNormal="98" topLeftCell="A71" workbookViewId="0">
      <selection activeCell="C5" sqref="C5:E5"/>
    </sheetView>
  </sheetViews>
  <sheetFormatPr defaultColWidth="9.2037037037037" defaultRowHeight="14.4"/>
  <cols>
    <col min="1" max="1" width="9.2037037037037" style="2"/>
    <col min="2" max="2" width="17.2037037037037" style="2" customWidth="1"/>
    <col min="3" max="27" width="9.2037037037037" style="2"/>
    <col min="28" max="28" width="12.2037037037037" style="2" customWidth="1"/>
    <col min="29" max="41" width="9.2037037037037" style="2"/>
    <col min="42" max="42" width="11.2685185185185" style="2" customWidth="1"/>
    <col min="43" max="47" width="9.2037037037037" style="2"/>
    <col min="48" max="49" width="9.26851851851852" style="2" customWidth="1"/>
    <col min="50" max="50" width="9.2037037037037" style="2"/>
    <col min="51" max="51" width="9.26851851851852" style="2" customWidth="1"/>
    <col min="52" max="52" width="9.2037037037037" style="2"/>
    <col min="53" max="53" width="11" style="2" customWidth="1"/>
    <col min="54" max="54" width="11.2685185185185" style="2" customWidth="1"/>
    <col min="55" max="55" width="12" style="2" customWidth="1"/>
    <col min="56" max="56" width="10.7962962962963" style="2" customWidth="1"/>
    <col min="57" max="57" width="9.2037037037037" style="2"/>
    <col min="58" max="58" width="15" style="2" customWidth="1"/>
    <col min="59" max="60" width="9.2037037037037" style="2"/>
    <col min="61" max="61" width="11.2685185185185" style="2" customWidth="1"/>
    <col min="62" max="63" width="11.462962962963" style="2" customWidth="1"/>
    <col min="64" max="66" width="9.26851851851852" style="2" customWidth="1"/>
    <col min="67" max="67" width="12.7962962962963" style="2" customWidth="1"/>
    <col min="68" max="69" width="12.462962962963" style="2" customWidth="1"/>
    <col min="70" max="73" width="9.2037037037037" style="2"/>
    <col min="74" max="74" width="11.7962962962963" style="2" customWidth="1"/>
    <col min="75" max="75" width="12.7962962962963" style="2" customWidth="1"/>
    <col min="76" max="16384" width="9.2037037037037" style="2"/>
  </cols>
  <sheetData>
    <row r="1" ht="22.8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2.8" spans="1: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3.4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5" spans="2:5">
      <c r="B5" s="5" t="s">
        <v>2</v>
      </c>
      <c r="C5" s="6" t="s">
        <v>3</v>
      </c>
      <c r="D5" s="7"/>
      <c r="E5" s="8"/>
    </row>
    <row r="6" spans="2:5">
      <c r="B6" s="5" t="s">
        <v>4</v>
      </c>
      <c r="C6" s="6" t="s">
        <v>5</v>
      </c>
      <c r="D6" s="7"/>
      <c r="E6" s="8"/>
    </row>
    <row r="7" spans="2:5">
      <c r="B7" s="5" t="s">
        <v>6</v>
      </c>
      <c r="C7" s="6" t="str">
        <f>B26</f>
        <v>15 AGUSTUS 2009</v>
      </c>
      <c r="D7" s="7"/>
      <c r="E7" s="8"/>
    </row>
    <row r="8" ht="15.15" spans="2:5">
      <c r="B8" s="5" t="s">
        <v>7</v>
      </c>
      <c r="C8" s="6" t="s">
        <v>8</v>
      </c>
      <c r="D8" s="7"/>
      <c r="E8" s="8"/>
    </row>
    <row r="9" ht="15.15" spans="3:71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B9" s="2" t="s">
        <v>9</v>
      </c>
      <c r="AQ9" s="2" t="s">
        <v>10</v>
      </c>
      <c r="AY9" s="2" t="s">
        <v>11</v>
      </c>
      <c r="BJ9" s="10" t="s">
        <v>12</v>
      </c>
      <c r="BK9" s="10" t="s">
        <v>13</v>
      </c>
      <c r="BL9" s="10" t="s">
        <v>14</v>
      </c>
      <c r="BM9" s="10" t="s">
        <v>15</v>
      </c>
      <c r="BN9" s="10" t="s">
        <v>16</v>
      </c>
      <c r="BO9" s="10" t="s">
        <v>17</v>
      </c>
      <c r="BP9" s="10" t="s">
        <v>18</v>
      </c>
      <c r="BQ9" s="10" t="s">
        <v>19</v>
      </c>
      <c r="BS9" s="2" t="s">
        <v>20</v>
      </c>
    </row>
    <row r="10" ht="15.15" spans="2:78">
      <c r="B10" s="2" t="s">
        <v>21</v>
      </c>
      <c r="AB10" s="25"/>
      <c r="AC10" s="26" t="s">
        <v>22</v>
      </c>
      <c r="AD10" s="27"/>
      <c r="AE10" s="26" t="s">
        <v>23</v>
      </c>
      <c r="AF10" s="27"/>
      <c r="AG10" s="26" t="s">
        <v>24</v>
      </c>
      <c r="AH10" s="27"/>
      <c r="AI10" s="26" t="s">
        <v>25</v>
      </c>
      <c r="AJ10" s="27"/>
      <c r="AK10" s="26" t="s">
        <v>26</v>
      </c>
      <c r="AL10" s="27"/>
      <c r="AM10" s="26" t="s">
        <v>27</v>
      </c>
      <c r="AN10" s="27"/>
      <c r="AP10" s="25"/>
      <c r="AQ10" s="26" t="s">
        <v>28</v>
      </c>
      <c r="AR10" s="26" t="s">
        <v>22</v>
      </c>
      <c r="AS10" s="26" t="s">
        <v>23</v>
      </c>
      <c r="AT10" s="26" t="s">
        <v>24</v>
      </c>
      <c r="AU10" s="26" t="s">
        <v>25</v>
      </c>
      <c r="AV10" s="26" t="s">
        <v>26</v>
      </c>
      <c r="AW10" s="10" t="s">
        <v>27</v>
      </c>
      <c r="AX10" s="1"/>
      <c r="AY10" s="47" t="s">
        <v>29</v>
      </c>
      <c r="AZ10" s="47" t="s">
        <v>30</v>
      </c>
      <c r="BA10" s="10" t="s">
        <v>31</v>
      </c>
      <c r="BB10" s="10" t="s">
        <v>32</v>
      </c>
      <c r="BC10" s="10" t="s">
        <v>31</v>
      </c>
      <c r="BD10" s="10" t="s">
        <v>32</v>
      </c>
      <c r="BF10" s="55" t="s">
        <v>33</v>
      </c>
      <c r="BG10" s="56" t="s">
        <v>34</v>
      </c>
      <c r="BH10" s="57" t="s">
        <v>35</v>
      </c>
      <c r="BI10" s="58">
        <f>BC12</f>
        <v>100967.054818733</v>
      </c>
      <c r="BJ10" s="59">
        <f>BI10</f>
        <v>100967.054818733</v>
      </c>
      <c r="BK10" s="60" t="s">
        <v>36</v>
      </c>
      <c r="BL10" s="60" t="s">
        <v>36</v>
      </c>
      <c r="BM10" s="60" t="s">
        <v>36</v>
      </c>
      <c r="BN10" s="60" t="s">
        <v>36</v>
      </c>
      <c r="BO10" s="60" t="s">
        <v>36</v>
      </c>
      <c r="BP10" s="60" t="s">
        <v>36</v>
      </c>
      <c r="BQ10" s="58" t="s">
        <v>36</v>
      </c>
      <c r="BS10" s="56" t="s">
        <v>37</v>
      </c>
      <c r="BT10" s="94"/>
      <c r="BU10" s="94"/>
      <c r="BV10" s="94"/>
      <c r="BW10" s="122"/>
      <c r="BX10" s="95"/>
      <c r="BY10" s="95"/>
      <c r="BZ10" s="95"/>
    </row>
    <row r="11" s="1" customFormat="1" ht="15.15" spans="2:78">
      <c r="B11" s="10" t="s">
        <v>38</v>
      </c>
      <c r="C11" s="11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  <c r="Q11" s="12">
        <v>14</v>
      </c>
      <c r="R11" s="12">
        <v>15</v>
      </c>
      <c r="S11" s="12">
        <v>16</v>
      </c>
      <c r="T11" s="12">
        <v>17</v>
      </c>
      <c r="U11" s="12">
        <v>18</v>
      </c>
      <c r="V11" s="12">
        <v>19</v>
      </c>
      <c r="W11" s="12">
        <v>20</v>
      </c>
      <c r="X11" s="12">
        <v>21</v>
      </c>
      <c r="Y11" s="12">
        <v>22</v>
      </c>
      <c r="Z11" s="28">
        <v>23</v>
      </c>
      <c r="AB11" s="29" t="s">
        <v>39</v>
      </c>
      <c r="AC11" s="30" t="s">
        <v>40</v>
      </c>
      <c r="AD11" s="30" t="s">
        <v>36</v>
      </c>
      <c r="AE11" s="30" t="s">
        <v>40</v>
      </c>
      <c r="AF11" s="30" t="s">
        <v>36</v>
      </c>
      <c r="AG11" s="30" t="s">
        <v>40</v>
      </c>
      <c r="AH11" s="30" t="s">
        <v>36</v>
      </c>
      <c r="AI11" s="30" t="s">
        <v>40</v>
      </c>
      <c r="AJ11" s="30" t="s">
        <v>36</v>
      </c>
      <c r="AK11" s="30" t="s">
        <v>40</v>
      </c>
      <c r="AL11" s="30" t="s">
        <v>36</v>
      </c>
      <c r="AM11" s="30" t="s">
        <v>40</v>
      </c>
      <c r="AN11" s="30" t="s">
        <v>36</v>
      </c>
      <c r="AP11" s="29" t="s">
        <v>39</v>
      </c>
      <c r="AQ11" s="43"/>
      <c r="AR11" s="43" t="s">
        <v>41</v>
      </c>
      <c r="AS11" s="43" t="s">
        <v>41</v>
      </c>
      <c r="AT11" s="43" t="s">
        <v>41</v>
      </c>
      <c r="AU11" s="43" t="s">
        <v>41</v>
      </c>
      <c r="AV11" s="43" t="s">
        <v>41</v>
      </c>
      <c r="AW11" s="43" t="s">
        <v>41</v>
      </c>
      <c r="AX11" s="48"/>
      <c r="AY11" s="47"/>
      <c r="AZ11" s="47"/>
      <c r="BA11" s="10" t="s">
        <v>42</v>
      </c>
      <c r="BB11" s="10"/>
      <c r="BC11" s="10"/>
      <c r="BD11" s="10"/>
      <c r="BF11" s="61" t="s">
        <v>43</v>
      </c>
      <c r="BG11" s="62" t="s">
        <v>44</v>
      </c>
      <c r="BH11" s="1" t="s">
        <v>35</v>
      </c>
      <c r="BI11" s="63">
        <f>BC13</f>
        <v>-959.327089777678</v>
      </c>
      <c r="BJ11" s="64" t="s">
        <v>36</v>
      </c>
      <c r="BK11" s="65" t="s">
        <v>36</v>
      </c>
      <c r="BL11" s="65" t="s">
        <v>36</v>
      </c>
      <c r="BM11" s="65" t="s">
        <v>36</v>
      </c>
      <c r="BN11" s="65">
        <f>1*BI11</f>
        <v>-959.327089777678</v>
      </c>
      <c r="BO11" s="65">
        <f>-0.08*BI11</f>
        <v>76.7461671822143</v>
      </c>
      <c r="BP11" s="65" t="s">
        <v>36</v>
      </c>
      <c r="BQ11" s="63" t="s">
        <v>36</v>
      </c>
      <c r="BS11" s="62" t="s">
        <v>45</v>
      </c>
      <c r="BT11" s="95" t="s">
        <v>46</v>
      </c>
      <c r="BU11" s="95" t="s">
        <v>47</v>
      </c>
      <c r="BV11" s="123">
        <f>BN37</f>
        <v>233.6</v>
      </c>
      <c r="BW11" s="124"/>
      <c r="BX11" s="95"/>
      <c r="BY11" s="95"/>
      <c r="BZ11" s="95"/>
    </row>
    <row r="12" ht="15.15" spans="2:78">
      <c r="B12" s="13" t="s">
        <v>48</v>
      </c>
      <c r="C12" s="14">
        <v>128.810347530382</v>
      </c>
      <c r="D12" s="15">
        <v>120.783493321635</v>
      </c>
      <c r="E12" s="15">
        <v>114.87715171087</v>
      </c>
      <c r="F12" s="15">
        <v>112.302581719619</v>
      </c>
      <c r="G12" s="15">
        <v>113.047381238877</v>
      </c>
      <c r="H12" s="15">
        <v>116.248085965862</v>
      </c>
      <c r="I12" s="15">
        <v>120.783540884468</v>
      </c>
      <c r="J12" s="15">
        <v>125.638018280463</v>
      </c>
      <c r="K12" s="15">
        <v>129.987038424056</v>
      </c>
      <c r="L12" s="15">
        <v>133.251199364288</v>
      </c>
      <c r="M12" s="15">
        <v>135.276574565686</v>
      </c>
      <c r="N12" s="15">
        <v>136.534969271982</v>
      </c>
      <c r="O12" s="15">
        <v>138.115607564044</v>
      </c>
      <c r="P12" s="15">
        <v>141.383283700309</v>
      </c>
      <c r="Q12" s="15">
        <v>147.384954667749</v>
      </c>
      <c r="R12" s="15">
        <v>156.268244232652</v>
      </c>
      <c r="S12" s="15">
        <v>167.025693232772</v>
      </c>
      <c r="T12" s="15">
        <v>177.719263839766</v>
      </c>
      <c r="U12" s="15">
        <v>186.05387419262</v>
      </c>
      <c r="V12" s="15">
        <v>190.001803824005</v>
      </c>
      <c r="W12" s="15">
        <v>188.262008369791</v>
      </c>
      <c r="X12" s="15">
        <v>180.522278772494</v>
      </c>
      <c r="Y12" s="15">
        <v>167.566749770097</v>
      </c>
      <c r="Z12" s="31">
        <v>151.218881210191</v>
      </c>
      <c r="AB12" s="32" t="s">
        <v>49</v>
      </c>
      <c r="AC12" s="33">
        <f>SUM(I12:T12)</f>
        <v>1709.36838802824</v>
      </c>
      <c r="AD12" s="34">
        <f>SUM(C12:H12)+SUM(U12:Z12)</f>
        <v>1769.69463762644</v>
      </c>
      <c r="AE12" s="34">
        <f>SUM(O12:Z12)</f>
        <v>1991.52264337649</v>
      </c>
      <c r="AF12" s="34">
        <f>SUM(C12:N12)</f>
        <v>1487.54038227819</v>
      </c>
      <c r="AG12" s="34">
        <f>SUM(C12:E12)+SUM(L12:Q12)+SUM(X12:Z12)</f>
        <v>1695.72549144973</v>
      </c>
      <c r="AH12" s="34">
        <f>SUM(F12:K12)+SUM(R12:W12)</f>
        <v>1783.33753420495</v>
      </c>
      <c r="AI12" s="34">
        <f>SUM(C12:H12)+SUM(O12:T12)</f>
        <v>1633.96608872454</v>
      </c>
      <c r="AJ12" s="34">
        <f>SUM(I12:N12)+SUM(U12:Z12)</f>
        <v>1845.09693693014</v>
      </c>
      <c r="AK12" s="34">
        <f>C12++H12+I12+N12+O12+T12+U12+Z12</f>
        <v>1155.48457045932</v>
      </c>
      <c r="AL12" s="34">
        <f>E12+F12+K12+L12+Q12+R12+W12+X12</f>
        <v>1162.85545726152</v>
      </c>
      <c r="AM12" s="34">
        <f>SUM(C12:E12)+SUM(I12:K12)+SUM(O12:Q12)+SUM(U12:W12)</f>
        <v>1732.08112247039</v>
      </c>
      <c r="AN12" s="34">
        <f>SUM(F12:H12)+SUM(L12:N12)+SUM(R12:T12)+SUM(X12:Z12)</f>
        <v>1746.98190318429</v>
      </c>
      <c r="AP12" s="36" t="s">
        <v>49</v>
      </c>
      <c r="AQ12" s="44">
        <f>SUM(AC12:AD12)</f>
        <v>3479.06302565468</v>
      </c>
      <c r="AR12" s="44">
        <f>(AC12-AD12)+$AR$11</f>
        <v>-50.3262495982081</v>
      </c>
      <c r="AS12" s="44">
        <f>(AE12-AF12)+$AS$11</f>
        <v>513.982261098302</v>
      </c>
      <c r="AT12" s="44">
        <f>(AG12-AH12)+$AT$11</f>
        <v>-77.6120427552239</v>
      </c>
      <c r="AU12" s="44">
        <f>(AI12-AJ12)+$AU$11</f>
        <v>-201.130848205604</v>
      </c>
      <c r="AV12" s="44">
        <f>(AK12-AL12)+$AV$11</f>
        <v>2.62911319779619</v>
      </c>
      <c r="AW12" s="44">
        <f>(AM12-AN12)+$AW$11</f>
        <v>-4.90078071389394</v>
      </c>
      <c r="AX12" s="40"/>
      <c r="AY12" s="10">
        <v>0</v>
      </c>
      <c r="AZ12" s="10" t="s">
        <v>40</v>
      </c>
      <c r="BA12" s="44">
        <f>SUM(AQ12:AQ40)</f>
        <v>100967.054818733</v>
      </c>
      <c r="BB12" s="44"/>
      <c r="BC12" s="44">
        <f>BA12</f>
        <v>100967.054818733</v>
      </c>
      <c r="BD12" s="44"/>
      <c r="BF12" s="61" t="s">
        <v>50</v>
      </c>
      <c r="BG12" s="62" t="s">
        <v>51</v>
      </c>
      <c r="BH12" s="1" t="s">
        <v>35</v>
      </c>
      <c r="BI12" s="63">
        <f>BC15-BD18</f>
        <v>3874.80066123218</v>
      </c>
      <c r="BJ12" s="64" t="s">
        <v>36</v>
      </c>
      <c r="BK12" s="65">
        <f>0.07*BI12</f>
        <v>271.236046286252</v>
      </c>
      <c r="BL12" s="65" t="s">
        <v>36</v>
      </c>
      <c r="BM12" s="65" t="s">
        <v>36</v>
      </c>
      <c r="BN12" s="65">
        <f>-0.02*BI12</f>
        <v>-77.4960132246435</v>
      </c>
      <c r="BO12" s="65">
        <f>1*BI12</f>
        <v>3874.80066123218</v>
      </c>
      <c r="BP12" s="65" t="s">
        <v>36</v>
      </c>
      <c r="BQ12" s="63">
        <f>0.02*BI12</f>
        <v>77.4960132246435</v>
      </c>
      <c r="BS12" s="62" t="s">
        <v>45</v>
      </c>
      <c r="BT12" s="95" t="s">
        <v>46</v>
      </c>
      <c r="BU12" s="95" t="s">
        <v>52</v>
      </c>
      <c r="BV12" s="123">
        <f>BN38</f>
        <v>6.1</v>
      </c>
      <c r="BW12" s="124"/>
      <c r="BX12" s="95"/>
      <c r="BY12" s="95"/>
      <c r="BZ12" s="95"/>
    </row>
    <row r="13" ht="15.15" spans="2:78">
      <c r="B13" s="13" t="s">
        <v>53</v>
      </c>
      <c r="C13" s="16">
        <v>134.064678286508</v>
      </c>
      <c r="D13" s="17">
        <v>118.949398862479</v>
      </c>
      <c r="E13" s="17">
        <v>108.346400945007</v>
      </c>
      <c r="F13" s="17">
        <v>103.773789549127</v>
      </c>
      <c r="G13" s="17">
        <v>105.437801674528</v>
      </c>
      <c r="H13" s="17">
        <v>112.215760687018</v>
      </c>
      <c r="I13" s="17">
        <v>121.979485814319</v>
      </c>
      <c r="J13" s="17">
        <v>132.147324753629</v>
      </c>
      <c r="K13" s="17">
        <v>140.304993101381</v>
      </c>
      <c r="L13" s="17">
        <v>144.770576155973</v>
      </c>
      <c r="M13" s="17">
        <v>145.024278757748</v>
      </c>
      <c r="N13" s="17">
        <v>141.908736021644</v>
      </c>
      <c r="O13" s="17">
        <v>137.480604027032</v>
      </c>
      <c r="P13" s="17">
        <v>134.464057625949</v>
      </c>
      <c r="Q13" s="17">
        <v>135.419341337122</v>
      </c>
      <c r="R13" s="17">
        <v>141.87835272525</v>
      </c>
      <c r="S13" s="17">
        <v>153.728140318733</v>
      </c>
      <c r="T13" s="17">
        <v>169.052731650348</v>
      </c>
      <c r="U13" s="17">
        <v>184.519129674282</v>
      </c>
      <c r="V13" s="17">
        <v>196.23824268345</v>
      </c>
      <c r="W13" s="17">
        <v>200.865195055202</v>
      </c>
      <c r="X13" s="17">
        <v>196.584712555108</v>
      </c>
      <c r="Y13" s="17">
        <v>183.642595012915</v>
      </c>
      <c r="Z13" s="35">
        <v>164.26004695447</v>
      </c>
      <c r="AB13" s="36" t="s">
        <v>54</v>
      </c>
      <c r="AC13" s="33">
        <f t="shared" ref="AC13:AC40" si="0">SUM(I13:T13)</f>
        <v>1698.15862228913</v>
      </c>
      <c r="AD13" s="34">
        <f t="shared" ref="AD13:AD40" si="1">SUM(C13:H13)+SUM(U13:Z13)</f>
        <v>1808.89775194009</v>
      </c>
      <c r="AE13" s="34">
        <f t="shared" ref="AE13:AE40" si="2">SUM(O13:Z13)</f>
        <v>1998.13314961986</v>
      </c>
      <c r="AF13" s="34">
        <f t="shared" ref="AF13:AF40" si="3">SUM(C13:N13)</f>
        <v>1508.92322460936</v>
      </c>
      <c r="AG13" s="34">
        <f t="shared" ref="AG13:AG40" si="4">SUM(C13:E13)+SUM(L13:Q13)+SUM(X13:Z13)</f>
        <v>1744.91542654195</v>
      </c>
      <c r="AH13" s="34">
        <f t="shared" ref="AH13:AH40" si="5">SUM(F13:K13)+SUM(R13:W13)</f>
        <v>1762.14094768727</v>
      </c>
      <c r="AI13" s="34">
        <f t="shared" ref="AI13:AI40" si="6">SUM(C13:H13)+SUM(O13:T13)</f>
        <v>1554.8110576891</v>
      </c>
      <c r="AJ13" s="34">
        <f t="shared" ref="AJ13:AJ40" si="7">SUM(I13:N13)+SUM(U13:Z13)</f>
        <v>1952.24531654012</v>
      </c>
      <c r="AK13" s="34">
        <f t="shared" ref="AK13:AK40" si="8">C13++H13+I13+N13+O13+T13+U13+Z13</f>
        <v>1165.48117311562</v>
      </c>
      <c r="AL13" s="34">
        <f t="shared" ref="AL13:AL40" si="9">E13+F13+K13+L13+Q13+R13+W13+X13</f>
        <v>1171.94336142417</v>
      </c>
      <c r="AM13" s="34">
        <f t="shared" ref="AM13:AM40" si="10">SUM(C13:E13)+SUM(I13:K13)+SUM(O13:Q13)+SUM(U13:W13)</f>
        <v>1744.77885216636</v>
      </c>
      <c r="AN13" s="34">
        <f t="shared" ref="AN13:AN40" si="11">SUM(F13:H13)+SUM(L13:N13)+SUM(R13:T13)+SUM(X13:Z13)</f>
        <v>1762.27752206286</v>
      </c>
      <c r="AP13" s="36" t="s">
        <v>54</v>
      </c>
      <c r="AQ13" s="44">
        <f t="shared" ref="AQ13:AQ40" si="12">SUM(AC13:AD13)</f>
        <v>3507.05637422922</v>
      </c>
      <c r="AR13" s="44">
        <f t="shared" ref="AR13:AR40" si="13">(AC13-AD13)+$AR$11</f>
        <v>-100.739129650966</v>
      </c>
      <c r="AS13" s="44">
        <f t="shared" ref="AS13:AS40" si="14">(AE13-AF13)+$AS$11</f>
        <v>499.2099250105</v>
      </c>
      <c r="AT13" s="44">
        <f t="shared" ref="AT13:AT40" si="15">(AG13-AH13)+$AT$11</f>
        <v>-7.22552114531231</v>
      </c>
      <c r="AU13" s="44">
        <f t="shared" ref="AU13:AU40" si="16">(AI13-AJ13)+$AU$11</f>
        <v>-387.43425885102</v>
      </c>
      <c r="AV13" s="44">
        <f t="shared" ref="AV13:AV40" si="17">(AK13-AL13)+$AV$11</f>
        <v>3.537811691451</v>
      </c>
      <c r="AW13" s="44">
        <f t="shared" ref="AW13:AW40" si="18">(AM13-AN13)+$AW$11</f>
        <v>-7.49866989650195</v>
      </c>
      <c r="AX13" s="40"/>
      <c r="AY13" s="30">
        <v>10</v>
      </c>
      <c r="AZ13" s="10" t="s">
        <v>40</v>
      </c>
      <c r="BA13" s="44">
        <f>SUM(AR12:AR40)</f>
        <v>-669.327089777678</v>
      </c>
      <c r="BB13" s="44">
        <f>SUM(AS12:AS40)</f>
        <v>9788.80469314222</v>
      </c>
      <c r="BC13" s="49">
        <f>BA13-BA14</f>
        <v>-959.327089777678</v>
      </c>
      <c r="BD13" s="49">
        <f>BB13-BB14</f>
        <v>9498.80469314222</v>
      </c>
      <c r="BF13" s="66"/>
      <c r="BG13" s="67" t="s">
        <v>55</v>
      </c>
      <c r="BH13" s="1" t="s">
        <v>35</v>
      </c>
      <c r="BI13" s="63">
        <f>BC20-BD23</f>
        <v>1842.69209076605</v>
      </c>
      <c r="BJ13" s="64" t="s">
        <v>36</v>
      </c>
      <c r="BK13" s="65" t="s">
        <v>36</v>
      </c>
      <c r="BL13" s="65" t="s">
        <v>36</v>
      </c>
      <c r="BM13" s="65" t="s">
        <v>36</v>
      </c>
      <c r="BN13" s="65" t="s">
        <v>36</v>
      </c>
      <c r="BO13" s="65" t="s">
        <v>36</v>
      </c>
      <c r="BP13" s="65" t="s">
        <v>36</v>
      </c>
      <c r="BQ13" s="63" t="s">
        <v>36</v>
      </c>
      <c r="BS13" s="62"/>
      <c r="BT13" s="95" t="s">
        <v>56</v>
      </c>
      <c r="BU13" s="95" t="s">
        <v>57</v>
      </c>
      <c r="BV13" s="123">
        <f>SUM(BV11:BV12)</f>
        <v>239.7</v>
      </c>
      <c r="BW13" s="124"/>
      <c r="BX13" s="95"/>
      <c r="BY13" s="95"/>
      <c r="BZ13" s="95"/>
    </row>
    <row r="14" ht="15.15" spans="2:78">
      <c r="B14" s="13" t="s">
        <v>58</v>
      </c>
      <c r="C14" s="16">
        <v>142.015109738147</v>
      </c>
      <c r="D14" s="17">
        <v>120.955524564737</v>
      </c>
      <c r="E14" s="17">
        <v>104.732656741408</v>
      </c>
      <c r="F14" s="17">
        <v>95.9285152427271</v>
      </c>
      <c r="G14" s="17">
        <v>95.5992084717984</v>
      </c>
      <c r="H14" s="17">
        <v>103.020386354153</v>
      </c>
      <c r="I14" s="17">
        <v>115.719534157937</v>
      </c>
      <c r="J14" s="17">
        <v>129.963668988414</v>
      </c>
      <c r="K14" s="17">
        <v>141.755428487267</v>
      </c>
      <c r="L14" s="17">
        <v>148.080433911271</v>
      </c>
      <c r="M14" s="17">
        <v>147.883487493251</v>
      </c>
      <c r="N14" s="17">
        <v>142.307820893777</v>
      </c>
      <c r="O14" s="17">
        <v>134.139639190846</v>
      </c>
      <c r="P14" s="17">
        <v>126.844058215023</v>
      </c>
      <c r="Q14" s="17">
        <v>123.667654905917</v>
      </c>
      <c r="R14" s="17">
        <v>126.979380083785</v>
      </c>
      <c r="S14" s="17">
        <v>137.716763664613</v>
      </c>
      <c r="T14" s="17">
        <v>154.870472125513</v>
      </c>
      <c r="U14" s="17">
        <v>175.275504452699</v>
      </c>
      <c r="V14" s="17">
        <v>194.122192061906</v>
      </c>
      <c r="W14" s="17">
        <v>206.281539539628</v>
      </c>
      <c r="X14" s="17">
        <v>207.985945800953</v>
      </c>
      <c r="Y14" s="17">
        <v>198.104323803077</v>
      </c>
      <c r="Z14" s="35">
        <v>178.4562342159</v>
      </c>
      <c r="AB14" s="36" t="s">
        <v>59</v>
      </c>
      <c r="AC14" s="33">
        <f t="shared" si="0"/>
        <v>1629.92834211761</v>
      </c>
      <c r="AD14" s="34">
        <f t="shared" si="1"/>
        <v>1822.47714098713</v>
      </c>
      <c r="AE14" s="34">
        <f t="shared" si="2"/>
        <v>1964.44370805986</v>
      </c>
      <c r="AF14" s="34">
        <f t="shared" si="3"/>
        <v>1487.96177504489</v>
      </c>
      <c r="AG14" s="34">
        <f t="shared" si="4"/>
        <v>1775.17288947431</v>
      </c>
      <c r="AH14" s="34">
        <f t="shared" si="5"/>
        <v>1677.23259363044</v>
      </c>
      <c r="AI14" s="34">
        <f t="shared" si="6"/>
        <v>1466.46936929867</v>
      </c>
      <c r="AJ14" s="34">
        <f t="shared" si="7"/>
        <v>1985.93611380608</v>
      </c>
      <c r="AK14" s="34">
        <f t="shared" si="8"/>
        <v>1145.80470112897</v>
      </c>
      <c r="AL14" s="34">
        <f t="shared" si="9"/>
        <v>1155.41155471296</v>
      </c>
      <c r="AM14" s="34">
        <f t="shared" si="10"/>
        <v>1715.47251104393</v>
      </c>
      <c r="AN14" s="34">
        <f t="shared" si="11"/>
        <v>1736.93297206082</v>
      </c>
      <c r="AP14" s="36" t="s">
        <v>59</v>
      </c>
      <c r="AQ14" s="44">
        <f t="shared" si="12"/>
        <v>3452.40548310475</v>
      </c>
      <c r="AR14" s="44">
        <f t="shared" si="13"/>
        <v>-182.548798869519</v>
      </c>
      <c r="AS14" s="44">
        <f t="shared" si="14"/>
        <v>486.481933014973</v>
      </c>
      <c r="AT14" s="44">
        <f t="shared" si="15"/>
        <v>107.940295843866</v>
      </c>
      <c r="AU14" s="44">
        <f t="shared" si="16"/>
        <v>-509.466744507412</v>
      </c>
      <c r="AV14" s="44">
        <f t="shared" si="17"/>
        <v>0.393146416015952</v>
      </c>
      <c r="AW14" s="44">
        <f t="shared" si="18"/>
        <v>-11.4604610168897</v>
      </c>
      <c r="AX14" s="40"/>
      <c r="AY14" s="29"/>
      <c r="AZ14" s="10" t="s">
        <v>36</v>
      </c>
      <c r="BA14" s="44">
        <f>29*AR11</f>
        <v>290</v>
      </c>
      <c r="BB14" s="44">
        <f>29*AS11</f>
        <v>290</v>
      </c>
      <c r="BC14" s="50"/>
      <c r="BD14" s="50"/>
      <c r="BF14" s="66"/>
      <c r="BG14" s="67" t="s">
        <v>60</v>
      </c>
      <c r="BH14" s="1" t="s">
        <v>35</v>
      </c>
      <c r="BI14" s="63">
        <f>BC25</f>
        <v>11665.0620032884</v>
      </c>
      <c r="BJ14" s="64" t="s">
        <v>36</v>
      </c>
      <c r="BK14" s="65">
        <f>-0.03*BI14</f>
        <v>-349.951860098652</v>
      </c>
      <c r="BL14" s="65">
        <f>1*BI14</f>
        <v>11665.0620032884</v>
      </c>
      <c r="BM14" s="65">
        <f>-0.03*BI14</f>
        <v>-349.951860098652</v>
      </c>
      <c r="BN14" s="65" t="s">
        <v>36</v>
      </c>
      <c r="BO14" s="65" t="s">
        <v>36</v>
      </c>
      <c r="BP14" s="65" t="s">
        <v>36</v>
      </c>
      <c r="BQ14" s="63" t="s">
        <v>36</v>
      </c>
      <c r="BS14" s="62" t="s">
        <v>61</v>
      </c>
      <c r="BT14" s="95" t="s">
        <v>62</v>
      </c>
      <c r="BU14" s="95" t="s">
        <v>63</v>
      </c>
      <c r="BV14" s="123">
        <f>(((BV13-230)/(240-230))*(-9.8-(-13)))+(-13)</f>
        <v>-9.896</v>
      </c>
      <c r="BW14" s="124"/>
      <c r="BX14" s="95"/>
      <c r="BY14" s="95"/>
      <c r="BZ14" s="95"/>
    </row>
    <row r="15" ht="15.15" spans="2:78">
      <c r="B15" s="13" t="s">
        <v>64</v>
      </c>
      <c r="C15" s="16">
        <v>153.139547851961</v>
      </c>
      <c r="D15" s="17">
        <v>127.299034766417</v>
      </c>
      <c r="E15" s="17">
        <v>105.872322969351</v>
      </c>
      <c r="F15" s="17">
        <v>92.6388300325749</v>
      </c>
      <c r="G15" s="17">
        <v>89.6035623181771</v>
      </c>
      <c r="H15" s="17">
        <v>96.6265924118032</v>
      </c>
      <c r="I15" s="17">
        <v>111.327837123256</v>
      </c>
      <c r="J15" s="17">
        <v>129.466790235654</v>
      </c>
      <c r="K15" s="17">
        <v>145.954815828237</v>
      </c>
      <c r="L15" s="17">
        <v>156.340343533802</v>
      </c>
      <c r="M15" s="17">
        <v>158.234822412007</v>
      </c>
      <c r="N15" s="17">
        <v>152.04307106269</v>
      </c>
      <c r="O15" s="17">
        <v>140.674736795583</v>
      </c>
      <c r="P15" s="17">
        <v>128.456472759516</v>
      </c>
      <c r="Q15" s="17">
        <v>119.826667824915</v>
      </c>
      <c r="R15" s="17">
        <v>118.301050387087</v>
      </c>
      <c r="S15" s="17">
        <v>125.796583446859</v>
      </c>
      <c r="T15" s="17">
        <v>142.139274277344</v>
      </c>
      <c r="U15" s="17">
        <v>164.732572308162</v>
      </c>
      <c r="V15" s="17">
        <v>188.709590230535</v>
      </c>
      <c r="W15" s="17">
        <v>207.945042152382</v>
      </c>
      <c r="X15" s="17">
        <v>216.850769028112</v>
      </c>
      <c r="Y15" s="17">
        <v>212.269093320777</v>
      </c>
      <c r="Z15" s="35">
        <v>194.583416098472</v>
      </c>
      <c r="AB15" s="36" t="s">
        <v>65</v>
      </c>
      <c r="AC15" s="33">
        <f t="shared" si="0"/>
        <v>1628.56246568695</v>
      </c>
      <c r="AD15" s="34">
        <f t="shared" si="1"/>
        <v>1850.27037348872</v>
      </c>
      <c r="AE15" s="34">
        <f t="shared" si="2"/>
        <v>1960.28526862974</v>
      </c>
      <c r="AF15" s="34">
        <f t="shared" si="3"/>
        <v>1518.54757054593</v>
      </c>
      <c r="AG15" s="34">
        <f t="shared" si="4"/>
        <v>1865.5902984236</v>
      </c>
      <c r="AH15" s="34">
        <f t="shared" si="5"/>
        <v>1613.24254075207</v>
      </c>
      <c r="AI15" s="34">
        <f t="shared" si="6"/>
        <v>1440.37467584159</v>
      </c>
      <c r="AJ15" s="34">
        <f t="shared" si="7"/>
        <v>2038.45816333409</v>
      </c>
      <c r="AK15" s="34">
        <f t="shared" si="8"/>
        <v>1155.26704792927</v>
      </c>
      <c r="AL15" s="34">
        <f t="shared" si="9"/>
        <v>1163.72984175646</v>
      </c>
      <c r="AM15" s="34">
        <f t="shared" si="10"/>
        <v>1723.40543084597</v>
      </c>
      <c r="AN15" s="34">
        <f t="shared" si="11"/>
        <v>1755.42740832971</v>
      </c>
      <c r="AP15" s="36" t="s">
        <v>65</v>
      </c>
      <c r="AQ15" s="44">
        <f t="shared" si="12"/>
        <v>3478.83283917567</v>
      </c>
      <c r="AR15" s="44">
        <f t="shared" si="13"/>
        <v>-211.707907801775</v>
      </c>
      <c r="AS15" s="44">
        <f t="shared" si="14"/>
        <v>451.737698083814</v>
      </c>
      <c r="AT15" s="44">
        <f t="shared" si="15"/>
        <v>262.347757671532</v>
      </c>
      <c r="AU15" s="44">
        <f t="shared" si="16"/>
        <v>-588.083487492498</v>
      </c>
      <c r="AV15" s="44">
        <f t="shared" si="17"/>
        <v>1.53720617281056</v>
      </c>
      <c r="AW15" s="44">
        <f t="shared" si="18"/>
        <v>-22.0219774837362</v>
      </c>
      <c r="AX15" s="40"/>
      <c r="AY15" s="30">
        <v>12</v>
      </c>
      <c r="AZ15" s="10" t="s">
        <v>40</v>
      </c>
      <c r="BA15" s="44">
        <f>SUM(AR12:AR15)+SUM(AR23:AR29)+SUM(AR37:AR40)</f>
        <v>337.912164370557</v>
      </c>
      <c r="BB15" s="44">
        <f>SUM(AS12:AS15)+SUM(AS23:AS29)+SUM(AS37:AS40)</f>
        <v>6696.64474268995</v>
      </c>
      <c r="BC15" s="49">
        <f>BA15-BA16-BA17</f>
        <v>1335.15141851879</v>
      </c>
      <c r="BD15" s="49">
        <f>BB15-BB16-BB17</f>
        <v>3594.48479223768</v>
      </c>
      <c r="BF15" s="66"/>
      <c r="BG15" s="67" t="s">
        <v>66</v>
      </c>
      <c r="BH15" s="1" t="s">
        <v>35</v>
      </c>
      <c r="BI15" s="63">
        <f>BC27-BD30</f>
        <v>-17198.3788751467</v>
      </c>
      <c r="BJ15" s="64" t="s">
        <v>36</v>
      </c>
      <c r="BK15" s="65">
        <f>1*BI15</f>
        <v>-17198.3788751467</v>
      </c>
      <c r="BL15" s="65">
        <f>0.015*BI15</f>
        <v>-257.975683127201</v>
      </c>
      <c r="BM15" s="65">
        <f>0.038*BI15</f>
        <v>-653.538397255575</v>
      </c>
      <c r="BN15" s="65">
        <f>0.002*BI15</f>
        <v>-34.3967577502934</v>
      </c>
      <c r="BO15" s="65">
        <f>-0.058*BI15</f>
        <v>997.505974758509</v>
      </c>
      <c r="BP15" s="65" t="s">
        <v>36</v>
      </c>
      <c r="BQ15" s="63">
        <f>-0.035*BI15</f>
        <v>601.943260630135</v>
      </c>
      <c r="BS15" s="62" t="s">
        <v>61</v>
      </c>
      <c r="BT15" s="95" t="s">
        <v>62</v>
      </c>
      <c r="BU15" s="95" t="s">
        <v>67</v>
      </c>
      <c r="BV15" s="123">
        <f>(((BV13-230)/(240-230))*(0.115-0.029))+0.029</f>
        <v>0.11242</v>
      </c>
      <c r="BW15" s="124"/>
      <c r="BX15" s="95"/>
      <c r="BY15" s="95"/>
      <c r="BZ15" s="95"/>
    </row>
    <row r="16" ht="15.15" spans="2:78">
      <c r="B16" s="13" t="s">
        <v>68</v>
      </c>
      <c r="C16" s="16">
        <v>167.57937936194</v>
      </c>
      <c r="D16" s="17">
        <v>137.241986874922</v>
      </c>
      <c r="E16" s="17">
        <v>110.066929330284</v>
      </c>
      <c r="F16" s="17">
        <v>91.4627638781464</v>
      </c>
      <c r="G16" s="17">
        <v>84.619389456293</v>
      </c>
      <c r="H16" s="17">
        <v>89.9944680262207</v>
      </c>
      <c r="I16" s="17">
        <v>105.375337649469</v>
      </c>
      <c r="J16" s="17">
        <v>126.380726165886</v>
      </c>
      <c r="K16" s="17">
        <v>147.340588422356</v>
      </c>
      <c r="L16" s="17">
        <v>162.594464294481</v>
      </c>
      <c r="M16" s="17">
        <v>168.101940876732</v>
      </c>
      <c r="N16" s="17">
        <v>162.854183950589</v>
      </c>
      <c r="O16" s="17">
        <v>149.340637791376</v>
      </c>
      <c r="P16" s="17">
        <v>132.677250262411</v>
      </c>
      <c r="Q16" s="17">
        <v>118.780899152097</v>
      </c>
      <c r="R16" s="17">
        <v>112.513361906771</v>
      </c>
      <c r="S16" s="17">
        <v>116.543225482222</v>
      </c>
      <c r="T16" s="17">
        <v>131.016317020419</v>
      </c>
      <c r="U16" s="17">
        <v>153.659593935977</v>
      </c>
      <c r="V16" s="17">
        <v>180.057695399577</v>
      </c>
      <c r="W16" s="17">
        <v>204.252997768949</v>
      </c>
      <c r="X16" s="17">
        <v>219.952491661053</v>
      </c>
      <c r="Y16" s="17">
        <v>222.270969115981</v>
      </c>
      <c r="Z16" s="35">
        <v>209.436513233243</v>
      </c>
      <c r="AB16" s="36" t="s">
        <v>69</v>
      </c>
      <c r="AC16" s="33">
        <f t="shared" si="0"/>
        <v>1633.51893297481</v>
      </c>
      <c r="AD16" s="34">
        <f t="shared" si="1"/>
        <v>1870.59517804259</v>
      </c>
      <c r="AE16" s="34">
        <f t="shared" si="2"/>
        <v>1950.50195273008</v>
      </c>
      <c r="AF16" s="34">
        <f t="shared" si="3"/>
        <v>1553.61215828732</v>
      </c>
      <c r="AG16" s="34">
        <f t="shared" si="4"/>
        <v>1960.89764590511</v>
      </c>
      <c r="AH16" s="34">
        <f t="shared" si="5"/>
        <v>1543.21646511229</v>
      </c>
      <c r="AI16" s="34">
        <f t="shared" si="6"/>
        <v>1441.8366085431</v>
      </c>
      <c r="AJ16" s="34">
        <f t="shared" si="7"/>
        <v>2062.27750247429</v>
      </c>
      <c r="AK16" s="34">
        <f t="shared" si="8"/>
        <v>1169.25643096923</v>
      </c>
      <c r="AL16" s="34">
        <f t="shared" si="9"/>
        <v>1166.96449641414</v>
      </c>
      <c r="AM16" s="34">
        <f t="shared" si="10"/>
        <v>1732.75402211524</v>
      </c>
      <c r="AN16" s="34">
        <f t="shared" si="11"/>
        <v>1771.36008890215</v>
      </c>
      <c r="AP16" s="36" t="s">
        <v>69</v>
      </c>
      <c r="AQ16" s="44">
        <f t="shared" si="12"/>
        <v>3504.11411101739</v>
      </c>
      <c r="AR16" s="44">
        <f t="shared" si="13"/>
        <v>-227.076245067777</v>
      </c>
      <c r="AS16" s="44">
        <f t="shared" si="14"/>
        <v>406.889794442757</v>
      </c>
      <c r="AT16" s="44">
        <f t="shared" si="15"/>
        <v>427.681180792823</v>
      </c>
      <c r="AU16" s="44">
        <f t="shared" si="16"/>
        <v>-610.440893931191</v>
      </c>
      <c r="AV16" s="44">
        <f t="shared" si="17"/>
        <v>12.2919345550965</v>
      </c>
      <c r="AW16" s="44">
        <f t="shared" si="18"/>
        <v>-28.6060667869069</v>
      </c>
      <c r="AX16" s="40"/>
      <c r="AY16" s="51"/>
      <c r="AZ16" s="10" t="s">
        <v>36</v>
      </c>
      <c r="BA16" s="44">
        <f>SUM(AR16:AR22)+SUM(AR30:AR36)</f>
        <v>-1007.23925414823</v>
      </c>
      <c r="BB16" s="44">
        <f>SUM(AS16:AS22)+SUM(AS30:AS36)</f>
        <v>3092.15995045227</v>
      </c>
      <c r="BC16" s="52"/>
      <c r="BD16" s="52"/>
      <c r="BF16" s="66"/>
      <c r="BG16" s="67" t="s">
        <v>70</v>
      </c>
      <c r="BH16" s="1" t="s">
        <v>35</v>
      </c>
      <c r="BI16" s="63">
        <f>BC32-BD35</f>
        <v>-295.83743081113</v>
      </c>
      <c r="BJ16" s="64" t="s">
        <v>36</v>
      </c>
      <c r="BK16" s="65">
        <f>-0.06*BI16</f>
        <v>17.7502458486678</v>
      </c>
      <c r="BL16" s="65" t="s">
        <v>36</v>
      </c>
      <c r="BM16" s="65">
        <f>1*BI16</f>
        <v>-295.83743081113</v>
      </c>
      <c r="BN16" s="65" t="s">
        <v>36</v>
      </c>
      <c r="BO16" s="65" t="s">
        <v>36</v>
      </c>
      <c r="BP16" s="65" t="s">
        <v>36</v>
      </c>
      <c r="BQ16" s="63" t="s">
        <v>36</v>
      </c>
      <c r="BS16" s="62" t="s">
        <v>71</v>
      </c>
      <c r="BT16" s="95" t="s">
        <v>72</v>
      </c>
      <c r="BU16" s="95" t="s">
        <v>73</v>
      </c>
      <c r="BV16" s="123">
        <v>1.212</v>
      </c>
      <c r="BW16" s="124"/>
      <c r="BX16" s="95"/>
      <c r="BY16" s="95"/>
      <c r="BZ16" s="95"/>
    </row>
    <row r="17" ht="15.15" spans="2:78">
      <c r="B17" s="13" t="s">
        <v>74</v>
      </c>
      <c r="C17" s="16">
        <v>183.687690292383</v>
      </c>
      <c r="D17" s="17">
        <v>150.854074394462</v>
      </c>
      <c r="E17" s="17">
        <v>118.668628803426</v>
      </c>
      <c r="F17" s="17">
        <v>94.4318529720628</v>
      </c>
      <c r="G17" s="17">
        <v>82.9502957817563</v>
      </c>
      <c r="H17" s="17">
        <v>85.5021713253403</v>
      </c>
      <c r="I17" s="17">
        <v>99.9980574352903</v>
      </c>
      <c r="J17" s="17">
        <v>121.911976484531</v>
      </c>
      <c r="K17" s="17">
        <v>145.419629892395</v>
      </c>
      <c r="L17" s="17">
        <v>164.525108596705</v>
      </c>
      <c r="M17" s="17">
        <v>174.301961576464</v>
      </c>
      <c r="N17" s="17">
        <v>172.257564719685</v>
      </c>
      <c r="O17" s="17">
        <v>159.360266825796</v>
      </c>
      <c r="P17" s="17">
        <v>140.026588727843</v>
      </c>
      <c r="Q17" s="17">
        <v>120.765773362058</v>
      </c>
      <c r="R17" s="17">
        <v>107.994123575831</v>
      </c>
      <c r="S17" s="17">
        <v>106.061167565437</v>
      </c>
      <c r="T17" s="17">
        <v>116.279324421709</v>
      </c>
      <c r="U17" s="17">
        <v>136.972100905952</v>
      </c>
      <c r="V17" s="17">
        <v>164.025147172388</v>
      </c>
      <c r="W17" s="17">
        <v>191.582757151683</v>
      </c>
      <c r="X17" s="17">
        <v>213.012175559177</v>
      </c>
      <c r="Y17" s="17">
        <v>222.37787945339</v>
      </c>
      <c r="Z17" s="35">
        <v>216.247068709943</v>
      </c>
      <c r="AB17" s="36" t="s">
        <v>75</v>
      </c>
      <c r="AC17" s="33">
        <f t="shared" si="0"/>
        <v>1628.90154318374</v>
      </c>
      <c r="AD17" s="34">
        <f t="shared" si="1"/>
        <v>1860.31184252196</v>
      </c>
      <c r="AE17" s="34">
        <f t="shared" si="2"/>
        <v>1894.70437343121</v>
      </c>
      <c r="AF17" s="34">
        <f t="shared" si="3"/>
        <v>1594.5090122745</v>
      </c>
      <c r="AG17" s="34">
        <f t="shared" si="4"/>
        <v>2036.08478102133</v>
      </c>
      <c r="AH17" s="34">
        <f t="shared" si="5"/>
        <v>1453.12860468438</v>
      </c>
      <c r="AI17" s="34">
        <f t="shared" si="6"/>
        <v>1466.5819580481</v>
      </c>
      <c r="AJ17" s="34">
        <f t="shared" si="7"/>
        <v>2022.6314276576</v>
      </c>
      <c r="AK17" s="34">
        <f t="shared" si="8"/>
        <v>1170.3042446361</v>
      </c>
      <c r="AL17" s="34">
        <f t="shared" si="9"/>
        <v>1156.40004991334</v>
      </c>
      <c r="AM17" s="34">
        <f t="shared" si="10"/>
        <v>1733.27269144821</v>
      </c>
      <c r="AN17" s="34">
        <f t="shared" si="11"/>
        <v>1755.9406942575</v>
      </c>
      <c r="AP17" s="36" t="s">
        <v>75</v>
      </c>
      <c r="AQ17" s="44">
        <f t="shared" si="12"/>
        <v>3489.21338570571</v>
      </c>
      <c r="AR17" s="44">
        <f t="shared" si="13"/>
        <v>-221.410299338219</v>
      </c>
      <c r="AS17" s="44">
        <f t="shared" si="14"/>
        <v>310.195361156706</v>
      </c>
      <c r="AT17" s="44">
        <f t="shared" si="15"/>
        <v>592.956176336956</v>
      </c>
      <c r="AU17" s="44">
        <f t="shared" si="16"/>
        <v>-546.049469609499</v>
      </c>
      <c r="AV17" s="44">
        <f t="shared" si="17"/>
        <v>23.9041947227608</v>
      </c>
      <c r="AW17" s="44">
        <f t="shared" si="18"/>
        <v>-12.6680028092931</v>
      </c>
      <c r="AX17" s="40"/>
      <c r="AY17" s="51"/>
      <c r="AZ17" s="10" t="s">
        <v>36</v>
      </c>
      <c r="BA17" s="44">
        <f>AR11*1</f>
        <v>10</v>
      </c>
      <c r="BB17" s="44">
        <f>AS11*1</f>
        <v>10</v>
      </c>
      <c r="BC17" s="50"/>
      <c r="BD17" s="50"/>
      <c r="BF17" s="66"/>
      <c r="BG17" s="67" t="s">
        <v>76</v>
      </c>
      <c r="BH17" s="1" t="s">
        <v>35</v>
      </c>
      <c r="BI17" s="63">
        <f>BC37-BD40</f>
        <v>-960.367275572973</v>
      </c>
      <c r="BJ17" s="64" t="s">
        <v>36</v>
      </c>
      <c r="BK17" s="65">
        <f>0.03*BI17</f>
        <v>-28.8110182671892</v>
      </c>
      <c r="BL17" s="65" t="s">
        <v>36</v>
      </c>
      <c r="BM17" s="65" t="s">
        <v>36</v>
      </c>
      <c r="BN17" s="65" t="s">
        <v>36</v>
      </c>
      <c r="BO17" s="65" t="s">
        <v>36</v>
      </c>
      <c r="BP17" s="65" t="s">
        <v>36</v>
      </c>
      <c r="BQ17" s="63">
        <f>1*BI17</f>
        <v>-960.367275572973</v>
      </c>
      <c r="BS17" s="62"/>
      <c r="BT17" s="95"/>
      <c r="BU17" s="95" t="s">
        <v>77</v>
      </c>
      <c r="BV17" s="123">
        <f>BV16*BV14</f>
        <v>-11.993952</v>
      </c>
      <c r="BW17" s="124"/>
      <c r="BX17" s="95"/>
      <c r="BY17" s="95"/>
      <c r="BZ17" s="95"/>
    </row>
    <row r="18" ht="15.15" spans="2:78">
      <c r="B18" s="13" t="s">
        <v>78</v>
      </c>
      <c r="C18" s="16">
        <v>195.128728412074</v>
      </c>
      <c r="D18" s="17">
        <v>163.744638521542</v>
      </c>
      <c r="E18" s="17">
        <v>129.774443408554</v>
      </c>
      <c r="F18" s="17">
        <v>101.460995002706</v>
      </c>
      <c r="G18" s="17">
        <v>85.0718586137388</v>
      </c>
      <c r="H18" s="17">
        <v>83.2820410259337</v>
      </c>
      <c r="I18" s="17">
        <v>94.9733912419965</v>
      </c>
      <c r="J18" s="17">
        <v>116.126932670993</v>
      </c>
      <c r="K18" s="17">
        <v>141.059514927802</v>
      </c>
      <c r="L18" s="17">
        <v>163.532077970963</v>
      </c>
      <c r="M18" s="17">
        <v>177.835921087368</v>
      </c>
      <c r="N18" s="17">
        <v>180.126763929567</v>
      </c>
      <c r="O18" s="17">
        <v>169.798116937251</v>
      </c>
      <c r="P18" s="17">
        <v>150.121866316681</v>
      </c>
      <c r="Q18" s="17">
        <v>127.457886411125</v>
      </c>
      <c r="R18" s="17">
        <v>109.136669477011</v>
      </c>
      <c r="S18" s="17">
        <v>100.998201702483</v>
      </c>
      <c r="T18" s="17">
        <v>105.758098521757</v>
      </c>
      <c r="U18" s="17">
        <v>122.705731026779</v>
      </c>
      <c r="V18" s="17">
        <v>148.334944536625</v>
      </c>
      <c r="W18" s="17">
        <v>177.191226299277</v>
      </c>
      <c r="X18" s="17">
        <v>202.685890910692</v>
      </c>
      <c r="Y18" s="17">
        <v>218.218201833401</v>
      </c>
      <c r="Z18" s="35">
        <v>218.884603657121</v>
      </c>
      <c r="AB18" s="36" t="s">
        <v>79</v>
      </c>
      <c r="AC18" s="33">
        <f t="shared" si="0"/>
        <v>1636.925441195</v>
      </c>
      <c r="AD18" s="34">
        <f t="shared" si="1"/>
        <v>1846.48330324844</v>
      </c>
      <c r="AE18" s="34">
        <f t="shared" si="2"/>
        <v>1851.2914376302</v>
      </c>
      <c r="AF18" s="34">
        <f t="shared" si="3"/>
        <v>1632.11730681324</v>
      </c>
      <c r="AG18" s="34">
        <f t="shared" si="4"/>
        <v>2097.30913939634</v>
      </c>
      <c r="AH18" s="34">
        <f t="shared" si="5"/>
        <v>1386.0996050471</v>
      </c>
      <c r="AI18" s="34">
        <f t="shared" si="6"/>
        <v>1521.73354435086</v>
      </c>
      <c r="AJ18" s="34">
        <f t="shared" si="7"/>
        <v>1961.67520009258</v>
      </c>
      <c r="AK18" s="34">
        <f t="shared" si="8"/>
        <v>1170.65747475248</v>
      </c>
      <c r="AL18" s="34">
        <f t="shared" si="9"/>
        <v>1152.29870440813</v>
      </c>
      <c r="AM18" s="34">
        <f t="shared" si="10"/>
        <v>1736.4174207107</v>
      </c>
      <c r="AN18" s="34">
        <f t="shared" si="11"/>
        <v>1746.99132373274</v>
      </c>
      <c r="AP18" s="36" t="s">
        <v>79</v>
      </c>
      <c r="AQ18" s="44">
        <f t="shared" si="12"/>
        <v>3483.40874444344</v>
      </c>
      <c r="AR18" s="44">
        <f t="shared" si="13"/>
        <v>-199.557862053446</v>
      </c>
      <c r="AS18" s="44">
        <f t="shared" si="14"/>
        <v>229.174130816965</v>
      </c>
      <c r="AT18" s="44">
        <f t="shared" si="15"/>
        <v>721.209534349237</v>
      </c>
      <c r="AU18" s="44">
        <f t="shared" si="16"/>
        <v>-429.941655741728</v>
      </c>
      <c r="AV18" s="44">
        <f t="shared" si="17"/>
        <v>28.3587703443493</v>
      </c>
      <c r="AW18" s="44">
        <f t="shared" si="18"/>
        <v>-0.573903022041804</v>
      </c>
      <c r="AX18" s="40"/>
      <c r="AY18" s="30" t="s">
        <v>80</v>
      </c>
      <c r="AZ18" s="10" t="s">
        <v>40</v>
      </c>
      <c r="BA18" s="44">
        <f>SUM(AR20:AR25)+SUM(AR34:AR39)</f>
        <v>1648.86764050341</v>
      </c>
      <c r="BB18" s="44">
        <f>SUM(AS20:AS25)+SUM(AS34:AS39)</f>
        <v>2715.07552963677</v>
      </c>
      <c r="BC18" s="49">
        <f>BA18-BA19</f>
        <v>3898.173086097</v>
      </c>
      <c r="BD18" s="49">
        <f>BB18-BB19</f>
        <v>-2539.64924271339</v>
      </c>
      <c r="BF18" s="68"/>
      <c r="BG18" s="69" t="s">
        <v>81</v>
      </c>
      <c r="BH18" s="70" t="s">
        <v>35</v>
      </c>
      <c r="BI18" s="71">
        <f>BC42-BD45</f>
        <v>195.18784816833</v>
      </c>
      <c r="BJ18" s="72" t="s">
        <v>36</v>
      </c>
      <c r="BK18" s="73" t="s">
        <v>36</v>
      </c>
      <c r="BL18" s="73" t="s">
        <v>36</v>
      </c>
      <c r="BM18" s="73" t="s">
        <v>36</v>
      </c>
      <c r="BN18" s="73" t="s">
        <v>36</v>
      </c>
      <c r="BO18" s="73" t="s">
        <v>36</v>
      </c>
      <c r="BP18" s="73">
        <f>1*BI18</f>
        <v>195.18784816833</v>
      </c>
      <c r="BQ18" s="71">
        <f>0.08*BI18</f>
        <v>15.6150278534664</v>
      </c>
      <c r="BS18" s="62"/>
      <c r="BT18" s="95"/>
      <c r="BU18" s="95" t="s">
        <v>82</v>
      </c>
      <c r="BV18" s="123">
        <f>BV16*BV15</f>
        <v>0.13625304</v>
      </c>
      <c r="BW18" s="124"/>
      <c r="BX18" s="95"/>
      <c r="BY18" s="95"/>
      <c r="BZ18" s="95"/>
    </row>
    <row r="19" ht="15.15" spans="2:78">
      <c r="B19" s="13" t="s">
        <v>83</v>
      </c>
      <c r="C19" s="16">
        <v>203.347406487623</v>
      </c>
      <c r="D19" s="17">
        <v>174.847944817188</v>
      </c>
      <c r="E19" s="17">
        <v>140.541351776989</v>
      </c>
      <c r="F19" s="17">
        <v>109.221841042322</v>
      </c>
      <c r="G19" s="17">
        <v>88.4400808286474</v>
      </c>
      <c r="H19" s="17">
        <v>82.3251165486849</v>
      </c>
      <c r="I19" s="17">
        <v>90.9108262730807</v>
      </c>
      <c r="J19" s="17">
        <v>110.830327445524</v>
      </c>
      <c r="K19" s="17">
        <v>136.603165567407</v>
      </c>
      <c r="L19" s="17">
        <v>161.849650046516</v>
      </c>
      <c r="M19" s="17">
        <v>180.371181722375</v>
      </c>
      <c r="N19" s="17">
        <v>187.405858285929</v>
      </c>
      <c r="O19" s="17">
        <v>181.062002456796</v>
      </c>
      <c r="P19" s="17">
        <v>163.301091345079</v>
      </c>
      <c r="Q19" s="17">
        <v>139.665759678733</v>
      </c>
      <c r="R19" s="17">
        <v>117.558053418249</v>
      </c>
      <c r="S19" s="17">
        <v>103.779072994529</v>
      </c>
      <c r="T19" s="17">
        <v>102.46860809131</v>
      </c>
      <c r="U19" s="17">
        <v>114.2251137144</v>
      </c>
      <c r="V19" s="17">
        <v>136.402851961663</v>
      </c>
      <c r="W19" s="17">
        <v>164.022824572681</v>
      </c>
      <c r="X19" s="17">
        <v>190.788400657253</v>
      </c>
      <c r="Y19" s="17">
        <v>210.164002841966</v>
      </c>
      <c r="Z19" s="35">
        <v>216.747208717517</v>
      </c>
      <c r="AB19" s="36" t="s">
        <v>84</v>
      </c>
      <c r="AC19" s="33">
        <f t="shared" si="0"/>
        <v>1675.80559732553</v>
      </c>
      <c r="AD19" s="34">
        <f t="shared" si="1"/>
        <v>1831.07414396693</v>
      </c>
      <c r="AE19" s="34">
        <f t="shared" si="2"/>
        <v>1840.18499045018</v>
      </c>
      <c r="AF19" s="34">
        <f t="shared" si="3"/>
        <v>1666.69475084229</v>
      </c>
      <c r="AG19" s="34">
        <f t="shared" si="4"/>
        <v>2150.09185883396</v>
      </c>
      <c r="AH19" s="34">
        <f t="shared" si="5"/>
        <v>1356.7878824585</v>
      </c>
      <c r="AI19" s="34">
        <f t="shared" si="6"/>
        <v>1606.55832948615</v>
      </c>
      <c r="AJ19" s="34">
        <f t="shared" si="7"/>
        <v>1900.32141180631</v>
      </c>
      <c r="AK19" s="34">
        <f t="shared" si="8"/>
        <v>1178.49214057534</v>
      </c>
      <c r="AL19" s="34">
        <f t="shared" si="9"/>
        <v>1160.25104676015</v>
      </c>
      <c r="AM19" s="34">
        <f t="shared" si="10"/>
        <v>1755.76066609716</v>
      </c>
      <c r="AN19" s="34">
        <f t="shared" si="11"/>
        <v>1751.1190751953</v>
      </c>
      <c r="AP19" s="36" t="s">
        <v>84</v>
      </c>
      <c r="AQ19" s="44">
        <f t="shared" si="12"/>
        <v>3506.87974129246</v>
      </c>
      <c r="AR19" s="44">
        <f t="shared" si="13"/>
        <v>-145.268546641406</v>
      </c>
      <c r="AS19" s="44">
        <f t="shared" si="14"/>
        <v>183.49023960789</v>
      </c>
      <c r="AT19" s="44">
        <f t="shared" si="15"/>
        <v>803.303976375466</v>
      </c>
      <c r="AU19" s="44">
        <f t="shared" si="16"/>
        <v>-283.763082320161</v>
      </c>
      <c r="AV19" s="44">
        <f t="shared" si="17"/>
        <v>28.2410938151904</v>
      </c>
      <c r="AW19" s="44">
        <f t="shared" si="18"/>
        <v>14.6415909018654</v>
      </c>
      <c r="AX19" s="40"/>
      <c r="AY19" s="29"/>
      <c r="AZ19" s="10" t="s">
        <v>36</v>
      </c>
      <c r="BA19" s="44">
        <f>SUM(AR13:AR18)+SUM(AR27:AR32)</f>
        <v>-2249.30544559359</v>
      </c>
      <c r="BB19" s="44">
        <f>SUM(AS13:AS18)+SUM(AS27:AS32)</f>
        <v>5254.72477235016</v>
      </c>
      <c r="BC19" s="50"/>
      <c r="BD19" s="50"/>
      <c r="BF19" s="25" t="s">
        <v>85</v>
      </c>
      <c r="BG19" s="56" t="s">
        <v>86</v>
      </c>
      <c r="BH19" s="57" t="s">
        <v>35</v>
      </c>
      <c r="BI19" s="58">
        <f>BD13</f>
        <v>9498.80469314222</v>
      </c>
      <c r="BJ19" s="64" t="s">
        <v>36</v>
      </c>
      <c r="BK19" s="65" t="s">
        <v>36</v>
      </c>
      <c r="BL19" s="65" t="s">
        <v>36</v>
      </c>
      <c r="BM19" s="65" t="s">
        <v>36</v>
      </c>
      <c r="BN19" s="65">
        <f>1.01*BI19</f>
        <v>9593.79274007365</v>
      </c>
      <c r="BO19" s="65">
        <f>-0.08*BI19</f>
        <v>-759.904375451378</v>
      </c>
      <c r="BP19" s="65" t="s">
        <v>36</v>
      </c>
      <c r="BQ19" s="63" t="s">
        <v>36</v>
      </c>
      <c r="BS19" s="96"/>
      <c r="BT19" s="97"/>
      <c r="BU19" s="97" t="s">
        <v>87</v>
      </c>
      <c r="BV19" s="125">
        <f>1+BV18</f>
        <v>1.13625304</v>
      </c>
      <c r="BW19" s="126"/>
      <c r="BX19" s="95"/>
      <c r="BY19" s="95"/>
      <c r="BZ19" s="95"/>
    </row>
    <row r="20" ht="15.15" spans="2:78">
      <c r="B20" s="13" t="s">
        <v>88</v>
      </c>
      <c r="C20" s="16">
        <v>207.87472618507</v>
      </c>
      <c r="D20" s="17">
        <v>184.853669524666</v>
      </c>
      <c r="E20" s="17">
        <v>153.030794629284</v>
      </c>
      <c r="F20" s="17">
        <v>120.374870753327</v>
      </c>
      <c r="G20" s="17">
        <v>95.0344140148793</v>
      </c>
      <c r="H20" s="17">
        <v>82.8824284122359</v>
      </c>
      <c r="I20" s="17">
        <v>86.0152506834885</v>
      </c>
      <c r="J20" s="17">
        <v>102.603080960285</v>
      </c>
      <c r="K20" s="17">
        <v>127.814327289896</v>
      </c>
      <c r="L20" s="17">
        <v>155.208121070756</v>
      </c>
      <c r="M20" s="17">
        <v>178.141454674599</v>
      </c>
      <c r="N20" s="17">
        <v>191.085588557384</v>
      </c>
      <c r="O20" s="17">
        <v>190.875771611696</v>
      </c>
      <c r="P20" s="17">
        <v>177.699716842201</v>
      </c>
      <c r="Q20" s="17">
        <v>155.35423915295</v>
      </c>
      <c r="R20" s="17">
        <v>130.369326546973</v>
      </c>
      <c r="S20" s="17">
        <v>110.096357553714</v>
      </c>
      <c r="T20" s="17">
        <v>100.443225589456</v>
      </c>
      <c r="U20" s="17">
        <v>104.165288718824</v>
      </c>
      <c r="V20" s="17">
        <v>120.307092907845</v>
      </c>
      <c r="W20" s="17">
        <v>144.76381913674</v>
      </c>
      <c r="X20" s="17">
        <v>171.46793633169</v>
      </c>
      <c r="Y20" s="17">
        <v>193.73072458972</v>
      </c>
      <c r="Z20" s="35">
        <v>205.615485596514</v>
      </c>
      <c r="AB20" s="36" t="s">
        <v>89</v>
      </c>
      <c r="AC20" s="33">
        <f t="shared" si="0"/>
        <v>1705.7064605334</v>
      </c>
      <c r="AD20" s="34">
        <f t="shared" si="1"/>
        <v>1784.1012508008</v>
      </c>
      <c r="AE20" s="34">
        <f t="shared" si="2"/>
        <v>1804.88898457832</v>
      </c>
      <c r="AF20" s="34">
        <f t="shared" si="3"/>
        <v>1684.91872675587</v>
      </c>
      <c r="AG20" s="34">
        <f t="shared" si="4"/>
        <v>2164.93822876653</v>
      </c>
      <c r="AH20" s="34">
        <f t="shared" si="5"/>
        <v>1324.86948256766</v>
      </c>
      <c r="AI20" s="34">
        <f t="shared" si="6"/>
        <v>1708.88954081645</v>
      </c>
      <c r="AJ20" s="34">
        <f t="shared" si="7"/>
        <v>1780.91817051774</v>
      </c>
      <c r="AK20" s="34">
        <f t="shared" si="8"/>
        <v>1168.95776535467</v>
      </c>
      <c r="AL20" s="34">
        <f t="shared" si="9"/>
        <v>1158.38343491162</v>
      </c>
      <c r="AM20" s="34">
        <f t="shared" si="10"/>
        <v>1755.35777764295</v>
      </c>
      <c r="AN20" s="34">
        <f t="shared" si="11"/>
        <v>1734.44993369125</v>
      </c>
      <c r="AP20" s="36" t="s">
        <v>89</v>
      </c>
      <c r="AQ20" s="44">
        <f t="shared" si="12"/>
        <v>3489.80771133419</v>
      </c>
      <c r="AR20" s="44">
        <f t="shared" si="13"/>
        <v>-68.394790267397</v>
      </c>
      <c r="AS20" s="44">
        <f t="shared" si="14"/>
        <v>129.970257822452</v>
      </c>
      <c r="AT20" s="44">
        <f t="shared" si="15"/>
        <v>850.068746198867</v>
      </c>
      <c r="AU20" s="44">
        <f t="shared" si="16"/>
        <v>-62.0286297012892</v>
      </c>
      <c r="AV20" s="44">
        <f t="shared" si="17"/>
        <v>20.5743304430523</v>
      </c>
      <c r="AW20" s="44">
        <f t="shared" si="18"/>
        <v>30.907843951697</v>
      </c>
      <c r="AX20" s="40"/>
      <c r="AY20" s="30">
        <v>13</v>
      </c>
      <c r="AZ20" s="10" t="s">
        <v>40</v>
      </c>
      <c r="BA20" s="44">
        <f>SUM(AR14:AR18)+SUM(AR24:AR28)+SUM(AR34:AR38)</f>
        <v>197.336630247608</v>
      </c>
      <c r="BB20" s="44">
        <f>SUM(AS14:AS18)+SUM(AS24:AS28)+SUM(AS34:AS38)</f>
        <v>5398.74819629727</v>
      </c>
      <c r="BC20" s="49">
        <f>BA20-BA21-BA22</f>
        <v>1054.00035027289</v>
      </c>
      <c r="BD20" s="49">
        <f>BB20-BB21-BB22</f>
        <v>998.691699452316</v>
      </c>
      <c r="BF20" s="66" t="s">
        <v>43</v>
      </c>
      <c r="BG20" s="62" t="s">
        <v>90</v>
      </c>
      <c r="BH20" s="1" t="s">
        <v>35</v>
      </c>
      <c r="BI20" s="63">
        <f>BD15+BC18</f>
        <v>7492.65787833468</v>
      </c>
      <c r="BJ20" s="64" t="s">
        <v>36</v>
      </c>
      <c r="BK20" s="65">
        <f>0.07*BI20</f>
        <v>524.486051483428</v>
      </c>
      <c r="BL20" s="65" t="s">
        <v>36</v>
      </c>
      <c r="BM20" s="65" t="s">
        <v>36</v>
      </c>
      <c r="BN20" s="65">
        <f>-0.02*BI20</f>
        <v>-149.853157566694</v>
      </c>
      <c r="BO20" s="65">
        <f>1*BI20</f>
        <v>7492.65787833468</v>
      </c>
      <c r="BP20" s="65" t="s">
        <v>36</v>
      </c>
      <c r="BQ20" s="63">
        <f>0.03*BI20</f>
        <v>224.77973635004</v>
      </c>
      <c r="BS20" s="56" t="s">
        <v>91</v>
      </c>
      <c r="BT20" s="94"/>
      <c r="BU20" s="94"/>
      <c r="BV20" s="94"/>
      <c r="BW20" s="122"/>
      <c r="BX20" s="95"/>
      <c r="BY20" s="95"/>
      <c r="BZ20" s="95"/>
    </row>
    <row r="21" ht="15.15" spans="2:78">
      <c r="B21" s="13" t="s">
        <v>92</v>
      </c>
      <c r="C21" s="16">
        <v>203.384213892857</v>
      </c>
      <c r="D21" s="17">
        <v>186.786559053423</v>
      </c>
      <c r="E21" s="17">
        <v>159.576562608648</v>
      </c>
      <c r="F21" s="17">
        <v>128.694153207276</v>
      </c>
      <c r="G21" s="17">
        <v>102.174847081305</v>
      </c>
      <c r="H21" s="17">
        <v>86.6143715345538</v>
      </c>
      <c r="I21" s="17">
        <v>85.3021359937927</v>
      </c>
      <c r="J21" s="17">
        <v>97.7044834272803</v>
      </c>
      <c r="K21" s="17">
        <v>120.164208195534</v>
      </c>
      <c r="L21" s="17">
        <v>147.131466121404</v>
      </c>
      <c r="M21" s="17">
        <v>172.342914491594</v>
      </c>
      <c r="N21" s="17">
        <v>189.889461471494</v>
      </c>
      <c r="O21" s="17">
        <v>195.42669412189</v>
      </c>
      <c r="P21" s="17">
        <v>187.508221895746</v>
      </c>
      <c r="Q21" s="17">
        <v>168.455684155432</v>
      </c>
      <c r="R21" s="17">
        <v>143.998959203406</v>
      </c>
      <c r="S21" s="17">
        <v>121.478999051589</v>
      </c>
      <c r="T21" s="17">
        <v>107.329242706351</v>
      </c>
      <c r="U21" s="17">
        <v>105.058652497346</v>
      </c>
      <c r="V21" s="17">
        <v>114.598265143169</v>
      </c>
      <c r="W21" s="17">
        <v>132.952518251955</v>
      </c>
      <c r="X21" s="17">
        <v>155.398076387876</v>
      </c>
      <c r="Y21" s="17">
        <v>176.527835938314</v>
      </c>
      <c r="Z21" s="35">
        <v>191.049108400235</v>
      </c>
      <c r="AB21" s="36" t="s">
        <v>93</v>
      </c>
      <c r="AC21" s="33">
        <f t="shared" si="0"/>
        <v>1736.73247083551</v>
      </c>
      <c r="AD21" s="34">
        <f t="shared" si="1"/>
        <v>1742.81516399696</v>
      </c>
      <c r="AE21" s="34">
        <f t="shared" si="2"/>
        <v>1799.78225775331</v>
      </c>
      <c r="AF21" s="34">
        <f t="shared" si="3"/>
        <v>1679.76537707916</v>
      </c>
      <c r="AG21" s="34">
        <f t="shared" si="4"/>
        <v>2133.47679853891</v>
      </c>
      <c r="AH21" s="34">
        <f t="shared" si="5"/>
        <v>1346.07083629356</v>
      </c>
      <c r="AI21" s="34">
        <f t="shared" si="6"/>
        <v>1791.42850851248</v>
      </c>
      <c r="AJ21" s="34">
        <f t="shared" si="7"/>
        <v>1688.11912631999</v>
      </c>
      <c r="AK21" s="34">
        <f t="shared" si="8"/>
        <v>1164.05388061852</v>
      </c>
      <c r="AL21" s="34">
        <f t="shared" si="9"/>
        <v>1156.37162813153</v>
      </c>
      <c r="AM21" s="34">
        <f t="shared" si="10"/>
        <v>1756.91819923707</v>
      </c>
      <c r="AN21" s="34">
        <f t="shared" si="11"/>
        <v>1722.6294355954</v>
      </c>
      <c r="AP21" s="36" t="s">
        <v>93</v>
      </c>
      <c r="AQ21" s="44">
        <f t="shared" si="12"/>
        <v>3479.54763483247</v>
      </c>
      <c r="AR21" s="44">
        <f t="shared" si="13"/>
        <v>3.91730683855508</v>
      </c>
      <c r="AS21" s="44">
        <f t="shared" si="14"/>
        <v>130.016880674147</v>
      </c>
      <c r="AT21" s="44">
        <f t="shared" si="15"/>
        <v>797.405962245355</v>
      </c>
      <c r="AU21" s="44">
        <f t="shared" si="16"/>
        <v>113.309382192483</v>
      </c>
      <c r="AV21" s="44">
        <f t="shared" si="17"/>
        <v>17.6822524869885</v>
      </c>
      <c r="AW21" s="44">
        <f t="shared" si="18"/>
        <v>44.2887636416751</v>
      </c>
      <c r="AX21" s="40"/>
      <c r="AY21" s="51"/>
      <c r="AZ21" s="10" t="s">
        <v>36</v>
      </c>
      <c r="BA21" s="44">
        <f>SUM(AR12:AR13)+SUM(AR19:AR23)+SUM(AR29:AR33)+SUM(AR39:AR40)</f>
        <v>-866.663720025286</v>
      </c>
      <c r="BB21" s="44">
        <f>SUM(AS12:AS13)+SUM(AS19:AS23)+SUM(AS29:AS33)+SUM(AS39:AS40)</f>
        <v>4390.05649684495</v>
      </c>
      <c r="BC21" s="52"/>
      <c r="BD21" s="52"/>
      <c r="BF21" s="66" t="s">
        <v>50</v>
      </c>
      <c r="BG21" s="67" t="s">
        <v>94</v>
      </c>
      <c r="BH21" s="1" t="s">
        <v>35</v>
      </c>
      <c r="BI21" s="63">
        <f>BD20+BC23</f>
        <v>827.222139052695</v>
      </c>
      <c r="BJ21" s="64" t="s">
        <v>36</v>
      </c>
      <c r="BK21" s="65" t="s">
        <v>36</v>
      </c>
      <c r="BL21" s="65" t="s">
        <v>36</v>
      </c>
      <c r="BM21" s="65" t="s">
        <v>36</v>
      </c>
      <c r="BN21" s="65" t="s">
        <v>36</v>
      </c>
      <c r="BO21" s="65" t="s">
        <v>36</v>
      </c>
      <c r="BP21" s="65" t="s">
        <v>36</v>
      </c>
      <c r="BQ21" s="63" t="s">
        <v>36</v>
      </c>
      <c r="BS21" s="62" t="s">
        <v>45</v>
      </c>
      <c r="BT21" s="95" t="s">
        <v>46</v>
      </c>
      <c r="BU21" s="95" t="s">
        <v>95</v>
      </c>
      <c r="BV21" s="95" t="s">
        <v>35</v>
      </c>
      <c r="BW21" s="127">
        <f>2*BN37</f>
        <v>467.2</v>
      </c>
      <c r="BX21" s="95"/>
      <c r="BY21" s="95"/>
      <c r="BZ21" s="95"/>
    </row>
    <row r="22" ht="15.15" spans="2:78">
      <c r="B22" s="13" t="s">
        <v>96</v>
      </c>
      <c r="C22" s="16">
        <v>194.707475495486</v>
      </c>
      <c r="D22" s="17">
        <v>185.524187113827</v>
      </c>
      <c r="E22" s="17">
        <v>164.908824330181</v>
      </c>
      <c r="F22" s="17">
        <v>137.820759561588</v>
      </c>
      <c r="G22" s="17">
        <v>111.482773692377</v>
      </c>
      <c r="H22" s="17">
        <v>93.0194074099588</v>
      </c>
      <c r="I22" s="17">
        <v>87.1149016872678</v>
      </c>
      <c r="J22" s="17">
        <v>94.7686146186768</v>
      </c>
      <c r="K22" s="17">
        <v>113.495125710222</v>
      </c>
      <c r="L22" s="17">
        <v>138.486169156533</v>
      </c>
      <c r="M22" s="17">
        <v>163.96231536328</v>
      </c>
      <c r="N22" s="17">
        <v>184.291585908019</v>
      </c>
      <c r="O22" s="17">
        <v>194.955094386232</v>
      </c>
      <c r="P22" s="17">
        <v>193.544423632782</v>
      </c>
      <c r="Q22" s="17">
        <v>180.617538981448</v>
      </c>
      <c r="R22" s="17">
        <v>159.877484219243</v>
      </c>
      <c r="S22" s="17">
        <v>137.249934616324</v>
      </c>
      <c r="T22" s="17">
        <v>119.027814742172</v>
      </c>
      <c r="U22" s="17">
        <v>109.85728895169</v>
      </c>
      <c r="V22" s="17">
        <v>111.461312224351</v>
      </c>
      <c r="W22" s="17">
        <v>122.534783585748</v>
      </c>
      <c r="X22" s="17">
        <v>139.562906320098</v>
      </c>
      <c r="Y22" s="17">
        <v>157.933431799116</v>
      </c>
      <c r="Z22" s="35">
        <v>172.881672692245</v>
      </c>
      <c r="AB22" s="36" t="s">
        <v>97</v>
      </c>
      <c r="AC22" s="33">
        <f t="shared" si="0"/>
        <v>1767.3910030222</v>
      </c>
      <c r="AD22" s="34">
        <f t="shared" si="1"/>
        <v>1701.69482317667</v>
      </c>
      <c r="AE22" s="34">
        <f t="shared" si="2"/>
        <v>1799.50368615145</v>
      </c>
      <c r="AF22" s="34">
        <f t="shared" si="3"/>
        <v>1669.58214004742</v>
      </c>
      <c r="AG22" s="34">
        <f t="shared" si="4"/>
        <v>2071.37562517925</v>
      </c>
      <c r="AH22" s="34">
        <f t="shared" si="5"/>
        <v>1397.71020101962</v>
      </c>
      <c r="AI22" s="34">
        <f t="shared" si="6"/>
        <v>1872.73571818162</v>
      </c>
      <c r="AJ22" s="34">
        <f t="shared" si="7"/>
        <v>1596.35010801725</v>
      </c>
      <c r="AK22" s="34">
        <f t="shared" si="8"/>
        <v>1155.85524127307</v>
      </c>
      <c r="AL22" s="34">
        <f t="shared" si="9"/>
        <v>1157.30359186506</v>
      </c>
      <c r="AM22" s="34">
        <f t="shared" si="10"/>
        <v>1753.48957071791</v>
      </c>
      <c r="AN22" s="34">
        <f t="shared" si="11"/>
        <v>1715.59625548095</v>
      </c>
      <c r="AP22" s="36" t="s">
        <v>97</v>
      </c>
      <c r="AQ22" s="44">
        <f t="shared" si="12"/>
        <v>3469.08582619887</v>
      </c>
      <c r="AR22" s="44">
        <f t="shared" si="13"/>
        <v>75.6961798455338</v>
      </c>
      <c r="AS22" s="44">
        <f t="shared" si="14"/>
        <v>139.921546104033</v>
      </c>
      <c r="AT22" s="44">
        <f t="shared" si="15"/>
        <v>683.665424159629</v>
      </c>
      <c r="AU22" s="44">
        <f t="shared" si="16"/>
        <v>286.385610164372</v>
      </c>
      <c r="AV22" s="44">
        <f t="shared" si="17"/>
        <v>8.55164940800955</v>
      </c>
      <c r="AW22" s="44">
        <f t="shared" si="18"/>
        <v>47.893315236958</v>
      </c>
      <c r="AX22" s="40"/>
      <c r="AY22" s="29"/>
      <c r="AZ22" s="10" t="s">
        <v>36</v>
      </c>
      <c r="BA22" s="44">
        <f>AR11*1</f>
        <v>10</v>
      </c>
      <c r="BB22" s="44">
        <f>AS11*1</f>
        <v>10</v>
      </c>
      <c r="BC22" s="50"/>
      <c r="BD22" s="50"/>
      <c r="BF22" s="66"/>
      <c r="BG22" s="67" t="s">
        <v>98</v>
      </c>
      <c r="BH22" s="1" t="s">
        <v>35</v>
      </c>
      <c r="BI22" s="63">
        <f>BD25</f>
        <v>-4731.41529605457</v>
      </c>
      <c r="BJ22" s="64" t="s">
        <v>36</v>
      </c>
      <c r="BK22" s="65">
        <f>-0.03*BI22</f>
        <v>141.942458881637</v>
      </c>
      <c r="BL22" s="65">
        <f>1*BI22</f>
        <v>-4731.41529605457</v>
      </c>
      <c r="BM22" s="65">
        <f>-0.03*BI22</f>
        <v>141.942458881637</v>
      </c>
      <c r="BN22" s="65" t="s">
        <v>36</v>
      </c>
      <c r="BO22" s="65" t="s">
        <v>36</v>
      </c>
      <c r="BP22" s="65" t="s">
        <v>36</v>
      </c>
      <c r="BQ22" s="63" t="s">
        <v>36</v>
      </c>
      <c r="BS22" s="62" t="s">
        <v>45</v>
      </c>
      <c r="BT22" s="95" t="s">
        <v>46</v>
      </c>
      <c r="BU22" s="95" t="s">
        <v>99</v>
      </c>
      <c r="BV22" s="95" t="s">
        <v>35</v>
      </c>
      <c r="BW22" s="127">
        <f>BN38</f>
        <v>6.1</v>
      </c>
      <c r="BX22" s="95"/>
      <c r="BY22" s="95"/>
      <c r="BZ22" s="95"/>
    </row>
    <row r="23" ht="15.15" spans="2:78">
      <c r="B23" s="13" t="s">
        <v>100</v>
      </c>
      <c r="C23" s="16">
        <v>180.273514743555</v>
      </c>
      <c r="D23" s="17">
        <v>177.472468476922</v>
      </c>
      <c r="E23" s="17">
        <v>164.283185725408</v>
      </c>
      <c r="F23" s="17">
        <v>143.500327877805</v>
      </c>
      <c r="G23" s="17">
        <v>120.474766047145</v>
      </c>
      <c r="H23" s="17">
        <v>101.576961088943</v>
      </c>
      <c r="I23" s="17">
        <v>92.1383672391414</v>
      </c>
      <c r="J23" s="17">
        <v>94.7930542772059</v>
      </c>
      <c r="K23" s="17">
        <v>108.871478001658</v>
      </c>
      <c r="L23" s="17">
        <v>130.889400549721</v>
      </c>
      <c r="M23" s="17">
        <v>155.696947090607</v>
      </c>
      <c r="N23" s="17">
        <v>177.768238700269</v>
      </c>
      <c r="O23" s="17">
        <v>192.342439976655</v>
      </c>
      <c r="P23" s="17">
        <v>196.375893734095</v>
      </c>
      <c r="Q23" s="17">
        <v>189.279909081095</v>
      </c>
      <c r="R23" s="17">
        <v>173.230166208649</v>
      </c>
      <c r="S23" s="17">
        <v>152.732210150812</v>
      </c>
      <c r="T23" s="17">
        <v>133.352419982987</v>
      </c>
      <c r="U23" s="17">
        <v>119.986746300287</v>
      </c>
      <c r="V23" s="17">
        <v>115.382408679439</v>
      </c>
      <c r="W23" s="17">
        <v>119.542421333697</v>
      </c>
      <c r="X23" s="17">
        <v>130.145089295094</v>
      </c>
      <c r="Y23" s="17">
        <v>143.556924347532</v>
      </c>
      <c r="Z23" s="35">
        <v>155.84110991897</v>
      </c>
      <c r="AB23" s="36" t="s">
        <v>101</v>
      </c>
      <c r="AC23" s="33">
        <f t="shared" si="0"/>
        <v>1797.4705249929</v>
      </c>
      <c r="AD23" s="34">
        <f t="shared" si="1"/>
        <v>1672.0359238348</v>
      </c>
      <c r="AE23" s="34">
        <f t="shared" si="2"/>
        <v>1821.76773900931</v>
      </c>
      <c r="AF23" s="34">
        <f t="shared" si="3"/>
        <v>1647.73870981838</v>
      </c>
      <c r="AG23" s="34">
        <f t="shared" si="4"/>
        <v>1993.92512163992</v>
      </c>
      <c r="AH23" s="34">
        <f t="shared" si="5"/>
        <v>1475.58132718777</v>
      </c>
      <c r="AI23" s="34">
        <f t="shared" si="6"/>
        <v>1924.89426309407</v>
      </c>
      <c r="AJ23" s="34">
        <f t="shared" si="7"/>
        <v>1544.61218573362</v>
      </c>
      <c r="AK23" s="34">
        <f t="shared" si="8"/>
        <v>1153.27979795081</v>
      </c>
      <c r="AL23" s="34">
        <f t="shared" si="9"/>
        <v>1159.74197807313</v>
      </c>
      <c r="AM23" s="34">
        <f t="shared" si="10"/>
        <v>1750.74188756916</v>
      </c>
      <c r="AN23" s="34">
        <f t="shared" si="11"/>
        <v>1718.76456125853</v>
      </c>
      <c r="AP23" s="36" t="s">
        <v>101</v>
      </c>
      <c r="AQ23" s="44">
        <f t="shared" si="12"/>
        <v>3469.50644882769</v>
      </c>
      <c r="AR23" s="44">
        <f t="shared" si="13"/>
        <v>135.434601158098</v>
      </c>
      <c r="AS23" s="44">
        <f t="shared" si="14"/>
        <v>184.029029190932</v>
      </c>
      <c r="AT23" s="44">
        <f t="shared" si="15"/>
        <v>528.343794452154</v>
      </c>
      <c r="AU23" s="44">
        <f t="shared" si="16"/>
        <v>390.28207736045</v>
      </c>
      <c r="AV23" s="44">
        <f t="shared" si="17"/>
        <v>3.53781987768025</v>
      </c>
      <c r="AW23" s="44">
        <f t="shared" si="18"/>
        <v>41.9773263106242</v>
      </c>
      <c r="AX23" s="40"/>
      <c r="AY23" s="30" t="s">
        <v>102</v>
      </c>
      <c r="AZ23" s="10" t="s">
        <v>40</v>
      </c>
      <c r="BA23" s="44">
        <f>SUM(AR12:AR16)+SUM(AR22:AR25)+SUM(AR31:AR35)</f>
        <v>-460.6742683734</v>
      </c>
      <c r="BB23" s="44">
        <f>SUM(AS12:AS16)+SUM(AS22:AS25)+SUM(AS31:AS35)</f>
        <v>4232.19264424327</v>
      </c>
      <c r="BC23" s="49">
        <f>BA23-BA24</f>
        <v>-171.469560399622</v>
      </c>
      <c r="BD23" s="49">
        <f>BB23-BB24</f>
        <v>-788.691740493153</v>
      </c>
      <c r="BF23" s="66"/>
      <c r="BG23" s="67" t="s">
        <v>103</v>
      </c>
      <c r="BH23" s="1" t="s">
        <v>35</v>
      </c>
      <c r="BI23" s="63">
        <f>BD27+BC30</f>
        <v>6125.60207757192</v>
      </c>
      <c r="BJ23" s="64" t="s">
        <v>36</v>
      </c>
      <c r="BK23" s="65">
        <f>1*BI23</f>
        <v>6125.60207757192</v>
      </c>
      <c r="BL23" s="65">
        <f>0.015*BI23</f>
        <v>91.8840311635787</v>
      </c>
      <c r="BM23" s="65">
        <f>0.032*BI23</f>
        <v>196.019266482301</v>
      </c>
      <c r="BN23" s="65" t="s">
        <v>36</v>
      </c>
      <c r="BO23" s="65">
        <f>-0.057*BI23</f>
        <v>-349.159318421599</v>
      </c>
      <c r="BP23" s="65" t="s">
        <v>36</v>
      </c>
      <c r="BQ23" s="63">
        <f>-0.035*BI23</f>
        <v>-214.396072715017</v>
      </c>
      <c r="BS23" s="62"/>
      <c r="BT23" s="95" t="s">
        <v>56</v>
      </c>
      <c r="BU23" s="95" t="s">
        <v>104</v>
      </c>
      <c r="BV23" s="95" t="s">
        <v>35</v>
      </c>
      <c r="BW23" s="127">
        <f>(SUM(BW21:BW22))-360</f>
        <v>113.3</v>
      </c>
      <c r="BX23" s="95"/>
      <c r="BY23" s="95"/>
      <c r="BZ23" s="95"/>
    </row>
    <row r="24" ht="15.15" spans="2:78">
      <c r="B24" s="13" t="s">
        <v>105</v>
      </c>
      <c r="C24" s="16">
        <v>163.478175418571</v>
      </c>
      <c r="D24" s="17">
        <v>163.947654558832</v>
      </c>
      <c r="E24" s="17">
        <v>156.374450930827</v>
      </c>
      <c r="F24" s="17">
        <v>142.081570545437</v>
      </c>
      <c r="G24" s="17">
        <v>124.585183349535</v>
      </c>
      <c r="H24" s="17">
        <v>108.734687557103</v>
      </c>
      <c r="I24" s="17">
        <v>99.2232775638874</v>
      </c>
      <c r="J24" s="17">
        <v>99.0971500242257</v>
      </c>
      <c r="K24" s="17">
        <v>108.865819482579</v>
      </c>
      <c r="L24" s="17">
        <v>126.470183467872</v>
      </c>
      <c r="M24" s="17">
        <v>147.999936787868</v>
      </c>
      <c r="N24" s="17">
        <v>168.837769896324</v>
      </c>
      <c r="O24" s="17">
        <v>184.840444858393</v>
      </c>
      <c r="P24" s="17">
        <v>193.222593319779</v>
      </c>
      <c r="Q24" s="17">
        <v>192.981307737268</v>
      </c>
      <c r="R24" s="17">
        <v>184.903024287025</v>
      </c>
      <c r="S24" s="17">
        <v>171.285459460585</v>
      </c>
      <c r="T24" s="17">
        <v>155.44972054183</v>
      </c>
      <c r="U24" s="17">
        <v>141.037508870966</v>
      </c>
      <c r="V24" s="17">
        <v>131.127082511847</v>
      </c>
      <c r="W24" s="17">
        <v>127.365443364318</v>
      </c>
      <c r="X24" s="17">
        <v>129.467960914208</v>
      </c>
      <c r="Y24" s="17">
        <v>135.391893869836</v>
      </c>
      <c r="Z24" s="35">
        <v>142.165968924766</v>
      </c>
      <c r="AB24" s="36" t="s">
        <v>106</v>
      </c>
      <c r="AC24" s="33">
        <f t="shared" si="0"/>
        <v>1833.17668742764</v>
      </c>
      <c r="AD24" s="34">
        <f t="shared" si="1"/>
        <v>1665.75758081625</v>
      </c>
      <c r="AE24" s="34">
        <f t="shared" si="2"/>
        <v>1889.23840866082</v>
      </c>
      <c r="AF24" s="34">
        <f t="shared" si="3"/>
        <v>1609.69585958306</v>
      </c>
      <c r="AG24" s="34">
        <f t="shared" si="4"/>
        <v>1905.17834068454</v>
      </c>
      <c r="AH24" s="34">
        <f t="shared" si="5"/>
        <v>1593.75592755934</v>
      </c>
      <c r="AI24" s="34">
        <f t="shared" si="6"/>
        <v>1941.88427256519</v>
      </c>
      <c r="AJ24" s="34">
        <f t="shared" si="7"/>
        <v>1557.0499956787</v>
      </c>
      <c r="AK24" s="34">
        <f t="shared" si="8"/>
        <v>1163.76755363184</v>
      </c>
      <c r="AL24" s="34">
        <f t="shared" si="9"/>
        <v>1168.50976072953</v>
      </c>
      <c r="AM24" s="34">
        <f t="shared" si="10"/>
        <v>1761.56090864149</v>
      </c>
      <c r="AN24" s="34">
        <f t="shared" si="11"/>
        <v>1737.37335960239</v>
      </c>
      <c r="AP24" s="36" t="s">
        <v>106</v>
      </c>
      <c r="AQ24" s="44">
        <f t="shared" si="12"/>
        <v>3498.93426824388</v>
      </c>
      <c r="AR24" s="44">
        <f t="shared" si="13"/>
        <v>177.41910661139</v>
      </c>
      <c r="AS24" s="44">
        <f t="shared" si="14"/>
        <v>289.54254907776</v>
      </c>
      <c r="AT24" s="44">
        <f t="shared" si="15"/>
        <v>321.422413125206</v>
      </c>
      <c r="AU24" s="44">
        <f t="shared" si="16"/>
        <v>394.834276886488</v>
      </c>
      <c r="AV24" s="44">
        <f t="shared" si="17"/>
        <v>5.25779290230662</v>
      </c>
      <c r="AW24" s="44">
        <f t="shared" si="18"/>
        <v>34.1875490391044</v>
      </c>
      <c r="AX24" s="40"/>
      <c r="AY24" s="29"/>
      <c r="AZ24" s="10" t="s">
        <v>36</v>
      </c>
      <c r="BA24" s="44">
        <f>SUM(AR17:AR21)+SUM(AR27:AR30)+SUM(AR36:AR40)</f>
        <v>-289.204707973779</v>
      </c>
      <c r="BB24" s="44">
        <f>SUM(AS17:AS21)+SUM(AS27:AS30)+SUM(AS36:AS40)</f>
        <v>5020.88438473643</v>
      </c>
      <c r="BC24" s="50"/>
      <c r="BD24" s="50"/>
      <c r="BF24" s="66"/>
      <c r="BG24" s="67" t="s">
        <v>107</v>
      </c>
      <c r="BH24" s="1" t="s">
        <v>35</v>
      </c>
      <c r="BI24" s="74">
        <f>BD32+BC35</f>
        <v>2765.74783658738</v>
      </c>
      <c r="BJ24" s="64" t="s">
        <v>36</v>
      </c>
      <c r="BK24" s="65">
        <f>-0.06*BI24</f>
        <v>-165.944870195243</v>
      </c>
      <c r="BL24" s="65" t="s">
        <v>36</v>
      </c>
      <c r="BM24" s="65">
        <f>1*BI24</f>
        <v>2765.74783658738</v>
      </c>
      <c r="BN24" s="65" t="s">
        <v>36</v>
      </c>
      <c r="BO24" s="65" t="s">
        <v>36</v>
      </c>
      <c r="BP24" s="65" t="s">
        <v>36</v>
      </c>
      <c r="BQ24" s="63" t="s">
        <v>36</v>
      </c>
      <c r="BS24" s="62" t="s">
        <v>61</v>
      </c>
      <c r="BT24" s="95" t="s">
        <v>46</v>
      </c>
      <c r="BU24" s="95" t="s">
        <v>108</v>
      </c>
      <c r="BV24" s="95" t="s">
        <v>35</v>
      </c>
      <c r="BW24" s="127">
        <f>(((BW23-110)/(120-110))*(-19-(-19.3)))+(-19.3)</f>
        <v>-19.201</v>
      </c>
      <c r="BX24" s="95"/>
      <c r="BY24" s="95"/>
      <c r="BZ24" s="95"/>
    </row>
    <row r="25" ht="15.15" spans="2:78">
      <c r="B25" s="13" t="s">
        <v>109</v>
      </c>
      <c r="C25" s="16">
        <v>146.955037686613</v>
      </c>
      <c r="D25" s="17">
        <v>147.835990885256</v>
      </c>
      <c r="E25" s="17">
        <v>144.078806602212</v>
      </c>
      <c r="F25" s="17">
        <v>136.117971537407</v>
      </c>
      <c r="G25" s="17">
        <v>125.45998691525</v>
      </c>
      <c r="H25" s="17">
        <v>114.53083085485</v>
      </c>
      <c r="I25" s="17">
        <v>106.282852891463</v>
      </c>
      <c r="J25" s="17">
        <v>103.471472462517</v>
      </c>
      <c r="K25" s="17">
        <v>107.769744455304</v>
      </c>
      <c r="L25" s="17">
        <v>119.082875762176</v>
      </c>
      <c r="M25" s="17">
        <v>135.416625730793</v>
      </c>
      <c r="N25" s="17">
        <v>153.435770815478</v>
      </c>
      <c r="O25" s="17">
        <v>169.518924739569</v>
      </c>
      <c r="P25" s="17">
        <v>180.854576381488</v>
      </c>
      <c r="Q25" s="17">
        <v>186.109229785716</v>
      </c>
      <c r="R25" s="17">
        <v>185.458043961829</v>
      </c>
      <c r="S25" s="17">
        <v>180.121239486476</v>
      </c>
      <c r="T25" s="17">
        <v>171.756768792659</v>
      </c>
      <c r="U25" s="17">
        <v>162.016027227343</v>
      </c>
      <c r="V25" s="17">
        <v>152.352581430419</v>
      </c>
      <c r="W25" s="17">
        <v>143.963117952933</v>
      </c>
      <c r="X25" s="17">
        <v>137.689230431542</v>
      </c>
      <c r="Y25" s="17">
        <v>133.835779234155</v>
      </c>
      <c r="Z25" s="35">
        <v>132.033826546775</v>
      </c>
      <c r="AB25" s="36" t="s">
        <v>110</v>
      </c>
      <c r="AC25" s="33">
        <f t="shared" si="0"/>
        <v>1799.27812526547</v>
      </c>
      <c r="AD25" s="34">
        <f t="shared" si="1"/>
        <v>1676.86918730476</v>
      </c>
      <c r="AE25" s="34">
        <f t="shared" si="2"/>
        <v>1935.7093459709</v>
      </c>
      <c r="AF25" s="34">
        <f t="shared" si="3"/>
        <v>1540.43796659932</v>
      </c>
      <c r="AG25" s="34">
        <f t="shared" si="4"/>
        <v>1786.84667460177</v>
      </c>
      <c r="AH25" s="34">
        <f t="shared" si="5"/>
        <v>1689.30063796845</v>
      </c>
      <c r="AI25" s="34">
        <f t="shared" si="6"/>
        <v>1888.79740762933</v>
      </c>
      <c r="AJ25" s="34">
        <f t="shared" si="7"/>
        <v>1587.3499049409</v>
      </c>
      <c r="AK25" s="34">
        <f t="shared" si="8"/>
        <v>1156.53003955475</v>
      </c>
      <c r="AL25" s="34">
        <f t="shared" si="9"/>
        <v>1160.26902048912</v>
      </c>
      <c r="AM25" s="34">
        <f t="shared" si="10"/>
        <v>1751.20836250083</v>
      </c>
      <c r="AN25" s="34">
        <f t="shared" si="11"/>
        <v>1724.93895006939</v>
      </c>
      <c r="AP25" s="36" t="s">
        <v>110</v>
      </c>
      <c r="AQ25" s="44">
        <f t="shared" si="12"/>
        <v>3476.14731257022</v>
      </c>
      <c r="AR25" s="44">
        <f t="shared" si="13"/>
        <v>132.408937960713</v>
      </c>
      <c r="AS25" s="44">
        <f t="shared" si="14"/>
        <v>405.271379371585</v>
      </c>
      <c r="AT25" s="44">
        <f t="shared" si="15"/>
        <v>107.546036633323</v>
      </c>
      <c r="AU25" s="44">
        <f t="shared" si="16"/>
        <v>311.447502688427</v>
      </c>
      <c r="AV25" s="44">
        <f t="shared" si="17"/>
        <v>6.26101906563099</v>
      </c>
      <c r="AW25" s="44">
        <f t="shared" si="18"/>
        <v>36.2694124314432</v>
      </c>
      <c r="AX25" s="40"/>
      <c r="AY25" s="30">
        <v>20</v>
      </c>
      <c r="AZ25" s="10" t="s">
        <v>40</v>
      </c>
      <c r="BA25" s="44">
        <f>SUM(AT12:AT40)</f>
        <v>11955.0620032884</v>
      </c>
      <c r="BB25" s="44">
        <f>SUM(AU12:AU40)</f>
        <v>-4441.41529605457</v>
      </c>
      <c r="BC25" s="49">
        <f>BA25-BA26</f>
        <v>11665.0620032884</v>
      </c>
      <c r="BD25" s="49">
        <f>BB25-BB26</f>
        <v>-4731.41529605457</v>
      </c>
      <c r="BF25" s="66"/>
      <c r="BG25" s="67" t="s">
        <v>111</v>
      </c>
      <c r="BH25" s="1" t="s">
        <v>35</v>
      </c>
      <c r="BI25" s="63">
        <f>BD37+BC40</f>
        <v>118.556859281393</v>
      </c>
      <c r="BJ25" s="64" t="s">
        <v>36</v>
      </c>
      <c r="BK25" s="65">
        <f>0.03*BI25</f>
        <v>3.55670577844178</v>
      </c>
      <c r="BL25" s="65" t="s">
        <v>36</v>
      </c>
      <c r="BM25" s="65" t="s">
        <v>36</v>
      </c>
      <c r="BN25" s="65" t="s">
        <v>36</v>
      </c>
      <c r="BO25" s="65" t="s">
        <v>36</v>
      </c>
      <c r="BP25" s="65">
        <f>0.01*BI25</f>
        <v>1.18556859281393</v>
      </c>
      <c r="BQ25" s="63">
        <f>1*BI25</f>
        <v>118.556859281393</v>
      </c>
      <c r="BS25" s="62" t="s">
        <v>61</v>
      </c>
      <c r="BT25" s="95" t="s">
        <v>46</v>
      </c>
      <c r="BU25" s="95" t="s">
        <v>112</v>
      </c>
      <c r="BV25" s="95" t="s">
        <v>35</v>
      </c>
      <c r="BW25" s="127">
        <f>(((BW23-110)/(120-110))*(-0.118-(-0.06))+(-0.06))</f>
        <v>-0.0791400000000004</v>
      </c>
      <c r="BX25" s="95"/>
      <c r="BY25" s="95"/>
      <c r="BZ25" s="95"/>
    </row>
    <row r="26" ht="15.15" spans="2:78">
      <c r="B26" s="18" t="s">
        <v>113</v>
      </c>
      <c r="C26" s="19">
        <v>131.326540420433</v>
      </c>
      <c r="D26" s="20">
        <v>130.526711344635</v>
      </c>
      <c r="E26" s="20">
        <v>128.689509066517</v>
      </c>
      <c r="F26" s="20">
        <v>125.452509391059</v>
      </c>
      <c r="G26" s="20">
        <v>121.110131578518</v>
      </c>
      <c r="H26" s="20">
        <v>116.491655604347</v>
      </c>
      <c r="I26" s="20">
        <v>112.785236053089</v>
      </c>
      <c r="J26" s="20">
        <v>111.338325347236</v>
      </c>
      <c r="K26" s="20">
        <v>113.347067657188</v>
      </c>
      <c r="L26" s="20">
        <v>119.42029192566</v>
      </c>
      <c r="M26" s="20">
        <v>129.220341222177</v>
      </c>
      <c r="N26" s="20">
        <v>141.470331877149</v>
      </c>
      <c r="O26" s="20">
        <v>154.396780057643</v>
      </c>
      <c r="P26" s="20">
        <v>166.325960175639</v>
      </c>
      <c r="Q26" s="20">
        <v>176.046485210405</v>
      </c>
      <c r="R26" s="20">
        <v>182.811778443381</v>
      </c>
      <c r="S26" s="20">
        <v>186.184958445841</v>
      </c>
      <c r="T26" s="20">
        <v>185.970870438614</v>
      </c>
      <c r="U26" s="20">
        <v>182.259590717873</v>
      </c>
      <c r="V26" s="20">
        <v>175.446444007488</v>
      </c>
      <c r="W26" s="20">
        <v>166.16694024344</v>
      </c>
      <c r="X26" s="20">
        <v>155.227221409076</v>
      </c>
      <c r="Y26" s="20">
        <v>143.605311947724</v>
      </c>
      <c r="Z26" s="37">
        <v>132.463974553411</v>
      </c>
      <c r="AB26" s="36" t="s">
        <v>114</v>
      </c>
      <c r="AC26" s="33">
        <f t="shared" si="0"/>
        <v>1779.31842685402</v>
      </c>
      <c r="AD26" s="34">
        <f t="shared" si="1"/>
        <v>1708.76654028452</v>
      </c>
      <c r="AE26" s="34">
        <f t="shared" si="2"/>
        <v>2006.90631565053</v>
      </c>
      <c r="AF26" s="34">
        <f t="shared" si="3"/>
        <v>1481.17865148801</v>
      </c>
      <c r="AG26" s="34">
        <f t="shared" si="4"/>
        <v>1708.71945921047</v>
      </c>
      <c r="AH26" s="34">
        <f t="shared" si="5"/>
        <v>1779.36550792807</v>
      </c>
      <c r="AI26" s="34">
        <f t="shared" si="6"/>
        <v>1805.33389017703</v>
      </c>
      <c r="AJ26" s="34">
        <f t="shared" si="7"/>
        <v>1682.75107696151</v>
      </c>
      <c r="AK26" s="34">
        <f t="shared" si="8"/>
        <v>1157.16497972256</v>
      </c>
      <c r="AL26" s="34">
        <f t="shared" si="9"/>
        <v>1167.16180334673</v>
      </c>
      <c r="AM26" s="34">
        <f t="shared" si="10"/>
        <v>1748.65559030159</v>
      </c>
      <c r="AN26" s="34">
        <f t="shared" si="11"/>
        <v>1739.42937683696</v>
      </c>
      <c r="AP26" s="36" t="s">
        <v>114</v>
      </c>
      <c r="AQ26" s="44">
        <f t="shared" si="12"/>
        <v>3488.08496713854</v>
      </c>
      <c r="AR26" s="44">
        <f t="shared" si="13"/>
        <v>80.551886569501</v>
      </c>
      <c r="AS26" s="44">
        <f t="shared" si="14"/>
        <v>535.727664162527</v>
      </c>
      <c r="AT26" s="44">
        <f t="shared" si="15"/>
        <v>-60.6460487176055</v>
      </c>
      <c r="AU26" s="44">
        <f t="shared" si="16"/>
        <v>132.582813215521</v>
      </c>
      <c r="AV26" s="44">
        <f t="shared" si="17"/>
        <v>0.00317637583293617</v>
      </c>
      <c r="AW26" s="44">
        <f t="shared" si="18"/>
        <v>19.2262134646289</v>
      </c>
      <c r="AX26" s="40"/>
      <c r="AY26" s="29"/>
      <c r="AZ26" s="10" t="s">
        <v>36</v>
      </c>
      <c r="BA26" s="44">
        <f>29*AR11</f>
        <v>290</v>
      </c>
      <c r="BB26" s="44">
        <f>29*AU11</f>
        <v>290</v>
      </c>
      <c r="BC26" s="50"/>
      <c r="BD26" s="50"/>
      <c r="BF26" s="68"/>
      <c r="BG26" s="69" t="s">
        <v>115</v>
      </c>
      <c r="BH26" s="70" t="s">
        <v>35</v>
      </c>
      <c r="BI26" s="71">
        <f>BD42+BC45</f>
        <v>69.87533908517</v>
      </c>
      <c r="BJ26" s="72" t="s">
        <v>36</v>
      </c>
      <c r="BK26" s="73" t="s">
        <v>36</v>
      </c>
      <c r="BL26" s="73" t="s">
        <v>36</v>
      </c>
      <c r="BM26" s="73" t="s">
        <v>36</v>
      </c>
      <c r="BN26" s="73" t="s">
        <v>36</v>
      </c>
      <c r="BO26" s="73" t="s">
        <v>36</v>
      </c>
      <c r="BP26" s="73">
        <f>1*BI26</f>
        <v>69.87533908517</v>
      </c>
      <c r="BQ26" s="71">
        <f>0.08*BI26</f>
        <v>5.5900271268136</v>
      </c>
      <c r="BS26" s="62" t="s">
        <v>71</v>
      </c>
      <c r="BT26" s="95" t="s">
        <v>46</v>
      </c>
      <c r="BU26" s="95" t="s">
        <v>73</v>
      </c>
      <c r="BV26" s="95" t="s">
        <v>35</v>
      </c>
      <c r="BW26" s="127">
        <f>BN32</f>
        <v>1.082</v>
      </c>
      <c r="BX26" s="95"/>
      <c r="BY26" s="95"/>
      <c r="BZ26" s="95"/>
    </row>
    <row r="27" ht="15.15" spans="2:78">
      <c r="B27" s="13" t="s">
        <v>116</v>
      </c>
      <c r="C27" s="16">
        <v>123.037265637043</v>
      </c>
      <c r="D27" s="17">
        <v>116.338469765876</v>
      </c>
      <c r="E27" s="17">
        <v>112.81261801424</v>
      </c>
      <c r="F27" s="17">
        <v>112.155033375587</v>
      </c>
      <c r="G27" s="17">
        <v>113.441762478146</v>
      </c>
      <c r="H27" s="17">
        <v>115.529334944306</v>
      </c>
      <c r="I27" s="17">
        <v>117.52996459773</v>
      </c>
      <c r="J27" s="17">
        <v>119.145523896502</v>
      </c>
      <c r="K27" s="17">
        <v>120.722111400541</v>
      </c>
      <c r="L27" s="17">
        <v>123.004211835677</v>
      </c>
      <c r="M27" s="17">
        <v>126.709568111152</v>
      </c>
      <c r="N27" s="17">
        <v>132.180612294534</v>
      </c>
      <c r="O27" s="17">
        <v>139.352696661393</v>
      </c>
      <c r="P27" s="17">
        <v>148.011861139809</v>
      </c>
      <c r="Q27" s="17">
        <v>157.998442376277</v>
      </c>
      <c r="R27" s="17">
        <v>169.033192930878</v>
      </c>
      <c r="S27" s="17">
        <v>180.261970018137</v>
      </c>
      <c r="T27" s="17">
        <v>189.994476963566</v>
      </c>
      <c r="U27" s="17">
        <v>196.013422948485</v>
      </c>
      <c r="V27" s="17">
        <v>196.3498935429</v>
      </c>
      <c r="W27" s="17">
        <v>190.054400518333</v>
      </c>
      <c r="X27" s="17">
        <v>177.553907426093</v>
      </c>
      <c r="Y27" s="17">
        <v>160.523407068986</v>
      </c>
      <c r="Z27" s="35">
        <v>141.468966069737</v>
      </c>
      <c r="AB27" s="36" t="s">
        <v>117</v>
      </c>
      <c r="AC27" s="33">
        <f t="shared" si="0"/>
        <v>1723.9446322262</v>
      </c>
      <c r="AD27" s="34">
        <f t="shared" si="1"/>
        <v>1755.27848178973</v>
      </c>
      <c r="AE27" s="34">
        <f t="shared" si="2"/>
        <v>2046.61663766459</v>
      </c>
      <c r="AF27" s="34">
        <f t="shared" si="3"/>
        <v>1432.60647635133</v>
      </c>
      <c r="AG27" s="34">
        <f t="shared" si="4"/>
        <v>1658.99202640082</v>
      </c>
      <c r="AH27" s="34">
        <f t="shared" si="5"/>
        <v>1820.23108761511</v>
      </c>
      <c r="AI27" s="34">
        <f t="shared" si="6"/>
        <v>1677.96712430526</v>
      </c>
      <c r="AJ27" s="34">
        <f t="shared" si="7"/>
        <v>1801.25598971067</v>
      </c>
      <c r="AK27" s="34">
        <f t="shared" si="8"/>
        <v>1155.10674011679</v>
      </c>
      <c r="AL27" s="34">
        <f t="shared" si="9"/>
        <v>1163.33391787763</v>
      </c>
      <c r="AM27" s="34">
        <f t="shared" si="10"/>
        <v>1737.36667049913</v>
      </c>
      <c r="AN27" s="34">
        <f t="shared" si="11"/>
        <v>1741.8564435168</v>
      </c>
      <c r="AP27" s="36" t="s">
        <v>117</v>
      </c>
      <c r="AQ27" s="44">
        <f t="shared" si="12"/>
        <v>3479.22311401593</v>
      </c>
      <c r="AR27" s="44">
        <f t="shared" si="13"/>
        <v>-21.3338495635362</v>
      </c>
      <c r="AS27" s="44">
        <f t="shared" si="14"/>
        <v>624.01016131326</v>
      </c>
      <c r="AT27" s="44">
        <f t="shared" si="15"/>
        <v>-151.239061214294</v>
      </c>
      <c r="AU27" s="44">
        <f t="shared" si="16"/>
        <v>-113.288865405412</v>
      </c>
      <c r="AV27" s="44">
        <f t="shared" si="17"/>
        <v>1.77282223916791</v>
      </c>
      <c r="AW27" s="44">
        <f t="shared" si="18"/>
        <v>5.5102269823301</v>
      </c>
      <c r="AX27" s="40"/>
      <c r="AY27" s="30">
        <v>22</v>
      </c>
      <c r="AZ27" s="10" t="s">
        <v>40</v>
      </c>
      <c r="BA27" s="44">
        <f>SUM(AT12:AT15)+SUM(AT23:AT29)+SUM(AT37:AT40)</f>
        <v>1873.78443859011</v>
      </c>
      <c r="BB27" s="44">
        <f>SUM(AU12:AU15)+SUM(AU23:AU29)+SUM(AU37:AU40)</f>
        <v>-760.359583545531</v>
      </c>
      <c r="BC27" s="49">
        <f>BA27-BA28-BA29</f>
        <v>-8217.49312610817</v>
      </c>
      <c r="BD27" s="49">
        <f>BB27-BB28-BB29</f>
        <v>2910.69612896351</v>
      </c>
      <c r="BJ27" s="10" t="s">
        <v>12</v>
      </c>
      <c r="BK27" s="10" t="s">
        <v>13</v>
      </c>
      <c r="BL27" s="10" t="s">
        <v>14</v>
      </c>
      <c r="BM27" s="10" t="s">
        <v>15</v>
      </c>
      <c r="BN27" s="10" t="s">
        <v>16</v>
      </c>
      <c r="BO27" s="10" t="s">
        <v>17</v>
      </c>
      <c r="BP27" s="10" t="s">
        <v>18</v>
      </c>
      <c r="BQ27" s="10" t="s">
        <v>19</v>
      </c>
      <c r="BS27" s="62"/>
      <c r="BT27" s="95"/>
      <c r="BU27" s="95" t="s">
        <v>77</v>
      </c>
      <c r="BV27" s="95" t="s">
        <v>35</v>
      </c>
      <c r="BW27" s="127">
        <f>BW24/BW26</f>
        <v>-17.7458410351201</v>
      </c>
      <c r="BX27" s="95"/>
      <c r="BY27" s="95"/>
      <c r="BZ27" s="95"/>
    </row>
    <row r="28" ht="15.15" spans="2:78">
      <c r="B28" s="13" t="s">
        <v>118</v>
      </c>
      <c r="C28" s="16">
        <v>123.246069996009</v>
      </c>
      <c r="D28" s="17">
        <v>108.599946492342</v>
      </c>
      <c r="E28" s="17">
        <v>99.6888678040365</v>
      </c>
      <c r="F28" s="17">
        <v>97.5701135819281</v>
      </c>
      <c r="G28" s="17">
        <v>101.787524732141</v>
      </c>
      <c r="H28" s="17">
        <v>110.332885901904</v>
      </c>
      <c r="I28" s="17">
        <v>120.173911587531</v>
      </c>
      <c r="J28" s="17">
        <v>128.252265099258</v>
      </c>
      <c r="K28" s="17">
        <v>132.558048915315</v>
      </c>
      <c r="L28" s="17">
        <v>132.78984987121</v>
      </c>
      <c r="M28" s="17">
        <v>130.287080454537</v>
      </c>
      <c r="N28" s="17">
        <v>127.310425238187</v>
      </c>
      <c r="O28" s="17">
        <v>126.130600557514</v>
      </c>
      <c r="P28" s="17">
        <v>128.446594222208</v>
      </c>
      <c r="Q28" s="17">
        <v>135.266944808343</v>
      </c>
      <c r="R28" s="17">
        <v>146.901783885633</v>
      </c>
      <c r="S28" s="17">
        <v>162.684596433182</v>
      </c>
      <c r="T28" s="17">
        <v>180.547986299816</v>
      </c>
      <c r="U28" s="17">
        <v>197.025720249</v>
      </c>
      <c r="V28" s="17">
        <v>208.066872815904</v>
      </c>
      <c r="W28" s="17">
        <v>210.377601443811</v>
      </c>
      <c r="X28" s="17">
        <v>202.550460613789</v>
      </c>
      <c r="Y28" s="17">
        <v>185.434941382447</v>
      </c>
      <c r="Z28" s="35">
        <v>161.782579144802</v>
      </c>
      <c r="AB28" s="36" t="s">
        <v>119</v>
      </c>
      <c r="AC28" s="33">
        <f t="shared" si="0"/>
        <v>1651.35008737273</v>
      </c>
      <c r="AD28" s="34">
        <f t="shared" si="1"/>
        <v>1806.46358415811</v>
      </c>
      <c r="AE28" s="34">
        <f t="shared" si="2"/>
        <v>2045.21668185645</v>
      </c>
      <c r="AF28" s="34">
        <f t="shared" si="3"/>
        <v>1412.5969896744</v>
      </c>
      <c r="AG28" s="34">
        <f t="shared" si="4"/>
        <v>1661.53436058542</v>
      </c>
      <c r="AH28" s="34">
        <f t="shared" si="5"/>
        <v>1796.27931094542</v>
      </c>
      <c r="AI28" s="34">
        <f t="shared" si="6"/>
        <v>1521.20391471506</v>
      </c>
      <c r="AJ28" s="34">
        <f t="shared" si="7"/>
        <v>1936.60975681579</v>
      </c>
      <c r="AK28" s="34">
        <f t="shared" si="8"/>
        <v>1146.55017897476</v>
      </c>
      <c r="AL28" s="34">
        <f t="shared" si="9"/>
        <v>1157.70367092407</v>
      </c>
      <c r="AM28" s="34">
        <f t="shared" si="10"/>
        <v>1717.83344399127</v>
      </c>
      <c r="AN28" s="34">
        <f t="shared" si="11"/>
        <v>1739.98022753958</v>
      </c>
      <c r="AP28" s="36" t="s">
        <v>119</v>
      </c>
      <c r="AQ28" s="44">
        <f t="shared" si="12"/>
        <v>3457.81367153085</v>
      </c>
      <c r="AR28" s="44">
        <f t="shared" si="13"/>
        <v>-145.11349678538</v>
      </c>
      <c r="AS28" s="44">
        <f t="shared" si="14"/>
        <v>642.61969218205</v>
      </c>
      <c r="AT28" s="44">
        <f t="shared" si="15"/>
        <v>-124.744950359998</v>
      </c>
      <c r="AU28" s="44">
        <f t="shared" si="16"/>
        <v>-405.405842100734</v>
      </c>
      <c r="AV28" s="44">
        <f t="shared" si="17"/>
        <v>-1.15349194930263</v>
      </c>
      <c r="AW28" s="44">
        <f t="shared" si="18"/>
        <v>-12.1467835483047</v>
      </c>
      <c r="AX28" s="40"/>
      <c r="AY28" s="51"/>
      <c r="AZ28" s="10" t="s">
        <v>36</v>
      </c>
      <c r="BA28" s="44">
        <f>SUM(AT16:AT22)+SUM(AT30:AT36)</f>
        <v>10081.2775646983</v>
      </c>
      <c r="BB28" s="44">
        <f>SUM(AU16:AU22)+SUM(AU30:AU36)</f>
        <v>-3681.05571250904</v>
      </c>
      <c r="BC28" s="52"/>
      <c r="BD28" s="52"/>
      <c r="BF28" s="25" t="s">
        <v>120</v>
      </c>
      <c r="BG28" s="75" t="s">
        <v>121</v>
      </c>
      <c r="BH28" s="76"/>
      <c r="BI28" s="77"/>
      <c r="BJ28" s="49">
        <f>SUM(BJ10:BJ18)</f>
        <v>100967.054818733</v>
      </c>
      <c r="BK28" s="49">
        <f>SUM(BK10:BK18)</f>
        <v>-17288.1554613776</v>
      </c>
      <c r="BL28" s="49">
        <f t="shared" ref="BL28:BQ28" si="19">SUM(BL10:BL18)</f>
        <v>11407.0863201612</v>
      </c>
      <c r="BM28" s="49">
        <f t="shared" si="19"/>
        <v>-1299.32768816536</v>
      </c>
      <c r="BN28" s="49">
        <f t="shared" si="19"/>
        <v>-1071.21986075261</v>
      </c>
      <c r="BO28" s="49">
        <f t="shared" si="19"/>
        <v>4949.0528031729</v>
      </c>
      <c r="BP28" s="49">
        <f t="shared" si="19"/>
        <v>195.18784816833</v>
      </c>
      <c r="BQ28" s="49">
        <f t="shared" si="19"/>
        <v>-265.312973864729</v>
      </c>
      <c r="BS28" s="62"/>
      <c r="BT28" s="95"/>
      <c r="BU28" s="95" t="s">
        <v>82</v>
      </c>
      <c r="BV28" s="95" t="s">
        <v>35</v>
      </c>
      <c r="BW28" s="128">
        <f>BW25/BW26</f>
        <v>-0.0731423290203331</v>
      </c>
      <c r="BX28" s="95"/>
      <c r="BY28" s="95"/>
      <c r="BZ28" s="95"/>
    </row>
    <row r="29" ht="15.15" spans="2:78">
      <c r="B29" s="13" t="s">
        <v>122</v>
      </c>
      <c r="C29" s="16">
        <v>135.575914233119</v>
      </c>
      <c r="D29" s="17">
        <v>111.349181332347</v>
      </c>
      <c r="E29" s="17">
        <v>93.4767205579339</v>
      </c>
      <c r="F29" s="17">
        <v>85.272510011458</v>
      </c>
      <c r="G29" s="17">
        <v>87.9758820448654</v>
      </c>
      <c r="H29" s="17">
        <v>100.057747577069</v>
      </c>
      <c r="I29" s="17">
        <v>117.376667314914</v>
      </c>
      <c r="J29" s="17">
        <v>134.376406385451</v>
      </c>
      <c r="K29" s="17">
        <v>145.95481652552</v>
      </c>
      <c r="L29" s="17">
        <v>149.229711131969</v>
      </c>
      <c r="M29" s="17">
        <v>144.427620603379</v>
      </c>
      <c r="N29" s="17">
        <v>134.529222827835</v>
      </c>
      <c r="O29" s="17">
        <v>123.929652776114</v>
      </c>
      <c r="P29" s="17">
        <v>116.867629605655</v>
      </c>
      <c r="Q29" s="17">
        <v>116.377180316199</v>
      </c>
      <c r="R29" s="17">
        <v>123.967084042737</v>
      </c>
      <c r="S29" s="17">
        <v>139.610638173257</v>
      </c>
      <c r="T29" s="17">
        <v>161.567519918127</v>
      </c>
      <c r="U29" s="17">
        <v>186.134945028949</v>
      </c>
      <c r="V29" s="17">
        <v>207.958992620485</v>
      </c>
      <c r="W29" s="17">
        <v>221.333873771722</v>
      </c>
      <c r="X29" s="17">
        <v>222.102039759292</v>
      </c>
      <c r="Y29" s="17">
        <v>209.165245248109</v>
      </c>
      <c r="Z29" s="35">
        <v>184.821224318038</v>
      </c>
      <c r="AB29" s="36" t="s">
        <v>123</v>
      </c>
      <c r="AC29" s="33">
        <f t="shared" si="0"/>
        <v>1608.21414962116</v>
      </c>
      <c r="AD29" s="34">
        <f t="shared" si="1"/>
        <v>1845.22427650339</v>
      </c>
      <c r="AE29" s="34">
        <f t="shared" si="2"/>
        <v>2013.83602557868</v>
      </c>
      <c r="AF29" s="34">
        <f t="shared" si="3"/>
        <v>1439.60240054586</v>
      </c>
      <c r="AG29" s="34">
        <f t="shared" si="4"/>
        <v>1741.85134270999</v>
      </c>
      <c r="AH29" s="34">
        <f t="shared" si="5"/>
        <v>1711.58708341455</v>
      </c>
      <c r="AI29" s="34">
        <f t="shared" si="6"/>
        <v>1396.02766058888</v>
      </c>
      <c r="AJ29" s="34">
        <f t="shared" si="7"/>
        <v>2057.41076553566</v>
      </c>
      <c r="AK29" s="34">
        <f t="shared" si="8"/>
        <v>1143.99289399417</v>
      </c>
      <c r="AL29" s="34">
        <f t="shared" si="9"/>
        <v>1157.71393611683</v>
      </c>
      <c r="AM29" s="34">
        <f t="shared" si="10"/>
        <v>1710.71198046841</v>
      </c>
      <c r="AN29" s="34">
        <f t="shared" si="11"/>
        <v>1742.72644565614</v>
      </c>
      <c r="AP29" s="36" t="s">
        <v>123</v>
      </c>
      <c r="AQ29" s="44">
        <f t="shared" si="12"/>
        <v>3453.43842612454</v>
      </c>
      <c r="AR29" s="44">
        <f t="shared" si="13"/>
        <v>-227.010126882231</v>
      </c>
      <c r="AS29" s="44">
        <f t="shared" si="14"/>
        <v>584.233625032824</v>
      </c>
      <c r="AT29" s="44">
        <f t="shared" si="15"/>
        <v>40.2642592954353</v>
      </c>
      <c r="AU29" s="44">
        <f t="shared" si="16"/>
        <v>-651.383104946782</v>
      </c>
      <c r="AV29" s="44">
        <f t="shared" si="17"/>
        <v>-3.72104212266595</v>
      </c>
      <c r="AW29" s="44">
        <f t="shared" si="18"/>
        <v>-22.0144651877263</v>
      </c>
      <c r="AX29" s="40"/>
      <c r="AY29" s="29"/>
      <c r="AZ29" s="10" t="s">
        <v>36</v>
      </c>
      <c r="BA29" s="44">
        <f>AT11*1</f>
        <v>10</v>
      </c>
      <c r="BB29" s="44">
        <f>AU11*1</f>
        <v>10</v>
      </c>
      <c r="BC29" s="50"/>
      <c r="BD29" s="50"/>
      <c r="BF29" s="66"/>
      <c r="BG29" s="69" t="s">
        <v>124</v>
      </c>
      <c r="BH29" s="78"/>
      <c r="BI29" s="79"/>
      <c r="BJ29" s="50">
        <f>SUM(BJ19:BJ26)</f>
        <v>0</v>
      </c>
      <c r="BK29" s="50">
        <f t="shared" ref="BK29:BQ29" si="20">SUM(BK19:BK26)</f>
        <v>6629.64242352018</v>
      </c>
      <c r="BL29" s="50">
        <f t="shared" si="20"/>
        <v>-4639.53126489099</v>
      </c>
      <c r="BM29" s="50">
        <f t="shared" si="20"/>
        <v>3103.70956195132</v>
      </c>
      <c r="BN29" s="50">
        <f t="shared" si="20"/>
        <v>9443.93958250696</v>
      </c>
      <c r="BO29" s="50">
        <f t="shared" si="20"/>
        <v>6383.59418446171</v>
      </c>
      <c r="BP29" s="50">
        <f t="shared" si="20"/>
        <v>71.0609076779839</v>
      </c>
      <c r="BQ29" s="50">
        <f t="shared" si="20"/>
        <v>134.53055004323</v>
      </c>
      <c r="BS29" s="96"/>
      <c r="BT29" s="97"/>
      <c r="BU29" s="97" t="s">
        <v>87</v>
      </c>
      <c r="BV29" s="97" t="s">
        <v>35</v>
      </c>
      <c r="BW29" s="129">
        <f>1+BW28</f>
        <v>0.926857670979667</v>
      </c>
      <c r="BX29" s="95"/>
      <c r="BY29" s="95"/>
      <c r="BZ29" s="95"/>
    </row>
    <row r="30" ht="15.15" spans="2:78">
      <c r="B30" s="13" t="s">
        <v>125</v>
      </c>
      <c r="C30" s="16">
        <v>153.920241562888</v>
      </c>
      <c r="D30" s="17">
        <v>122.469519560486</v>
      </c>
      <c r="E30" s="17">
        <v>96.3403470920974</v>
      </c>
      <c r="F30" s="17">
        <v>80.2995525105953</v>
      </c>
      <c r="G30" s="17">
        <v>77.1978769901998</v>
      </c>
      <c r="H30" s="17">
        <v>87.1793754517265</v>
      </c>
      <c r="I30" s="17">
        <v>107.168608752858</v>
      </c>
      <c r="J30" s="17">
        <v>131.202930697413</v>
      </c>
      <c r="K30" s="17">
        <v>151.972528164992</v>
      </c>
      <c r="L30" s="17">
        <v>163.233086822517</v>
      </c>
      <c r="M30" s="17">
        <v>162.082604176174</v>
      </c>
      <c r="N30" s="17">
        <v>149.996340759714</v>
      </c>
      <c r="O30" s="17">
        <v>132.104940614373</v>
      </c>
      <c r="P30" s="17">
        <v>115.117560798671</v>
      </c>
      <c r="Q30" s="17">
        <v>104.973433221941</v>
      </c>
      <c r="R30" s="17">
        <v>105.302739182974</v>
      </c>
      <c r="S30" s="17">
        <v>117.063009968294</v>
      </c>
      <c r="T30" s="17">
        <v>138.853078235025</v>
      </c>
      <c r="U30" s="17">
        <v>167.183196861025</v>
      </c>
      <c r="V30" s="17">
        <v>196.60117607835</v>
      </c>
      <c r="W30" s="17">
        <v>220.306316647831</v>
      </c>
      <c r="X30" s="17">
        <v>231.797327446941</v>
      </c>
      <c r="Y30" s="17">
        <v>227.155941775052</v>
      </c>
      <c r="Z30" s="35">
        <v>206.717303242888</v>
      </c>
      <c r="AB30" s="36" t="s">
        <v>126</v>
      </c>
      <c r="AC30" s="33">
        <f t="shared" si="0"/>
        <v>1579.07086139495</v>
      </c>
      <c r="AD30" s="34">
        <f t="shared" si="1"/>
        <v>1867.16817522008</v>
      </c>
      <c r="AE30" s="34">
        <f t="shared" si="2"/>
        <v>1963.17602407336</v>
      </c>
      <c r="AF30" s="34">
        <f t="shared" si="3"/>
        <v>1483.06301254166</v>
      </c>
      <c r="AG30" s="34">
        <f t="shared" si="4"/>
        <v>1865.90864707374</v>
      </c>
      <c r="AH30" s="34">
        <f t="shared" si="5"/>
        <v>1580.33038954128</v>
      </c>
      <c r="AI30" s="34">
        <f t="shared" si="6"/>
        <v>1330.82167518927</v>
      </c>
      <c r="AJ30" s="34">
        <f t="shared" si="7"/>
        <v>2115.41736142576</v>
      </c>
      <c r="AK30" s="34">
        <f t="shared" si="8"/>
        <v>1143.1230854805</v>
      </c>
      <c r="AL30" s="34">
        <f t="shared" si="9"/>
        <v>1154.22533108989</v>
      </c>
      <c r="AM30" s="34">
        <f t="shared" si="10"/>
        <v>1699.36080005293</v>
      </c>
      <c r="AN30" s="34">
        <f t="shared" si="11"/>
        <v>1746.8782365621</v>
      </c>
      <c r="AP30" s="36" t="s">
        <v>126</v>
      </c>
      <c r="AQ30" s="44">
        <f t="shared" si="12"/>
        <v>3446.23903661503</v>
      </c>
      <c r="AR30" s="44">
        <f t="shared" si="13"/>
        <v>-278.097313825134</v>
      </c>
      <c r="AS30" s="44">
        <f t="shared" si="14"/>
        <v>490.113011531703</v>
      </c>
      <c r="AT30" s="44">
        <f t="shared" si="15"/>
        <v>295.578257532459</v>
      </c>
      <c r="AU30" s="44">
        <f t="shared" si="16"/>
        <v>-774.595686236484</v>
      </c>
      <c r="AV30" s="44">
        <f t="shared" si="17"/>
        <v>-1.10224560939105</v>
      </c>
      <c r="AW30" s="44">
        <f t="shared" si="18"/>
        <v>-37.517436509175</v>
      </c>
      <c r="AX30" s="40"/>
      <c r="AY30" s="30" t="s">
        <v>127</v>
      </c>
      <c r="AZ30" s="10" t="s">
        <v>40</v>
      </c>
      <c r="BA30" s="44">
        <f>SUM(AT20:AT25)+SUM(AT34:AT39)</f>
        <v>6777.81598770898</v>
      </c>
      <c r="BB30" s="44">
        <f>SUM(AU20:AU25)+SUM(AU34:AU39)</f>
        <v>2605.67715230089</v>
      </c>
      <c r="BC30" s="49">
        <f>BA30-BA31</f>
        <v>3214.90594860841</v>
      </c>
      <c r="BD30" s="49">
        <f>BB30-BB31</f>
        <v>8980.88574903853</v>
      </c>
      <c r="BF30" s="66"/>
      <c r="BG30" s="75" t="s">
        <v>128</v>
      </c>
      <c r="BH30" s="76"/>
      <c r="BI30" s="77"/>
      <c r="BJ30" s="49">
        <f>SQRT((BJ28^2)+(BJ29^2))</f>
        <v>100967.054818733</v>
      </c>
      <c r="BK30" s="49">
        <f t="shared" ref="BK30:BQ30" si="21">SQRT((BK28^2)+(BK29^2))</f>
        <v>18515.7359540608</v>
      </c>
      <c r="BL30" s="49">
        <f t="shared" si="21"/>
        <v>12314.4983118887</v>
      </c>
      <c r="BM30" s="49">
        <f t="shared" si="21"/>
        <v>3364.70882635945</v>
      </c>
      <c r="BN30" s="49">
        <f t="shared" si="21"/>
        <v>9504.4992939193</v>
      </c>
      <c r="BO30" s="49">
        <f t="shared" si="21"/>
        <v>8077.33856913816</v>
      </c>
      <c r="BP30" s="49">
        <f t="shared" si="21"/>
        <v>207.720843134727</v>
      </c>
      <c r="BQ30" s="49">
        <f t="shared" si="21"/>
        <v>297.471751593122</v>
      </c>
      <c r="BS30" s="56" t="s">
        <v>129</v>
      </c>
      <c r="BT30" s="94"/>
      <c r="BU30" s="94"/>
      <c r="BV30" s="94"/>
      <c r="BW30" s="122"/>
      <c r="BX30" s="95"/>
      <c r="BY30" s="95"/>
      <c r="BZ30" s="95"/>
    </row>
    <row r="31" ht="15.15" spans="2:78">
      <c r="B31" s="13" t="s">
        <v>130</v>
      </c>
      <c r="C31" s="16">
        <v>175.049854329849</v>
      </c>
      <c r="D31" s="17">
        <v>139.279751494101</v>
      </c>
      <c r="E31" s="17">
        <v>106.844628886878</v>
      </c>
      <c r="F31" s="17">
        <v>83.8361614120038</v>
      </c>
      <c r="G31" s="17">
        <v>74.2472235723365</v>
      </c>
      <c r="H31" s="17">
        <v>79.5974798909214</v>
      </c>
      <c r="I31" s="17">
        <v>98.4111509627534</v>
      </c>
      <c r="J31" s="17">
        <v>125.78864791334</v>
      </c>
      <c r="K31" s="17">
        <v>153.948434515012</v>
      </c>
      <c r="L31" s="17">
        <v>174.309230777015</v>
      </c>
      <c r="M31" s="17">
        <v>180.562637408632</v>
      </c>
      <c r="N31" s="17">
        <v>171.220715470403</v>
      </c>
      <c r="O31" s="17">
        <v>150.19806029869</v>
      </c>
      <c r="P31" s="17">
        <v>125.103983587528</v>
      </c>
      <c r="Q31" s="17">
        <v>104.244623468026</v>
      </c>
      <c r="R31" s="17">
        <v>93.9259969688656</v>
      </c>
      <c r="S31" s="17">
        <v>97.1584524633126</v>
      </c>
      <c r="T31" s="17">
        <v>113.74233582574</v>
      </c>
      <c r="U31" s="17">
        <v>140.8773829743</v>
      </c>
      <c r="V31" s="17">
        <v>173.555689540638</v>
      </c>
      <c r="W31" s="17">
        <v>204.873173316722</v>
      </c>
      <c r="X31" s="17">
        <v>227.051064403578</v>
      </c>
      <c r="Y31" s="17">
        <v>233.58160674374</v>
      </c>
      <c r="Z31" s="35">
        <v>221.758336307758</v>
      </c>
      <c r="AB31" s="36" t="s">
        <v>131</v>
      </c>
      <c r="AC31" s="33">
        <f t="shared" si="0"/>
        <v>1588.61426965932</v>
      </c>
      <c r="AD31" s="34">
        <f t="shared" si="1"/>
        <v>1860.55235287283</v>
      </c>
      <c r="AE31" s="34">
        <f t="shared" si="2"/>
        <v>1886.0707058989</v>
      </c>
      <c r="AF31" s="34">
        <f t="shared" si="3"/>
        <v>1563.09591663325</v>
      </c>
      <c r="AG31" s="34">
        <f t="shared" si="4"/>
        <v>2009.2044931762</v>
      </c>
      <c r="AH31" s="34">
        <f t="shared" si="5"/>
        <v>1439.96212935595</v>
      </c>
      <c r="AI31" s="34">
        <f t="shared" si="6"/>
        <v>1343.22855219825</v>
      </c>
      <c r="AJ31" s="34">
        <f t="shared" si="7"/>
        <v>2105.93807033389</v>
      </c>
      <c r="AK31" s="34">
        <f t="shared" si="8"/>
        <v>1150.85531606041</v>
      </c>
      <c r="AL31" s="34">
        <f t="shared" si="9"/>
        <v>1149.0333137481</v>
      </c>
      <c r="AM31" s="34">
        <f t="shared" si="10"/>
        <v>1698.17538128784</v>
      </c>
      <c r="AN31" s="34">
        <f t="shared" si="11"/>
        <v>1750.99124124431</v>
      </c>
      <c r="AP31" s="36" t="s">
        <v>131</v>
      </c>
      <c r="AQ31" s="44">
        <f t="shared" si="12"/>
        <v>3449.16662253214</v>
      </c>
      <c r="AR31" s="44">
        <f t="shared" si="13"/>
        <v>-261.938083213508</v>
      </c>
      <c r="AS31" s="44">
        <f t="shared" si="14"/>
        <v>332.974789265653</v>
      </c>
      <c r="AT31" s="44">
        <f t="shared" si="15"/>
        <v>579.242363820253</v>
      </c>
      <c r="AU31" s="44">
        <f t="shared" si="16"/>
        <v>-752.709518135639</v>
      </c>
      <c r="AV31" s="44">
        <f t="shared" si="17"/>
        <v>11.8220023123145</v>
      </c>
      <c r="AW31" s="44">
        <f t="shared" si="18"/>
        <v>-42.8158599564686</v>
      </c>
      <c r="AX31" s="40"/>
      <c r="AY31" s="29"/>
      <c r="AZ31" s="10" t="s">
        <v>36</v>
      </c>
      <c r="BA31" s="44">
        <f>SUM(AT13:AT18)+SUM(AT27:AT32)</f>
        <v>3562.91003910057</v>
      </c>
      <c r="BB31" s="44">
        <f>SUM(AU13:AU18)+SUM(AU27:AU32)</f>
        <v>-6375.20859673763</v>
      </c>
      <c r="BC31" s="50"/>
      <c r="BD31" s="50"/>
      <c r="BF31" s="66"/>
      <c r="BG31" s="67" t="s">
        <v>132</v>
      </c>
      <c r="BI31" s="80"/>
      <c r="BJ31" s="81">
        <v>696</v>
      </c>
      <c r="BK31" s="81">
        <v>559</v>
      </c>
      <c r="BL31" s="81">
        <v>448</v>
      </c>
      <c r="BM31" s="81">
        <v>566</v>
      </c>
      <c r="BN31" s="81">
        <v>439</v>
      </c>
      <c r="BO31" s="81">
        <v>565</v>
      </c>
      <c r="BP31" s="81">
        <v>507</v>
      </c>
      <c r="BQ31" s="81">
        <v>535</v>
      </c>
      <c r="BS31" s="62" t="s">
        <v>45</v>
      </c>
      <c r="BT31" s="95" t="s">
        <v>133</v>
      </c>
      <c r="BU31" s="95" t="s">
        <v>134</v>
      </c>
      <c r="BV31" s="95" t="s">
        <v>35</v>
      </c>
      <c r="BW31" s="130">
        <f>3*BK37</f>
        <v>1499.7</v>
      </c>
      <c r="BX31" s="95"/>
      <c r="BY31" s="95"/>
      <c r="BZ31" s="95"/>
    </row>
    <row r="32" ht="15.15" spans="2:76">
      <c r="B32" s="13" t="s">
        <v>135</v>
      </c>
      <c r="C32" s="16">
        <v>194.076264588175</v>
      </c>
      <c r="D32" s="17">
        <v>157.473401665696</v>
      </c>
      <c r="E32" s="17">
        <v>120.805926624964</v>
      </c>
      <c r="F32" s="17">
        <v>92.0593391723955</v>
      </c>
      <c r="G32" s="17">
        <v>76.6457575493322</v>
      </c>
      <c r="H32" s="17">
        <v>76.9790484479979</v>
      </c>
      <c r="I32" s="17">
        <v>92.5366631863283</v>
      </c>
      <c r="J32" s="17">
        <v>119.730727949418</v>
      </c>
      <c r="K32" s="17">
        <v>151.86727733313</v>
      </c>
      <c r="L32" s="17">
        <v>180.127952035232</v>
      </c>
      <c r="M32" s="17">
        <v>196.030290938817</v>
      </c>
      <c r="N32" s="17">
        <v>194.565195224203</v>
      </c>
      <c r="O32" s="17">
        <v>176.356110547077</v>
      </c>
      <c r="P32" s="17">
        <v>147.556335161732</v>
      </c>
      <c r="Q32" s="17">
        <v>117.507778552016</v>
      </c>
      <c r="R32" s="17">
        <v>95.4019565732423</v>
      </c>
      <c r="S32" s="17">
        <v>87.50309386235</v>
      </c>
      <c r="T32" s="17">
        <v>95.8706223305715</v>
      </c>
      <c r="U32" s="17">
        <v>118.532135913574</v>
      </c>
      <c r="V32" s="17">
        <v>150.418226028187</v>
      </c>
      <c r="W32" s="17">
        <v>184.445448529834</v>
      </c>
      <c r="X32" s="17">
        <v>212.688539727407</v>
      </c>
      <c r="Y32" s="17">
        <v>227.951521798912</v>
      </c>
      <c r="Z32" s="35">
        <v>225.750726189741</v>
      </c>
      <c r="AB32" s="36" t="s">
        <v>136</v>
      </c>
      <c r="AC32" s="33">
        <f t="shared" si="0"/>
        <v>1655.05400369412</v>
      </c>
      <c r="AD32" s="34">
        <f t="shared" si="1"/>
        <v>1837.82633623622</v>
      </c>
      <c r="AE32" s="34">
        <f t="shared" si="2"/>
        <v>1839.98249521464</v>
      </c>
      <c r="AF32" s="34">
        <f t="shared" si="3"/>
        <v>1652.89784471569</v>
      </c>
      <c r="AG32" s="34">
        <f t="shared" si="4"/>
        <v>2150.89004305397</v>
      </c>
      <c r="AH32" s="34">
        <f t="shared" si="5"/>
        <v>1341.99029687636</v>
      </c>
      <c r="AI32" s="34">
        <f t="shared" si="6"/>
        <v>1438.23563507555</v>
      </c>
      <c r="AJ32" s="34">
        <f t="shared" si="7"/>
        <v>2054.64470485478</v>
      </c>
      <c r="AK32" s="34">
        <f t="shared" si="8"/>
        <v>1174.66676642767</v>
      </c>
      <c r="AL32" s="34">
        <f t="shared" si="9"/>
        <v>1154.90421854822</v>
      </c>
      <c r="AM32" s="34">
        <f t="shared" si="10"/>
        <v>1731.30629608013</v>
      </c>
      <c r="AN32" s="34">
        <f t="shared" si="11"/>
        <v>1761.5740438502</v>
      </c>
      <c r="AP32" s="36" t="s">
        <v>136</v>
      </c>
      <c r="AQ32" s="44">
        <f t="shared" si="12"/>
        <v>3492.88033993033</v>
      </c>
      <c r="AR32" s="44">
        <f t="shared" si="13"/>
        <v>-172.772332542099</v>
      </c>
      <c r="AS32" s="44">
        <f t="shared" si="14"/>
        <v>197.084650498955</v>
      </c>
      <c r="AT32" s="44">
        <f t="shared" si="15"/>
        <v>818.899746177611</v>
      </c>
      <c r="AU32" s="44">
        <f t="shared" si="16"/>
        <v>-606.409069779234</v>
      </c>
      <c r="AV32" s="44">
        <f t="shared" si="17"/>
        <v>29.7625478794469</v>
      </c>
      <c r="AW32" s="44">
        <f t="shared" si="18"/>
        <v>-20.2677477700699</v>
      </c>
      <c r="AX32" s="40"/>
      <c r="AY32" s="30">
        <v>23</v>
      </c>
      <c r="AZ32" s="10" t="s">
        <v>40</v>
      </c>
      <c r="BA32" s="44">
        <f>SUM(AT14:AT18)+SUM(AT24:AT28)+SUM(AT34:AT38)</f>
        <v>5566.74226244677</v>
      </c>
      <c r="BB32" s="44">
        <f>SUM(AU14:AU18)+SUM(AU24:AU28)+SUM(AU34:AU38)</f>
        <v>-1380.98924135695</v>
      </c>
      <c r="BC32" s="49">
        <f>BA32-BA33-BA34</f>
        <v>-831.577478394846</v>
      </c>
      <c r="BD32" s="49">
        <f>BB32-BB33-BB34</f>
        <v>1669.43681334067</v>
      </c>
      <c r="BF32" s="66"/>
      <c r="BG32" s="67" t="s">
        <v>137</v>
      </c>
      <c r="BI32" s="80"/>
      <c r="BJ32" s="51"/>
      <c r="BK32" s="52">
        <v>0.976</v>
      </c>
      <c r="BL32" s="52">
        <v>1</v>
      </c>
      <c r="BM32" s="52">
        <f>BK32</f>
        <v>0.976</v>
      </c>
      <c r="BN32" s="52">
        <v>1.082</v>
      </c>
      <c r="BO32" s="52">
        <v>1.132</v>
      </c>
      <c r="BP32" s="98">
        <f>BK32^2</f>
        <v>0.952576</v>
      </c>
      <c r="BQ32" s="52">
        <f>BK32</f>
        <v>0.976</v>
      </c>
      <c r="BR32" s="9"/>
      <c r="BS32" s="67" t="s">
        <v>45</v>
      </c>
      <c r="BT32" s="2" t="s">
        <v>138</v>
      </c>
      <c r="BU32" s="2" t="s">
        <v>95</v>
      </c>
      <c r="BV32" s="2" t="s">
        <v>35</v>
      </c>
      <c r="BW32" s="130">
        <f>2*BM37</f>
        <v>1082</v>
      </c>
      <c r="BX32" s="131" t="s">
        <v>139</v>
      </c>
    </row>
    <row r="33" ht="15.15" spans="2:76">
      <c r="B33" s="13" t="s">
        <v>140</v>
      </c>
      <c r="C33" s="16">
        <v>206.012829114651</v>
      </c>
      <c r="D33" s="17">
        <v>173.45989467636</v>
      </c>
      <c r="E33" s="17">
        <v>136.208112469914</v>
      </c>
      <c r="F33" s="17">
        <v>103.185656494886</v>
      </c>
      <c r="G33" s="17">
        <v>81.6533679659636</v>
      </c>
      <c r="H33" s="17">
        <v>75.7974391231949</v>
      </c>
      <c r="I33" s="17">
        <v>86.3961894629702</v>
      </c>
      <c r="J33" s="17">
        <v>110.91251303654</v>
      </c>
      <c r="K33" s="17">
        <v>143.644080924488</v>
      </c>
      <c r="L33" s="17">
        <v>176.345022889341</v>
      </c>
      <c r="M33" s="17">
        <v>199.980331811201</v>
      </c>
      <c r="N33" s="17">
        <v>207.528278899879</v>
      </c>
      <c r="O33" s="17">
        <v>196.676846278629</v>
      </c>
      <c r="P33" s="17">
        <v>170.932808483959</v>
      </c>
      <c r="Q33" s="17">
        <v>138.432355281456</v>
      </c>
      <c r="R33" s="17">
        <v>109.005832795891</v>
      </c>
      <c r="S33" s="17">
        <v>90.9025652031185</v>
      </c>
      <c r="T33" s="17">
        <v>88.5488065746739</v>
      </c>
      <c r="U33" s="17">
        <v>101.949268813146</v>
      </c>
      <c r="V33" s="17">
        <v>127.411772959116</v>
      </c>
      <c r="W33" s="17">
        <v>158.78954434966</v>
      </c>
      <c r="X33" s="17">
        <v>188.680444675096</v>
      </c>
      <c r="Y33" s="17">
        <v>209.657704088405</v>
      </c>
      <c r="Z33" s="35">
        <v>215.88016583131</v>
      </c>
      <c r="AB33" s="36" t="s">
        <v>141</v>
      </c>
      <c r="AC33" s="33">
        <f t="shared" si="0"/>
        <v>1719.30563164215</v>
      </c>
      <c r="AD33" s="34">
        <f t="shared" si="1"/>
        <v>1778.6862005617</v>
      </c>
      <c r="AE33" s="34">
        <f t="shared" si="2"/>
        <v>1796.86811533446</v>
      </c>
      <c r="AF33" s="34">
        <f t="shared" si="3"/>
        <v>1701.12371686939</v>
      </c>
      <c r="AG33" s="34">
        <f t="shared" si="4"/>
        <v>2219.7947945002</v>
      </c>
      <c r="AH33" s="34">
        <f t="shared" si="5"/>
        <v>1278.19703770365</v>
      </c>
      <c r="AI33" s="34">
        <f t="shared" si="6"/>
        <v>1570.8165144627</v>
      </c>
      <c r="AJ33" s="34">
        <f t="shared" si="7"/>
        <v>1927.17531774115</v>
      </c>
      <c r="AK33" s="34">
        <f t="shared" si="8"/>
        <v>1178.78982409845</v>
      </c>
      <c r="AL33" s="34">
        <f t="shared" si="9"/>
        <v>1154.29104988073</v>
      </c>
      <c r="AM33" s="34">
        <f t="shared" si="10"/>
        <v>1750.82621585089</v>
      </c>
      <c r="AN33" s="34">
        <f t="shared" si="11"/>
        <v>1747.16561635296</v>
      </c>
      <c r="AP33" s="36" t="s">
        <v>141</v>
      </c>
      <c r="AQ33" s="44">
        <f t="shared" si="12"/>
        <v>3497.99183220385</v>
      </c>
      <c r="AR33" s="44">
        <f t="shared" si="13"/>
        <v>-49.380568919556</v>
      </c>
      <c r="AS33" s="44">
        <f t="shared" si="14"/>
        <v>105.744398465072</v>
      </c>
      <c r="AT33" s="44">
        <f t="shared" si="15"/>
        <v>951.597756796553</v>
      </c>
      <c r="AU33" s="44">
        <f t="shared" si="16"/>
        <v>-346.358803278455</v>
      </c>
      <c r="AV33" s="44">
        <f t="shared" si="17"/>
        <v>34.4987742177218</v>
      </c>
      <c r="AW33" s="44">
        <f t="shared" si="18"/>
        <v>13.6605994979295</v>
      </c>
      <c r="AX33" s="40"/>
      <c r="AY33" s="51"/>
      <c r="AZ33" s="10" t="s">
        <v>36</v>
      </c>
      <c r="BA33" s="44">
        <f>SUM(AT12:AT13)+SUM(AT19:AT23)+SUM(AT29:AT33)+SUM(AT39:AT40)</f>
        <v>6388.31974084162</v>
      </c>
      <c r="BB33" s="44">
        <f>SUM(AU12:AU13)+SUM(AU19:AU23)+SUM(AU29:AU33)+SUM(AU39:AU40)</f>
        <v>-3060.42605469762</v>
      </c>
      <c r="BC33" s="52"/>
      <c r="BD33" s="52"/>
      <c r="BF33" s="66"/>
      <c r="BG33" s="69" t="s">
        <v>142</v>
      </c>
      <c r="BH33" s="78"/>
      <c r="BI33" s="79"/>
      <c r="BJ33" s="29"/>
      <c r="BK33" s="50">
        <f>BW35</f>
        <v>1.11713</v>
      </c>
      <c r="BL33" s="50">
        <f>BV19</f>
        <v>1.13625304</v>
      </c>
      <c r="BM33" s="50">
        <f>BW35</f>
        <v>1.11713</v>
      </c>
      <c r="BN33" s="50">
        <f>BW29</f>
        <v>0.926857670979667</v>
      </c>
      <c r="BO33" s="52">
        <v>1</v>
      </c>
      <c r="BP33" s="52">
        <v>1</v>
      </c>
      <c r="BQ33" s="50">
        <f>BV19</f>
        <v>1.13625304</v>
      </c>
      <c r="BR33" s="9"/>
      <c r="BS33" s="67" t="s">
        <v>143</v>
      </c>
      <c r="BV33" s="2" t="s">
        <v>35</v>
      </c>
      <c r="BW33" s="130">
        <f>(BW31-BW32)-360</f>
        <v>57.6999999999998</v>
      </c>
      <c r="BX33" s="131">
        <f>MOD(BW33,360)</f>
        <v>57.6999999999998</v>
      </c>
    </row>
    <row r="34" ht="15.15" spans="2:75">
      <c r="B34" s="13" t="s">
        <v>144</v>
      </c>
      <c r="C34" s="16">
        <v>204.951080401459</v>
      </c>
      <c r="D34" s="17">
        <v>179.152659487728</v>
      </c>
      <c r="E34" s="17">
        <v>145.077015742249</v>
      </c>
      <c r="F34" s="17">
        <v>111.52202290473</v>
      </c>
      <c r="G34" s="17">
        <v>86.6628024891786</v>
      </c>
      <c r="H34" s="17">
        <v>75.9126071869138</v>
      </c>
      <c r="I34" s="17">
        <v>81.1715988855122</v>
      </c>
      <c r="J34" s="17">
        <v>101.04797226871</v>
      </c>
      <c r="K34" s="17">
        <v>131.247542223125</v>
      </c>
      <c r="L34" s="17">
        <v>164.965263401946</v>
      </c>
      <c r="M34" s="17">
        <v>193.881015191166</v>
      </c>
      <c r="N34" s="17">
        <v>210.221163287572</v>
      </c>
      <c r="O34" s="17">
        <v>209.357357520535</v>
      </c>
      <c r="P34" s="17">
        <v>191.641239717024</v>
      </c>
      <c r="Q34" s="17">
        <v>162.4304559251</v>
      </c>
      <c r="R34" s="17">
        <v>130.281679675716</v>
      </c>
      <c r="S34" s="17">
        <v>104.18728231793</v>
      </c>
      <c r="T34" s="17">
        <v>90.965311110577</v>
      </c>
      <c r="U34" s="17">
        <v>93.5886243669701</v>
      </c>
      <c r="V34" s="17">
        <v>110.741675357257</v>
      </c>
      <c r="W34" s="17">
        <v>137.473754066206</v>
      </c>
      <c r="X34" s="17">
        <v>166.578346918993</v>
      </c>
      <c r="Y34" s="17">
        <v>190.32054244873</v>
      </c>
      <c r="Z34" s="35">
        <v>202.263613688664</v>
      </c>
      <c r="AB34" s="36" t="s">
        <v>145</v>
      </c>
      <c r="AC34" s="33">
        <f t="shared" si="0"/>
        <v>1771.39788152491</v>
      </c>
      <c r="AD34" s="34">
        <f t="shared" si="1"/>
        <v>1704.24474505908</v>
      </c>
      <c r="AE34" s="34">
        <f t="shared" si="2"/>
        <v>1789.8298831137</v>
      </c>
      <c r="AF34" s="34">
        <f t="shared" si="3"/>
        <v>1685.81274347029</v>
      </c>
      <c r="AG34" s="34">
        <f t="shared" si="4"/>
        <v>2220.83975373117</v>
      </c>
      <c r="AH34" s="34">
        <f t="shared" si="5"/>
        <v>1254.80287285283</v>
      </c>
      <c r="AI34" s="34">
        <f t="shared" si="6"/>
        <v>1692.14151447914</v>
      </c>
      <c r="AJ34" s="34">
        <f t="shared" si="7"/>
        <v>1783.50111210485</v>
      </c>
      <c r="AK34" s="34">
        <f t="shared" si="8"/>
        <v>1168.4313564482</v>
      </c>
      <c r="AL34" s="34">
        <f t="shared" si="9"/>
        <v>1149.57608085806</v>
      </c>
      <c r="AM34" s="34">
        <f t="shared" si="10"/>
        <v>1747.88097596188</v>
      </c>
      <c r="AN34" s="34">
        <f t="shared" si="11"/>
        <v>1727.76165062212</v>
      </c>
      <c r="AP34" s="36" t="s">
        <v>145</v>
      </c>
      <c r="AQ34" s="44">
        <f t="shared" si="12"/>
        <v>3475.64262658399</v>
      </c>
      <c r="AR34" s="44">
        <f t="shared" si="13"/>
        <v>77.1531364658347</v>
      </c>
      <c r="AS34" s="44">
        <f t="shared" si="14"/>
        <v>114.017139643413</v>
      </c>
      <c r="AT34" s="44">
        <f t="shared" si="15"/>
        <v>976.036880878341</v>
      </c>
      <c r="AU34" s="44">
        <f t="shared" si="16"/>
        <v>-81.3595976257109</v>
      </c>
      <c r="AV34" s="44">
        <f t="shared" si="17"/>
        <v>28.8552755901383</v>
      </c>
      <c r="AW34" s="44">
        <f t="shared" si="18"/>
        <v>30.1193253397591</v>
      </c>
      <c r="AX34" s="40"/>
      <c r="AY34" s="29"/>
      <c r="AZ34" s="10" t="s">
        <v>36</v>
      </c>
      <c r="BA34" s="44">
        <f>AT11*1</f>
        <v>10</v>
      </c>
      <c r="BB34" s="44">
        <f>AU11*1</f>
        <v>10</v>
      </c>
      <c r="BC34" s="50"/>
      <c r="BD34" s="50"/>
      <c r="BF34" s="66"/>
      <c r="BG34" s="75" t="s">
        <v>146</v>
      </c>
      <c r="BH34" s="76"/>
      <c r="BI34" s="77"/>
      <c r="BJ34" s="82"/>
      <c r="BK34" s="83">
        <v>250.1</v>
      </c>
      <c r="BL34" s="83"/>
      <c r="BM34" s="83">
        <v>4</v>
      </c>
      <c r="BN34" s="83">
        <v>10.8</v>
      </c>
      <c r="BO34" s="83">
        <v>239.3</v>
      </c>
      <c r="BP34" s="82"/>
      <c r="BQ34" s="82"/>
      <c r="BS34" s="67" t="s">
        <v>61</v>
      </c>
      <c r="BT34" s="2" t="s">
        <v>138</v>
      </c>
      <c r="BU34" s="2" t="s">
        <v>77</v>
      </c>
      <c r="BV34" s="2" t="s">
        <v>35</v>
      </c>
      <c r="BW34" s="132">
        <f>(((BW33-80)/(60-50))*(8.3-7.2))+7.2</f>
        <v>4.74699999999998</v>
      </c>
    </row>
    <row r="35" ht="15.15" spans="2:75">
      <c r="B35" s="13" t="s">
        <v>147</v>
      </c>
      <c r="C35" s="16">
        <v>198.95290605426</v>
      </c>
      <c r="D35" s="17">
        <v>181.009770208332</v>
      </c>
      <c r="E35" s="17">
        <v>153.08809727508</v>
      </c>
      <c r="F35" s="17">
        <v>122.508833232266</v>
      </c>
      <c r="G35" s="17">
        <v>97.0711892963715</v>
      </c>
      <c r="H35" s="17">
        <v>82.9668324510975</v>
      </c>
      <c r="I35" s="17">
        <v>83.5018086469951</v>
      </c>
      <c r="J35" s="17">
        <v>98.6910269526159</v>
      </c>
      <c r="K35" s="17">
        <v>125.372020198444</v>
      </c>
      <c r="L35" s="17">
        <v>157.651021844176</v>
      </c>
      <c r="M35" s="17">
        <v>187.902043557316</v>
      </c>
      <c r="N35" s="17">
        <v>208.543911802017</v>
      </c>
      <c r="O35" s="17">
        <v>214.271610203549</v>
      </c>
      <c r="P35" s="17">
        <v>203.84644162141</v>
      </c>
      <c r="Q35" s="17">
        <v>180.553501931319</v>
      </c>
      <c r="R35" s="17">
        <v>151.072628553181</v>
      </c>
      <c r="S35" s="17">
        <v>123.300168496059</v>
      </c>
      <c r="T35" s="17">
        <v>104.05759582387</v>
      </c>
      <c r="U35" s="17">
        <v>97.4546044799651</v>
      </c>
      <c r="V35" s="17">
        <v>104.189738361949</v>
      </c>
      <c r="W35" s="17">
        <v>121.66406492612</v>
      </c>
      <c r="X35" s="17">
        <v>144.675347140049</v>
      </c>
      <c r="Y35" s="17">
        <v>166.581092904066</v>
      </c>
      <c r="Z35" s="35">
        <v>180.898218052958</v>
      </c>
      <c r="AB35" s="36" t="s">
        <v>148</v>
      </c>
      <c r="AC35" s="33">
        <f t="shared" si="0"/>
        <v>1838.76377963095</v>
      </c>
      <c r="AD35" s="34">
        <f t="shared" si="1"/>
        <v>1651.06069438251</v>
      </c>
      <c r="AE35" s="34">
        <f t="shared" si="2"/>
        <v>1792.5650124945</v>
      </c>
      <c r="AF35" s="34">
        <f t="shared" si="3"/>
        <v>1697.25946151897</v>
      </c>
      <c r="AG35" s="34">
        <f t="shared" si="4"/>
        <v>2177.97396259453</v>
      </c>
      <c r="AH35" s="34">
        <f t="shared" si="5"/>
        <v>1311.85051141893</v>
      </c>
      <c r="AI35" s="34">
        <f t="shared" si="6"/>
        <v>1812.69957514679</v>
      </c>
      <c r="AJ35" s="34">
        <f t="shared" si="7"/>
        <v>1677.12489886667</v>
      </c>
      <c r="AK35" s="34">
        <f t="shared" si="8"/>
        <v>1170.64748751471</v>
      </c>
      <c r="AL35" s="34">
        <f t="shared" si="9"/>
        <v>1156.58551510063</v>
      </c>
      <c r="AM35" s="34">
        <f t="shared" si="10"/>
        <v>1762.59559086004</v>
      </c>
      <c r="AN35" s="34">
        <f t="shared" si="11"/>
        <v>1727.22888315343</v>
      </c>
      <c r="AP35" s="36" t="s">
        <v>148</v>
      </c>
      <c r="AQ35" s="44">
        <f t="shared" si="12"/>
        <v>3489.82447401347</v>
      </c>
      <c r="AR35" s="44">
        <f t="shared" si="13"/>
        <v>197.703085248438</v>
      </c>
      <c r="AS35" s="44">
        <f t="shared" si="14"/>
        <v>105.305550975524</v>
      </c>
      <c r="AT35" s="44">
        <f t="shared" si="15"/>
        <v>876.123451175598</v>
      </c>
      <c r="AU35" s="44">
        <f t="shared" si="16"/>
        <v>145.574676280124</v>
      </c>
      <c r="AV35" s="44">
        <f t="shared" si="17"/>
        <v>24.0619724140768</v>
      </c>
      <c r="AW35" s="44">
        <f t="shared" si="18"/>
        <v>45.366707706612</v>
      </c>
      <c r="AX35" s="40"/>
      <c r="AY35" s="30" t="s">
        <v>149</v>
      </c>
      <c r="AZ35" s="10" t="s">
        <v>40</v>
      </c>
      <c r="BA35" s="44">
        <f>SUM(AT12:AT16)+SUM(AT22:AT25)+SUM(AT31:AT35)</f>
        <v>6556.00953762635</v>
      </c>
      <c r="BB35" s="44">
        <f>SUM(AU12:AU16)+SUM(AU22:AU25)+SUM(AU31:AU35)</f>
        <v>-2554.8690784269</v>
      </c>
      <c r="BC35" s="49">
        <f>BA35-BA36</f>
        <v>1096.31102324671</v>
      </c>
      <c r="BD35" s="49">
        <f>BB35-BB36</f>
        <v>-535.740047583716</v>
      </c>
      <c r="BF35" s="66"/>
      <c r="BG35" s="67" t="s">
        <v>150</v>
      </c>
      <c r="BI35" s="80"/>
      <c r="BJ35" s="84"/>
      <c r="BK35" s="85">
        <v>231.1</v>
      </c>
      <c r="BL35" s="85"/>
      <c r="BM35" s="85">
        <v>341.3</v>
      </c>
      <c r="BN35" s="85">
        <v>209</v>
      </c>
      <c r="BO35" s="85">
        <v>22.2</v>
      </c>
      <c r="BP35" s="84"/>
      <c r="BQ35" s="84"/>
      <c r="BS35" s="69" t="s">
        <v>61</v>
      </c>
      <c r="BT35" s="78" t="s">
        <v>138</v>
      </c>
      <c r="BU35" s="78" t="s">
        <v>87</v>
      </c>
      <c r="BV35" s="78" t="s">
        <v>35</v>
      </c>
      <c r="BW35" s="132">
        <f>(((BW33-80)/(90-80))*(1.017-1.048))+1.048</f>
        <v>1.11713</v>
      </c>
    </row>
    <row r="36" ht="15.15" spans="2:75">
      <c r="B36" s="13" t="s">
        <v>151</v>
      </c>
      <c r="C36" s="16">
        <v>183.126465992233</v>
      </c>
      <c r="D36" s="17">
        <v>172.230567326439</v>
      </c>
      <c r="E36" s="17">
        <v>151.076891381403</v>
      </c>
      <c r="F36" s="17">
        <v>125.49952657737</v>
      </c>
      <c r="G36" s="17">
        <v>102.393562347241</v>
      </c>
      <c r="H36" s="17">
        <v>87.7242434244789</v>
      </c>
      <c r="I36" s="17">
        <v>85.1953156795371</v>
      </c>
      <c r="J36" s="17">
        <v>95.7357532843919</v>
      </c>
      <c r="K36" s="17">
        <v>117.513858104143</v>
      </c>
      <c r="L36" s="17">
        <v>146.218939801607</v>
      </c>
      <c r="M36" s="17">
        <v>175.687286944402</v>
      </c>
      <c r="N36" s="17">
        <v>199.128130289369</v>
      </c>
      <c r="O36" s="17">
        <v>210.935195778464</v>
      </c>
      <c r="P36" s="17">
        <v>208.512991558832</v>
      </c>
      <c r="Q36" s="17">
        <v>193.220378873777</v>
      </c>
      <c r="R36" s="17">
        <v>169.84996593147</v>
      </c>
      <c r="S36" s="17">
        <v>144.876451623956</v>
      </c>
      <c r="T36" s="17">
        <v>124.38091266714</v>
      </c>
      <c r="U36" s="17">
        <v>112.562197693681</v>
      </c>
      <c r="V36" s="17">
        <v>111.161875062113</v>
      </c>
      <c r="W36" s="17">
        <v>119.513924551027</v>
      </c>
      <c r="X36" s="17">
        <v>134.787593138086</v>
      </c>
      <c r="Y36" s="17">
        <v>152.35640096245</v>
      </c>
      <c r="Z36" s="35">
        <v>166.634852758621</v>
      </c>
      <c r="AB36" s="36" t="s">
        <v>152</v>
      </c>
      <c r="AC36" s="33">
        <f t="shared" si="0"/>
        <v>1871.25518053709</v>
      </c>
      <c r="AD36" s="34">
        <f t="shared" si="1"/>
        <v>1619.06810121514</v>
      </c>
      <c r="AE36" s="34">
        <f t="shared" si="2"/>
        <v>1848.79274059962</v>
      </c>
      <c r="AF36" s="34">
        <f t="shared" si="3"/>
        <v>1641.53054115261</v>
      </c>
      <c r="AG36" s="34">
        <f t="shared" si="4"/>
        <v>2093.91569480568</v>
      </c>
      <c r="AH36" s="34">
        <f t="shared" si="5"/>
        <v>1396.40758694655</v>
      </c>
      <c r="AI36" s="34">
        <f t="shared" si="6"/>
        <v>1873.8271534828</v>
      </c>
      <c r="AJ36" s="34">
        <f t="shared" si="7"/>
        <v>1616.49612826943</v>
      </c>
      <c r="AK36" s="34">
        <f t="shared" si="8"/>
        <v>1169.68731428352</v>
      </c>
      <c r="AL36" s="34">
        <f t="shared" si="9"/>
        <v>1157.68107835888</v>
      </c>
      <c r="AM36" s="34">
        <f t="shared" si="10"/>
        <v>1760.78541528604</v>
      </c>
      <c r="AN36" s="34">
        <f t="shared" si="11"/>
        <v>1729.53786646619</v>
      </c>
      <c r="AP36" s="36" t="s">
        <v>152</v>
      </c>
      <c r="AQ36" s="44">
        <f t="shared" si="12"/>
        <v>3490.32328175223</v>
      </c>
      <c r="AR36" s="44">
        <f t="shared" si="13"/>
        <v>262.187079321946</v>
      </c>
      <c r="AS36" s="44">
        <f t="shared" si="14"/>
        <v>217.262199447002</v>
      </c>
      <c r="AT36" s="44">
        <f t="shared" si="15"/>
        <v>707.508107859134</v>
      </c>
      <c r="AU36" s="44">
        <f t="shared" si="16"/>
        <v>267.331025213376</v>
      </c>
      <c r="AV36" s="44">
        <f t="shared" si="17"/>
        <v>22.006235924641</v>
      </c>
      <c r="AW36" s="44">
        <f t="shared" si="18"/>
        <v>41.24754881985</v>
      </c>
      <c r="AX36" s="40"/>
      <c r="AY36" s="29"/>
      <c r="AZ36" s="10" t="s">
        <v>36</v>
      </c>
      <c r="BA36" s="44">
        <f>SUM(AT17:AT21)+SUM(AT27:AT30)+SUM(AT36:AT40)</f>
        <v>5459.69851437964</v>
      </c>
      <c r="BB36" s="44">
        <f>SUM(AU17:AU21)+SUM(AU27:AU30)+SUM(AU36:AU40)</f>
        <v>-2019.12903084319</v>
      </c>
      <c r="BC36" s="50"/>
      <c r="BD36" s="50"/>
      <c r="BF36" s="66"/>
      <c r="BG36" s="69" t="s">
        <v>153</v>
      </c>
      <c r="BH36" s="78"/>
      <c r="BI36" s="79"/>
      <c r="BJ36" s="86"/>
      <c r="BK36" s="50">
        <v>18.7</v>
      </c>
      <c r="BL36" s="50"/>
      <c r="BM36" s="50">
        <v>195.7</v>
      </c>
      <c r="BN36" s="50">
        <v>13.8</v>
      </c>
      <c r="BO36" s="50">
        <v>4.9</v>
      </c>
      <c r="BP36" s="86"/>
      <c r="BQ36" s="86"/>
      <c r="BS36" s="99" t="s">
        <v>154</v>
      </c>
      <c r="BT36" s="100"/>
      <c r="BU36" s="100" t="s">
        <v>155</v>
      </c>
      <c r="BV36" s="100" t="s">
        <v>156</v>
      </c>
      <c r="BW36" s="133"/>
    </row>
    <row r="37" ht="15.15" spans="2:75">
      <c r="B37" s="13" t="s">
        <v>157</v>
      </c>
      <c r="C37" s="16">
        <v>172.623770952856</v>
      </c>
      <c r="D37" s="17">
        <v>167.754352712415</v>
      </c>
      <c r="E37" s="17">
        <v>153.048440260979</v>
      </c>
      <c r="F37" s="17">
        <v>132.800667526775</v>
      </c>
      <c r="G37" s="17">
        <v>112.902328352043</v>
      </c>
      <c r="H37" s="17">
        <v>98.7846364101255</v>
      </c>
      <c r="I37" s="17">
        <v>94.0128420321226</v>
      </c>
      <c r="J37" s="17">
        <v>99.8560833824345</v>
      </c>
      <c r="K37" s="17">
        <v>115.440104237158</v>
      </c>
      <c r="L37" s="17">
        <v>137.995195050885</v>
      </c>
      <c r="M37" s="17">
        <v>163.143494509394</v>
      </c>
      <c r="N37" s="17">
        <v>185.540500982117</v>
      </c>
      <c r="O37" s="17">
        <v>200.091770455189</v>
      </c>
      <c r="P37" s="17">
        <v>203.500771220399</v>
      </c>
      <c r="Q37" s="17">
        <v>195.469241130456</v>
      </c>
      <c r="R37" s="17">
        <v>178.85150111137</v>
      </c>
      <c r="S37" s="17">
        <v>158.565201038537</v>
      </c>
      <c r="T37" s="17">
        <v>139.78545222618</v>
      </c>
      <c r="U37" s="17">
        <v>126.359970778777</v>
      </c>
      <c r="V37" s="17">
        <v>120.131122841679</v>
      </c>
      <c r="W37" s="17">
        <v>121.124571258073</v>
      </c>
      <c r="X37" s="17">
        <v>127.99745352181</v>
      </c>
      <c r="Y37" s="17">
        <v>138.256310258114</v>
      </c>
      <c r="Z37" s="35">
        <v>148.400884045705</v>
      </c>
      <c r="AB37" s="36" t="s">
        <v>158</v>
      </c>
      <c r="AC37" s="33">
        <f t="shared" si="0"/>
        <v>1872.25215737624</v>
      </c>
      <c r="AD37" s="34">
        <f t="shared" si="1"/>
        <v>1620.18450891935</v>
      </c>
      <c r="AE37" s="34">
        <f t="shared" si="2"/>
        <v>1858.53424988629</v>
      </c>
      <c r="AF37" s="34">
        <f t="shared" si="3"/>
        <v>1633.9024164093</v>
      </c>
      <c r="AG37" s="34">
        <f t="shared" si="4"/>
        <v>1993.82218510032</v>
      </c>
      <c r="AH37" s="34">
        <f t="shared" si="5"/>
        <v>1498.61448119527</v>
      </c>
      <c r="AI37" s="34">
        <f t="shared" si="6"/>
        <v>1914.17813339732</v>
      </c>
      <c r="AJ37" s="34">
        <f t="shared" si="7"/>
        <v>1578.25853289827</v>
      </c>
      <c r="AK37" s="34">
        <f t="shared" si="8"/>
        <v>1165.59982788307</v>
      </c>
      <c r="AL37" s="34">
        <f t="shared" si="9"/>
        <v>1162.72717409751</v>
      </c>
      <c r="AM37" s="34">
        <f t="shared" si="10"/>
        <v>1769.41304126254</v>
      </c>
      <c r="AN37" s="34">
        <f t="shared" si="11"/>
        <v>1723.02362503306</v>
      </c>
      <c r="AP37" s="36" t="s">
        <v>158</v>
      </c>
      <c r="AQ37" s="44">
        <f t="shared" si="12"/>
        <v>3492.43666629559</v>
      </c>
      <c r="AR37" s="44">
        <f t="shared" si="13"/>
        <v>262.067648456891</v>
      </c>
      <c r="AS37" s="44">
        <f t="shared" si="14"/>
        <v>234.631833476984</v>
      </c>
      <c r="AT37" s="44">
        <f t="shared" si="15"/>
        <v>505.207703905044</v>
      </c>
      <c r="AU37" s="44">
        <f t="shared" si="16"/>
        <v>345.919600499055</v>
      </c>
      <c r="AV37" s="44">
        <f t="shared" si="17"/>
        <v>12.8726537855662</v>
      </c>
      <c r="AW37" s="44">
        <f t="shared" si="18"/>
        <v>56.3894162294828</v>
      </c>
      <c r="AX37" s="40"/>
      <c r="AY37" s="30">
        <v>42</v>
      </c>
      <c r="AZ37" s="10" t="s">
        <v>40</v>
      </c>
      <c r="BA37" s="44">
        <f>SUM(AV12:AV15)+SUM(AV23:AV29)+SUM(AV37:AV40)</f>
        <v>34.865682517858</v>
      </c>
      <c r="BB37" s="44">
        <f>SUM(AW12:AW15)+SUM(AW23:AW29)+SUM(AW37:AW40)</f>
        <v>207.612331361061</v>
      </c>
      <c r="BC37" s="49">
        <f>BA37-BA38-BA39</f>
        <v>-264.643105986538</v>
      </c>
      <c r="BD37" s="49">
        <f>BB37-BB38-BB39</f>
        <v>71.9356531186706</v>
      </c>
      <c r="BF37" s="66"/>
      <c r="BG37" s="75" t="s">
        <v>159</v>
      </c>
      <c r="BH37" s="76"/>
      <c r="BI37" s="77"/>
      <c r="BJ37" s="82"/>
      <c r="BK37" s="49">
        <f>SUM(BK34:BK36)</f>
        <v>499.9</v>
      </c>
      <c r="BL37" s="49"/>
      <c r="BM37" s="49">
        <f>SUM(BM34:BM36)</f>
        <v>541</v>
      </c>
      <c r="BN37" s="49">
        <f>SUM(BN34:BN36)</f>
        <v>233.6</v>
      </c>
      <c r="BO37" s="49">
        <f>SUM(BO34:BO36)</f>
        <v>266.4</v>
      </c>
      <c r="BP37" s="25"/>
      <c r="BQ37" s="25"/>
      <c r="BS37" s="101" t="s">
        <v>160</v>
      </c>
      <c r="BT37" s="102"/>
      <c r="BU37" s="102" t="s">
        <v>161</v>
      </c>
      <c r="BV37" s="102" t="s">
        <v>162</v>
      </c>
      <c r="BW37" s="134"/>
    </row>
    <row r="38" ht="15.15" spans="2:75">
      <c r="B38" s="13" t="s">
        <v>163</v>
      </c>
      <c r="C38" s="16">
        <v>154.561738374862</v>
      </c>
      <c r="D38" s="17">
        <v>153.821332161204</v>
      </c>
      <c r="E38" s="17">
        <v>145.584907974151</v>
      </c>
      <c r="F38" s="17">
        <v>132.020767599979</v>
      </c>
      <c r="G38" s="17">
        <v>117.176621418822</v>
      </c>
      <c r="H38" s="17">
        <v>105.360999118938</v>
      </c>
      <c r="I38" s="17">
        <v>99.8062681571984</v>
      </c>
      <c r="J38" s="17">
        <v>102.152009621687</v>
      </c>
      <c r="K38" s="17">
        <v>112.487341533259</v>
      </c>
      <c r="L38" s="17">
        <v>129.415699554112</v>
      </c>
      <c r="M38" s="17">
        <v>150.036785889709</v>
      </c>
      <c r="N38" s="17">
        <v>170.246656301141</v>
      </c>
      <c r="O38" s="17">
        <v>185.691410311064</v>
      </c>
      <c r="P38" s="17">
        <v>193.149597162956</v>
      </c>
      <c r="Q38" s="17">
        <v>191.664920634167</v>
      </c>
      <c r="R38" s="17">
        <v>182.803971916021</v>
      </c>
      <c r="S38" s="17">
        <v>169.883068808639</v>
      </c>
      <c r="T38" s="17">
        <v>156.571056927358</v>
      </c>
      <c r="U38" s="17">
        <v>145.613295109319</v>
      </c>
      <c r="V38" s="17">
        <v>138.300038314456</v>
      </c>
      <c r="W38" s="17">
        <v>134.739851661557</v>
      </c>
      <c r="X38" s="17">
        <v>134.41357063485</v>
      </c>
      <c r="Y38" s="17">
        <v>136.41401412423</v>
      </c>
      <c r="Z38" s="35">
        <v>139.307441232396</v>
      </c>
      <c r="AB38" s="36" t="s">
        <v>164</v>
      </c>
      <c r="AC38" s="33">
        <f t="shared" si="0"/>
        <v>1843.90878681731</v>
      </c>
      <c r="AD38" s="34">
        <f t="shared" si="1"/>
        <v>1637.31457772476</v>
      </c>
      <c r="AE38" s="34">
        <f t="shared" si="2"/>
        <v>1908.55223683701</v>
      </c>
      <c r="AF38" s="34">
        <f t="shared" si="3"/>
        <v>1572.67112770506</v>
      </c>
      <c r="AG38" s="34">
        <f t="shared" si="4"/>
        <v>1884.30807435484</v>
      </c>
      <c r="AH38" s="34">
        <f t="shared" si="5"/>
        <v>1596.91529018723</v>
      </c>
      <c r="AI38" s="34">
        <f t="shared" si="6"/>
        <v>1888.29039240816</v>
      </c>
      <c r="AJ38" s="34">
        <f t="shared" si="7"/>
        <v>1592.93297213391</v>
      </c>
      <c r="AK38" s="34">
        <f t="shared" si="8"/>
        <v>1157.15886553228</v>
      </c>
      <c r="AL38" s="34">
        <f t="shared" si="9"/>
        <v>1163.1310315081</v>
      </c>
      <c r="AM38" s="34">
        <f t="shared" si="10"/>
        <v>1757.57271101588</v>
      </c>
      <c r="AN38" s="34">
        <f t="shared" si="11"/>
        <v>1723.65065352619</v>
      </c>
      <c r="AP38" s="36" t="s">
        <v>164</v>
      </c>
      <c r="AQ38" s="44">
        <f t="shared" si="12"/>
        <v>3481.22336454208</v>
      </c>
      <c r="AR38" s="44">
        <f t="shared" si="13"/>
        <v>216.594209092548</v>
      </c>
      <c r="AS38" s="44">
        <f t="shared" si="14"/>
        <v>345.88110913195</v>
      </c>
      <c r="AT38" s="44">
        <f t="shared" si="15"/>
        <v>297.392784167608</v>
      </c>
      <c r="AU38" s="44">
        <f t="shared" si="16"/>
        <v>305.357420274247</v>
      </c>
      <c r="AV38" s="44">
        <f t="shared" si="17"/>
        <v>4.02783402418049</v>
      </c>
      <c r="AW38" s="44">
        <f t="shared" si="18"/>
        <v>43.9220574896856</v>
      </c>
      <c r="AX38" s="40"/>
      <c r="AY38" s="51"/>
      <c r="AZ38" s="10" t="s">
        <v>36</v>
      </c>
      <c r="BA38" s="44">
        <f>SUM(AV16:AV22)+SUM(AV30:AV36)</f>
        <v>289.508788504396</v>
      </c>
      <c r="BB38" s="44">
        <f>SUM(AW16:AW22)+SUM(AW30:AW36)</f>
        <v>125.676678242391</v>
      </c>
      <c r="BC38" s="52"/>
      <c r="BD38" s="52"/>
      <c r="BF38" s="66"/>
      <c r="BG38" s="67" t="s">
        <v>165</v>
      </c>
      <c r="BI38" s="80"/>
      <c r="BJ38" s="84"/>
      <c r="BK38" s="52">
        <v>1.6</v>
      </c>
      <c r="BL38" s="52">
        <v>0</v>
      </c>
      <c r="BM38" s="52">
        <f>BK38</f>
        <v>1.6</v>
      </c>
      <c r="BN38" s="52">
        <v>6.1</v>
      </c>
      <c r="BO38" s="52">
        <v>-6.9</v>
      </c>
      <c r="BP38" s="52">
        <f>BK38*2</f>
        <v>3.2</v>
      </c>
      <c r="BQ38" s="52">
        <f>BK38</f>
        <v>1.6</v>
      </c>
      <c r="BS38" s="101" t="s">
        <v>166</v>
      </c>
      <c r="BT38" s="102"/>
      <c r="BU38" s="102" t="s">
        <v>167</v>
      </c>
      <c r="BV38" s="102"/>
      <c r="BW38" s="134"/>
    </row>
    <row r="39" ht="15.15" spans="2:75">
      <c r="B39" s="13" t="s">
        <v>168</v>
      </c>
      <c r="C39" s="16">
        <v>141.127422126071</v>
      </c>
      <c r="D39" s="17">
        <v>139.970653874861</v>
      </c>
      <c r="E39" s="17">
        <v>134.998074818551</v>
      </c>
      <c r="F39" s="17">
        <v>127.070920598822</v>
      </c>
      <c r="G39" s="17">
        <v>118.437821756762</v>
      </c>
      <c r="H39" s="17">
        <v>111.685978990177</v>
      </c>
      <c r="I39" s="17">
        <v>108.757063589988</v>
      </c>
      <c r="J39" s="17">
        <v>110.617974731768</v>
      </c>
      <c r="K39" s="17">
        <v>117.445810735083</v>
      </c>
      <c r="L39" s="17">
        <v>128.756700601859</v>
      </c>
      <c r="M39" s="17">
        <v>143.220467749911</v>
      </c>
      <c r="N39" s="17">
        <v>158.52152060763</v>
      </c>
      <c r="O39" s="17">
        <v>171.771344097803</v>
      </c>
      <c r="P39" s="17">
        <v>180.472557587581</v>
      </c>
      <c r="Q39" s="17">
        <v>183.46972810671</v>
      </c>
      <c r="R39" s="17">
        <v>181.280911214232</v>
      </c>
      <c r="S39" s="17">
        <v>175.644690662081</v>
      </c>
      <c r="T39" s="17">
        <v>168.605237742764</v>
      </c>
      <c r="U39" s="17">
        <v>161.672741786469</v>
      </c>
      <c r="V39" s="17">
        <v>155.476720553687</v>
      </c>
      <c r="W39" s="17">
        <v>149.980223725786</v>
      </c>
      <c r="X39" s="17">
        <v>144.961348974768</v>
      </c>
      <c r="Y39" s="17">
        <v>140.342523723178</v>
      </c>
      <c r="Z39" s="35">
        <v>136.158436727414</v>
      </c>
      <c r="AB39" s="36" t="s">
        <v>169</v>
      </c>
      <c r="AC39" s="33">
        <f t="shared" si="0"/>
        <v>1828.56400742741</v>
      </c>
      <c r="AD39" s="34">
        <f t="shared" si="1"/>
        <v>1661.88286765655</v>
      </c>
      <c r="AE39" s="34">
        <f t="shared" si="2"/>
        <v>1949.83646490247</v>
      </c>
      <c r="AF39" s="34">
        <f t="shared" si="3"/>
        <v>1540.61041018148</v>
      </c>
      <c r="AG39" s="34">
        <f t="shared" si="4"/>
        <v>1803.77077899634</v>
      </c>
      <c r="AH39" s="34">
        <f t="shared" si="5"/>
        <v>1686.67609608762</v>
      </c>
      <c r="AI39" s="34">
        <f t="shared" si="6"/>
        <v>1834.53534157641</v>
      </c>
      <c r="AJ39" s="34">
        <f t="shared" si="7"/>
        <v>1655.91153350754</v>
      </c>
      <c r="AK39" s="34">
        <f t="shared" si="8"/>
        <v>1158.29974566832</v>
      </c>
      <c r="AL39" s="34">
        <f t="shared" si="9"/>
        <v>1167.96371877581</v>
      </c>
      <c r="AM39" s="34">
        <f t="shared" si="10"/>
        <v>1755.76031573436</v>
      </c>
      <c r="AN39" s="34">
        <f t="shared" si="11"/>
        <v>1734.6865593496</v>
      </c>
      <c r="AP39" s="36" t="s">
        <v>169</v>
      </c>
      <c r="AQ39" s="44">
        <f t="shared" si="12"/>
        <v>3490.44687508396</v>
      </c>
      <c r="AR39" s="44">
        <f t="shared" si="13"/>
        <v>176.681139770864</v>
      </c>
      <c r="AS39" s="44">
        <f t="shared" si="14"/>
        <v>419.22605472099</v>
      </c>
      <c r="AT39" s="44">
        <f t="shared" si="15"/>
        <v>127.094682908718</v>
      </c>
      <c r="AU39" s="44">
        <f t="shared" si="16"/>
        <v>188.623808068874</v>
      </c>
      <c r="AV39" s="44">
        <f t="shared" si="17"/>
        <v>0.336026892504833</v>
      </c>
      <c r="AW39" s="44">
        <f t="shared" si="18"/>
        <v>31.0737563847601</v>
      </c>
      <c r="AX39" s="40"/>
      <c r="AY39" s="29"/>
      <c r="AZ39" s="10" t="s">
        <v>36</v>
      </c>
      <c r="BA39" s="44">
        <f>AV11*1</f>
        <v>10</v>
      </c>
      <c r="BB39" s="44">
        <f>AW11*1</f>
        <v>10</v>
      </c>
      <c r="BC39" s="50"/>
      <c r="BD39" s="50"/>
      <c r="BF39" s="66"/>
      <c r="BG39" s="67" t="s">
        <v>170</v>
      </c>
      <c r="BI39" s="80"/>
      <c r="BJ39" s="84"/>
      <c r="BK39" s="52"/>
      <c r="BL39" s="52">
        <f>BV17</f>
        <v>-11.993952</v>
      </c>
      <c r="BM39" s="52">
        <f>BW34</f>
        <v>4.74699999999998</v>
      </c>
      <c r="BN39" s="52">
        <f>BW27</f>
        <v>-17.7458410351201</v>
      </c>
      <c r="BO39" s="52">
        <v>0</v>
      </c>
      <c r="BP39" s="52">
        <v>0</v>
      </c>
      <c r="BQ39" s="52">
        <f>BV17</f>
        <v>-11.993952</v>
      </c>
      <c r="BS39" s="101" t="s">
        <v>171</v>
      </c>
      <c r="BT39" s="102"/>
      <c r="BU39" s="102" t="s">
        <v>172</v>
      </c>
      <c r="BV39" s="102"/>
      <c r="BW39" s="135">
        <f>BK32*BK32</f>
        <v>0.952576</v>
      </c>
    </row>
    <row r="40" ht="15.15" spans="2:75">
      <c r="B40" s="21" t="s">
        <v>173</v>
      </c>
      <c r="C40" s="22">
        <v>132.326096206434</v>
      </c>
      <c r="D40" s="23">
        <v>128.569841333215</v>
      </c>
      <c r="E40" s="23">
        <v>124.665444864531</v>
      </c>
      <c r="F40" s="23">
        <v>120.789611023467</v>
      </c>
      <c r="G40" s="23">
        <v>117.601072220681</v>
      </c>
      <c r="H40" s="23">
        <v>115.92509959848</v>
      </c>
      <c r="I40" s="23">
        <v>116.31274944006</v>
      </c>
      <c r="J40" s="23">
        <v>118.86985986398</v>
      </c>
      <c r="K40" s="23">
        <v>123.454953190704</v>
      </c>
      <c r="L40" s="23">
        <v>129.938169172916</v>
      </c>
      <c r="M40" s="23">
        <v>138.148803423222</v>
      </c>
      <c r="N40" s="23">
        <v>147.526692621575</v>
      </c>
      <c r="O40" s="23">
        <v>156.920672405048</v>
      </c>
      <c r="P40" s="23">
        <v>164.921271547759</v>
      </c>
      <c r="Q40" s="23">
        <v>170.570305734665</v>
      </c>
      <c r="R40" s="23">
        <v>173.840187538419</v>
      </c>
      <c r="S40" s="23">
        <v>175.425616628969</v>
      </c>
      <c r="T40" s="23">
        <v>175.996122253782</v>
      </c>
      <c r="U40" s="23">
        <v>175.5290288995</v>
      </c>
      <c r="V40" s="23">
        <v>173.264756630008</v>
      </c>
      <c r="W40" s="23">
        <v>168.303082192139</v>
      </c>
      <c r="X40" s="23">
        <v>160.356712717096</v>
      </c>
      <c r="Y40" s="23">
        <v>150.10466527544</v>
      </c>
      <c r="Z40" s="38">
        <v>138.955798957941</v>
      </c>
      <c r="AB40" s="39" t="s">
        <v>174</v>
      </c>
      <c r="AC40" s="33">
        <f t="shared" si="0"/>
        <v>1791.9254038211</v>
      </c>
      <c r="AD40" s="34">
        <f t="shared" si="1"/>
        <v>1706.39120991893</v>
      </c>
      <c r="AE40" s="34">
        <f t="shared" si="2"/>
        <v>1984.18822078077</v>
      </c>
      <c r="AF40" s="34">
        <f t="shared" si="3"/>
        <v>1514.12839295927</v>
      </c>
      <c r="AG40" s="34">
        <f t="shared" si="4"/>
        <v>1743.00447425984</v>
      </c>
      <c r="AH40" s="34">
        <f t="shared" si="5"/>
        <v>1755.31213948019</v>
      </c>
      <c r="AI40" s="34">
        <f t="shared" si="6"/>
        <v>1757.55134135545</v>
      </c>
      <c r="AJ40" s="34">
        <f t="shared" si="7"/>
        <v>1740.76527238458</v>
      </c>
      <c r="AK40" s="34">
        <f t="shared" si="8"/>
        <v>1159.49226038282</v>
      </c>
      <c r="AL40" s="34">
        <f t="shared" si="9"/>
        <v>1171.91846643394</v>
      </c>
      <c r="AM40" s="34">
        <f t="shared" si="10"/>
        <v>1753.70806230804</v>
      </c>
      <c r="AN40" s="34">
        <f t="shared" si="11"/>
        <v>1744.60855143199</v>
      </c>
      <c r="AP40" s="39" t="s">
        <v>174</v>
      </c>
      <c r="AQ40" s="44">
        <f t="shared" si="12"/>
        <v>3498.31661374003</v>
      </c>
      <c r="AR40" s="44">
        <f t="shared" si="13"/>
        <v>95.5341939021671</v>
      </c>
      <c r="AS40" s="44">
        <f t="shared" si="14"/>
        <v>480.059827821501</v>
      </c>
      <c r="AT40" s="44">
        <f t="shared" si="15"/>
        <v>-2.30766522034696</v>
      </c>
      <c r="AU40" s="44">
        <f t="shared" si="16"/>
        <v>26.7860689708691</v>
      </c>
      <c r="AV40" s="44">
        <f t="shared" si="17"/>
        <v>-2.42620605111733</v>
      </c>
      <c r="AW40" s="44">
        <f t="shared" si="18"/>
        <v>19.0995108760549</v>
      </c>
      <c r="AX40" s="40"/>
      <c r="AY40" s="30" t="s">
        <v>175</v>
      </c>
      <c r="AZ40" s="10" t="s">
        <v>40</v>
      </c>
      <c r="BA40" s="44">
        <f>SUM(AV20:AV25)+SUM(AV34:AV39)</f>
        <v>154.024862814776</v>
      </c>
      <c r="BB40" s="44">
        <f>SUM(AW20:AW25)+SUM(AW34:AW39)</f>
        <v>483.643022581652</v>
      </c>
      <c r="BC40" s="49">
        <f>BA40-BA41</f>
        <v>46.621206162722</v>
      </c>
      <c r="BD40" s="49">
        <f>BB40-BB41</f>
        <v>695.724169586436</v>
      </c>
      <c r="BF40" s="66"/>
      <c r="BG40" s="67" t="s">
        <v>176</v>
      </c>
      <c r="BI40" s="80"/>
      <c r="BJ40" s="84"/>
      <c r="BK40" s="85">
        <v>333</v>
      </c>
      <c r="BL40" s="85">
        <v>345</v>
      </c>
      <c r="BM40" s="85">
        <v>327</v>
      </c>
      <c r="BN40" s="85">
        <v>173</v>
      </c>
      <c r="BO40" s="85">
        <v>160</v>
      </c>
      <c r="BP40" s="85">
        <v>307</v>
      </c>
      <c r="BQ40" s="85">
        <v>318</v>
      </c>
      <c r="BS40" s="101"/>
      <c r="BT40" s="102"/>
      <c r="BU40" s="102" t="s">
        <v>177</v>
      </c>
      <c r="BV40" s="102"/>
      <c r="BW40" s="135">
        <f>BK37*2</f>
        <v>999.8</v>
      </c>
    </row>
    <row r="41" ht="15.15" spans="2:75">
      <c r="B41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B41"/>
      <c r="AQ41" s="45">
        <f>SUM(AQ12:AQ40)</f>
        <v>100967.054818733</v>
      </c>
      <c r="AR41" s="45">
        <f t="shared" ref="AR41:AW41" si="22">SUM(AR12:AR40)</f>
        <v>-669.327089777678</v>
      </c>
      <c r="AS41" s="45">
        <f t="shared" si="22"/>
        <v>9788.80469314222</v>
      </c>
      <c r="AT41" s="45">
        <f t="shared" si="22"/>
        <v>11955.0620032884</v>
      </c>
      <c r="AU41" s="45">
        <f t="shared" si="22"/>
        <v>-4441.41529605457</v>
      </c>
      <c r="AV41" s="45">
        <f t="shared" si="22"/>
        <v>324.374471022254</v>
      </c>
      <c r="AW41" s="45">
        <f t="shared" si="22"/>
        <v>333.289009603452</v>
      </c>
      <c r="AY41" s="29"/>
      <c r="AZ41" s="10" t="s">
        <v>36</v>
      </c>
      <c r="BA41" s="44">
        <f>SUM(AV13:AV18)+SUM(AV27:AV32)</f>
        <v>107.403656652054</v>
      </c>
      <c r="BB41" s="44">
        <f>SUM(AW13:AW18)+SUM(AW27:AW32)</f>
        <v>-212.081147004784</v>
      </c>
      <c r="BC41" s="50"/>
      <c r="BD41" s="50"/>
      <c r="BF41" s="66"/>
      <c r="BG41" s="67" t="s">
        <v>178</v>
      </c>
      <c r="BI41" s="80"/>
      <c r="BJ41" s="84"/>
      <c r="BK41" s="52">
        <f>((BK50-(-4.01))/((-4.33)-(-4.01)))*(103-104)+104</f>
        <v>125.258971822698</v>
      </c>
      <c r="BL41" s="52">
        <f>((BL50-0.7)/(0.727-0.7))*(36-35)+35</f>
        <v>-89.2316607145603</v>
      </c>
      <c r="BM41" s="52">
        <f>((BM50-(-0.052))/(-0.07-(-0.052)))*(176-177)+176</f>
        <v>239.116260168294</v>
      </c>
      <c r="BN41" s="52">
        <f>((BN50-(-1))/(-1.036-(-1)))*(134-135)+135</f>
        <v>190.733681875742</v>
      </c>
      <c r="BO41" s="52">
        <f>((BO50-(-0.268))/(-0.287-(-0.268)))*(344-345)+345</f>
        <v>425.701458075957</v>
      </c>
      <c r="BP41" s="52">
        <f>((BP50-(-2.14))/(-2.25-(-2.14)))*(294-295)+295</f>
        <v>341.028527731581</v>
      </c>
      <c r="BQ41" s="52">
        <f>((BQ50-(-1.192))/(-1.235-(-1.192)))*(309-310)+310</f>
        <v>389.143805625879</v>
      </c>
      <c r="BS41" s="101"/>
      <c r="BT41" s="102"/>
      <c r="BU41" s="102" t="s">
        <v>179</v>
      </c>
      <c r="BV41" s="102"/>
      <c r="BW41" s="135">
        <f>BK38*2</f>
        <v>3.2</v>
      </c>
    </row>
    <row r="42" ht="15.15" spans="2:75">
      <c r="B42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B42"/>
      <c r="AC42" s="9"/>
      <c r="AD42" s="9"/>
      <c r="AE42" s="9"/>
      <c r="AF42" s="9"/>
      <c r="AG42" s="41"/>
      <c r="AH42" s="41"/>
      <c r="AI42" s="9"/>
      <c r="AJ42" s="9"/>
      <c r="AK42" s="9"/>
      <c r="AL42" s="9"/>
      <c r="AM42" s="9"/>
      <c r="AN42" s="9"/>
      <c r="AQ42" s="40"/>
      <c r="AR42" s="40"/>
      <c r="AS42" s="40"/>
      <c r="AT42" s="40"/>
      <c r="AU42" s="40"/>
      <c r="AV42" s="40"/>
      <c r="AW42" s="40"/>
      <c r="AY42" s="30">
        <v>44</v>
      </c>
      <c r="AZ42" s="10" t="s">
        <v>40</v>
      </c>
      <c r="BA42" s="44">
        <f>SUM(AV12:AV13)+SUM(AV17:AV20)+SUM(AV25:AV27)+SUM(AV32:AV35)+SUM(AV39:AV40)</f>
        <v>230.370722838003</v>
      </c>
      <c r="BB42" s="44">
        <f>SUM(AW12:AW13)+SUM(AW17:AW20)+SUM(AW25:AW27)+SUM(AW32:AW35)+SUM(AW39:AW40)</f>
        <v>199.96608332528</v>
      </c>
      <c r="BC42" s="49">
        <f>BA42-BA43-BA44</f>
        <v>126.366974653753</v>
      </c>
      <c r="BD42" s="49">
        <f>BB42-BB43-BB44</f>
        <v>56.643157047107</v>
      </c>
      <c r="BF42" s="66"/>
      <c r="BG42" s="67" t="s">
        <v>180</v>
      </c>
      <c r="BI42" s="80"/>
      <c r="BJ42" s="84"/>
      <c r="BK42" s="52">
        <f t="shared" ref="BK42:BQ42" si="23">SUM(BK37:BK41)</f>
        <v>959.758971822698</v>
      </c>
      <c r="BL42" s="52">
        <f t="shared" si="23"/>
        <v>243.77438728544</v>
      </c>
      <c r="BM42" s="52">
        <f t="shared" si="23"/>
        <v>1113.46326016829</v>
      </c>
      <c r="BN42" s="52">
        <f t="shared" si="23"/>
        <v>585.687840840622</v>
      </c>
      <c r="BO42" s="52">
        <f t="shared" si="23"/>
        <v>845.201458075957</v>
      </c>
      <c r="BP42" s="52">
        <f t="shared" si="23"/>
        <v>651.228527731581</v>
      </c>
      <c r="BQ42" s="52">
        <f t="shared" si="23"/>
        <v>696.749853625879</v>
      </c>
      <c r="BS42" s="101" t="s">
        <v>181</v>
      </c>
      <c r="BT42" s="102"/>
      <c r="BU42" s="102" t="s">
        <v>182</v>
      </c>
      <c r="BV42" s="102"/>
      <c r="BW42" s="135">
        <f>BK37</f>
        <v>499.9</v>
      </c>
    </row>
    <row r="43" ht="15.15" spans="29:75"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Q43" s="40"/>
      <c r="AR43" s="40"/>
      <c r="AS43" s="40"/>
      <c r="AT43" s="40"/>
      <c r="AU43" s="40"/>
      <c r="AV43" s="40"/>
      <c r="AW43" s="40"/>
      <c r="AY43" s="51"/>
      <c r="AZ43" s="10" t="s">
        <v>36</v>
      </c>
      <c r="BA43" s="44">
        <f>SUM(AV14:AV16)+SUM(AV21:AV24)+SUM(AV28:AV31)+SUM(AV36:AV38)</f>
        <v>94.0037481842505</v>
      </c>
      <c r="BB43" s="44">
        <f>SUM(AW14:AW16)+SUM(AW21:AW24)+SUM(AW28:AW31)+SUM(AW36:AW38)</f>
        <v>133.322926278173</v>
      </c>
      <c r="BC43" s="52"/>
      <c r="BD43" s="52"/>
      <c r="BF43" s="66"/>
      <c r="BG43" s="69" t="s">
        <v>183</v>
      </c>
      <c r="BH43" s="78"/>
      <c r="BI43" s="79"/>
      <c r="BJ43" s="86"/>
      <c r="BK43" s="50">
        <f>MOD(BK42,360)</f>
        <v>239.758971822698</v>
      </c>
      <c r="BL43" s="50">
        <f t="shared" ref="BL43:BQ43" si="24">MOD(BL42,360)</f>
        <v>243.77438728544</v>
      </c>
      <c r="BM43" s="50">
        <f t="shared" si="24"/>
        <v>33.4632601682936</v>
      </c>
      <c r="BN43" s="50">
        <f t="shared" si="24"/>
        <v>225.687840840622</v>
      </c>
      <c r="BO43" s="50">
        <f t="shared" si="24"/>
        <v>125.201458075957</v>
      </c>
      <c r="BP43" s="50">
        <f t="shared" si="24"/>
        <v>291.228527731581</v>
      </c>
      <c r="BQ43" s="50">
        <f t="shared" si="24"/>
        <v>336.749853625879</v>
      </c>
      <c r="BS43" s="101"/>
      <c r="BT43" s="102"/>
      <c r="BU43" s="102" t="s">
        <v>184</v>
      </c>
      <c r="BV43" s="102"/>
      <c r="BW43" s="135">
        <f>BK38</f>
        <v>1.6</v>
      </c>
    </row>
    <row r="44" ht="15.15" spans="25:75">
      <c r="Y44" s="2" t="s">
        <v>185</v>
      </c>
      <c r="Z44" s="40">
        <f>AVERAGE(C12:Z42)</f>
        <v>145.06760749818</v>
      </c>
      <c r="AC44" s="40"/>
      <c r="AD44" s="40"/>
      <c r="AE44" s="40"/>
      <c r="AF44" s="40"/>
      <c r="AG44" s="42"/>
      <c r="AH44" s="42"/>
      <c r="AI44" s="40"/>
      <c r="AJ44" s="40"/>
      <c r="AK44" s="40"/>
      <c r="AL44" s="40"/>
      <c r="AM44" s="40"/>
      <c r="AN44" s="40"/>
      <c r="AQ44" s="40"/>
      <c r="AR44" s="40"/>
      <c r="AS44" s="40"/>
      <c r="AT44" s="40"/>
      <c r="AU44" s="40"/>
      <c r="AV44" s="40"/>
      <c r="AW44" s="40"/>
      <c r="AY44" s="29"/>
      <c r="AZ44" s="10" t="s">
        <v>36</v>
      </c>
      <c r="BA44" s="44">
        <f>AV11*1</f>
        <v>10</v>
      </c>
      <c r="BB44" s="44">
        <f>AW11*1</f>
        <v>10</v>
      </c>
      <c r="BC44" s="50"/>
      <c r="BD44" s="50"/>
      <c r="BF44" s="66"/>
      <c r="BG44" s="75"/>
      <c r="BH44" s="76"/>
      <c r="BI44" s="77"/>
      <c r="BJ44" s="25"/>
      <c r="BK44" s="25"/>
      <c r="BL44" s="25"/>
      <c r="BM44" s="25"/>
      <c r="BN44" s="25"/>
      <c r="BO44" s="25"/>
      <c r="BP44" s="25"/>
      <c r="BQ44" s="25"/>
      <c r="BS44" s="101" t="s">
        <v>186</v>
      </c>
      <c r="BT44" s="102"/>
      <c r="BU44" s="102" t="s">
        <v>187</v>
      </c>
      <c r="BV44" s="102"/>
      <c r="BW44" s="135">
        <f>BL45*0.27</f>
        <v>6.53171783854469</v>
      </c>
    </row>
    <row r="45" ht="15.9" spans="29:78"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Q45" s="40"/>
      <c r="AR45" s="40"/>
      <c r="AS45" s="40"/>
      <c r="AT45" s="40"/>
      <c r="AU45" s="40"/>
      <c r="AV45" s="40"/>
      <c r="AW45" s="40"/>
      <c r="AY45" s="53" t="s">
        <v>188</v>
      </c>
      <c r="AZ45" s="10" t="s">
        <v>40</v>
      </c>
      <c r="BA45" s="44">
        <f>SUM(AV16:AV18)+SUM(AV23:AV25)+SUM(AV30:AV32)+SUM(AV37:AV39)</f>
        <v>137.330350752446</v>
      </c>
      <c r="BB45" s="44">
        <f>SUM(AW16:AW18)+SUM(AW23:AW25)+SUM(AW30:AW32)+SUM(AW37:AW39)</f>
        <v>101.370501031145</v>
      </c>
      <c r="BC45" s="49">
        <f>BA45-BA46</f>
        <v>13.232182038063</v>
      </c>
      <c r="BD45" s="49">
        <f>BB45-BB46</f>
        <v>-68.8208735145774</v>
      </c>
      <c r="BF45" s="66"/>
      <c r="BG45" s="67" t="s">
        <v>189</v>
      </c>
      <c r="BI45" s="80"/>
      <c r="BJ45" s="87">
        <f>BJ30/BJ31</f>
        <v>145.06760749818</v>
      </c>
      <c r="BK45" s="88">
        <f t="shared" ref="BK45:BQ45" si="25">BK30/(BK31*BK32*BK33)</f>
        <v>30.3791514192021</v>
      </c>
      <c r="BL45" s="88">
        <f t="shared" si="25"/>
        <v>24.1915475501655</v>
      </c>
      <c r="BM45" s="88">
        <f t="shared" si="25"/>
        <v>5.45227212879021</v>
      </c>
      <c r="BN45" s="88">
        <f t="shared" si="25"/>
        <v>21.5885966907294</v>
      </c>
      <c r="BO45" s="88">
        <f t="shared" si="25"/>
        <v>12.6291293804343</v>
      </c>
      <c r="BP45" s="88">
        <f t="shared" si="25"/>
        <v>0.430103010152956</v>
      </c>
      <c r="BQ45" s="88">
        <f t="shared" si="25"/>
        <v>0.501380077169901</v>
      </c>
      <c r="BS45" s="101"/>
      <c r="BT45" s="102"/>
      <c r="BU45" s="102" t="s">
        <v>190</v>
      </c>
      <c r="BV45" s="102"/>
      <c r="BW45" s="135">
        <f>BL46</f>
        <v>243.77438728544</v>
      </c>
      <c r="BZ45"/>
    </row>
    <row r="46" ht="15.9" spans="29:75"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Q46" s="40"/>
      <c r="AR46" s="40"/>
      <c r="AS46" s="40"/>
      <c r="AT46" s="40"/>
      <c r="AU46" s="40"/>
      <c r="AV46" s="40"/>
      <c r="AW46" s="40"/>
      <c r="AY46" s="54"/>
      <c r="AZ46" s="10" t="s">
        <v>36</v>
      </c>
      <c r="BA46" s="44">
        <f>SUM(AV13:AV15)+SUM(AV20:AV22)+SUM(AV27:AV29)+SUM(AV34:AV36)</f>
        <v>124.098168714383</v>
      </c>
      <c r="BB46" s="44">
        <f>SUM(AW13:AW15)+SUM(AW20:AW22)+SUM(AW27:AW29)+SUM(AW34:AW36)</f>
        <v>170.191374545723</v>
      </c>
      <c r="BC46" s="50"/>
      <c r="BD46" s="50"/>
      <c r="BF46" s="68"/>
      <c r="BG46" s="69" t="s">
        <v>191</v>
      </c>
      <c r="BH46" s="78"/>
      <c r="BI46" s="79"/>
      <c r="BJ46" s="69"/>
      <c r="BK46" s="87">
        <f>BK43</f>
        <v>239.758971822698</v>
      </c>
      <c r="BL46" s="87">
        <f t="shared" ref="BL46:BQ46" si="26">BL43</f>
        <v>243.77438728544</v>
      </c>
      <c r="BM46" s="87">
        <f t="shared" si="26"/>
        <v>33.4632601682936</v>
      </c>
      <c r="BN46" s="87">
        <f t="shared" si="26"/>
        <v>225.687840840622</v>
      </c>
      <c r="BO46" s="87">
        <f t="shared" si="26"/>
        <v>125.201458075957</v>
      </c>
      <c r="BP46" s="87">
        <f t="shared" si="26"/>
        <v>291.228527731581</v>
      </c>
      <c r="BQ46" s="87">
        <f t="shared" si="26"/>
        <v>336.749853625879</v>
      </c>
      <c r="BS46" s="101" t="s">
        <v>192</v>
      </c>
      <c r="BT46" s="102"/>
      <c r="BU46" s="102" t="s">
        <v>193</v>
      </c>
      <c r="BV46" s="102"/>
      <c r="BW46" s="135">
        <f>BN45*0.33</f>
        <v>7.12423690794072</v>
      </c>
    </row>
    <row r="47" ht="15.15" spans="29:75"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Q47" s="40"/>
      <c r="AR47" s="40"/>
      <c r="AS47" s="40"/>
      <c r="AT47" s="40"/>
      <c r="AU47" s="40"/>
      <c r="AV47" s="40"/>
      <c r="AW47" s="40"/>
      <c r="BJ47" s="10" t="s">
        <v>12</v>
      </c>
      <c r="BK47" s="29" t="s">
        <v>13</v>
      </c>
      <c r="BL47" s="29" t="s">
        <v>14</v>
      </c>
      <c r="BM47" s="29" t="s">
        <v>15</v>
      </c>
      <c r="BN47" s="29" t="s">
        <v>16</v>
      </c>
      <c r="BO47" s="29" t="s">
        <v>17</v>
      </c>
      <c r="BP47" s="29" t="s">
        <v>18</v>
      </c>
      <c r="BQ47" s="29" t="s">
        <v>19</v>
      </c>
      <c r="BS47" s="103"/>
      <c r="BT47" s="104"/>
      <c r="BU47" s="104" t="s">
        <v>194</v>
      </c>
      <c r="BV47" s="104"/>
      <c r="BW47" s="136">
        <f>BN46</f>
        <v>225.687840840622</v>
      </c>
    </row>
    <row r="48" spans="29:49"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Q48" s="40"/>
      <c r="AR48" s="40"/>
      <c r="AS48" s="40"/>
      <c r="AT48" s="40"/>
      <c r="AU48" s="40"/>
      <c r="AV48" s="40"/>
      <c r="AW48" s="40"/>
    </row>
    <row r="49" spans="29:69"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Q49" s="40"/>
      <c r="AR49" s="40"/>
      <c r="AS49" s="40"/>
      <c r="AT49" s="40"/>
      <c r="AU49" s="40"/>
      <c r="AV49" s="40"/>
      <c r="AW49" s="40"/>
      <c r="BK49" s="89"/>
      <c r="BL49" s="89"/>
      <c r="BM49" s="89"/>
      <c r="BN49" s="89"/>
      <c r="BO49" s="89"/>
      <c r="BP49" s="89"/>
      <c r="BQ49" s="89"/>
    </row>
    <row r="50" spans="29:69"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Q50" s="40"/>
      <c r="AR50" s="40"/>
      <c r="AS50" s="40"/>
      <c r="AT50" s="40"/>
      <c r="AU50" s="40"/>
      <c r="AV50" s="40"/>
      <c r="AW50" s="40"/>
      <c r="BJ50" s="90"/>
      <c r="BK50" s="91">
        <f t="shared" ref="BK50:BQ50" si="27">BK30/BK29</f>
        <v>2.79287098326328</v>
      </c>
      <c r="BL50" s="91">
        <f t="shared" si="27"/>
        <v>-2.65425483929313</v>
      </c>
      <c r="BM50" s="91">
        <f t="shared" si="27"/>
        <v>1.08409268302928</v>
      </c>
      <c r="BN50" s="91">
        <f t="shared" si="27"/>
        <v>1.00641254752672</v>
      </c>
      <c r="BO50" s="91">
        <f t="shared" si="27"/>
        <v>1.26532770344318</v>
      </c>
      <c r="BP50" s="91">
        <f t="shared" si="27"/>
        <v>2.92313805047389</v>
      </c>
      <c r="BQ50" s="91">
        <f t="shared" si="27"/>
        <v>2.21118364191281</v>
      </c>
    </row>
    <row r="51" spans="29:74"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/>
      <c r="AP51"/>
      <c r="AQ51" s="46"/>
      <c r="AR51" s="46"/>
      <c r="AS51" s="46"/>
      <c r="AT51" s="46"/>
      <c r="AU51" s="46"/>
      <c r="AV51" s="46"/>
      <c r="AW51" s="46"/>
      <c r="AX51"/>
      <c r="AY51"/>
      <c r="AZ51"/>
      <c r="BA51"/>
      <c r="BB51"/>
      <c r="BC51"/>
      <c r="BJ51" s="40"/>
      <c r="BK51" s="40"/>
      <c r="BL51" s="40"/>
      <c r="BM51" s="40"/>
      <c r="BN51" s="40"/>
      <c r="BO51" s="40"/>
      <c r="BP51" s="40"/>
      <c r="BQ51" s="40"/>
      <c r="BS51" s="2" t="s">
        <v>195</v>
      </c>
      <c r="BT51" s="2">
        <f>(BN45+BO45)/(BK45+BL45)</f>
        <v>0.627034777223053</v>
      </c>
      <c r="BU51" s="137"/>
      <c r="BV51" s="137"/>
    </row>
    <row r="52" spans="29:77"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/>
      <c r="AP52"/>
      <c r="AQ52" s="46"/>
      <c r="AR52" s="46"/>
      <c r="AS52" s="46"/>
      <c r="AT52" s="46"/>
      <c r="AU52" s="46"/>
      <c r="AV52" s="46"/>
      <c r="AW52" s="46"/>
      <c r="AX52"/>
      <c r="AY52"/>
      <c r="AZ52"/>
      <c r="BA52"/>
      <c r="BB52"/>
      <c r="BC52"/>
      <c r="BK52" s="92" t="s">
        <v>196</v>
      </c>
      <c r="BL52" s="93"/>
      <c r="BM52" s="93"/>
      <c r="BN52" s="105" t="s">
        <v>35</v>
      </c>
      <c r="BO52" s="106">
        <f>MAX(C12:Z40)</f>
        <v>233.58160674374</v>
      </c>
      <c r="BP52" s="105" t="s">
        <v>197</v>
      </c>
      <c r="BS52" s="107"/>
      <c r="BT52" s="108"/>
      <c r="BU52" s="108"/>
      <c r="BV52" s="108"/>
      <c r="BW52" s="138"/>
      <c r="BX52" s="139"/>
      <c r="BY52" s="139"/>
    </row>
    <row r="53" ht="15.15" spans="29:82"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/>
      <c r="AP53"/>
      <c r="AQ53" s="46"/>
      <c r="AR53" s="46"/>
      <c r="AS53" s="46"/>
      <c r="AT53" s="46"/>
      <c r="AU53" s="46"/>
      <c r="AV53" s="46"/>
      <c r="AW53" s="46"/>
      <c r="AX53"/>
      <c r="AY53"/>
      <c r="AZ53"/>
      <c r="BA53"/>
      <c r="BB53"/>
      <c r="BC53"/>
      <c r="BK53" s="92" t="s">
        <v>198</v>
      </c>
      <c r="BL53" s="93"/>
      <c r="BM53" s="93"/>
      <c r="BN53" s="105" t="s">
        <v>35</v>
      </c>
      <c r="BO53" s="106">
        <f>MIN(C12:Z40)</f>
        <v>74.2472235723365</v>
      </c>
      <c r="BP53" s="105" t="s">
        <v>197</v>
      </c>
      <c r="BS53" s="109" t="s">
        <v>199</v>
      </c>
      <c r="BT53" s="109"/>
      <c r="BU53" s="109"/>
      <c r="BV53" s="109"/>
      <c r="BW53" s="109"/>
      <c r="BX53" s="109"/>
      <c r="BY53" s="109"/>
      <c r="BZ53" s="109"/>
      <c r="CA53" s="109"/>
      <c r="CB53" s="109"/>
      <c r="CC53" s="109"/>
      <c r="CD53" s="109"/>
    </row>
    <row r="54" ht="18.75" spans="29:82"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/>
      <c r="AP54"/>
      <c r="AQ54" s="46"/>
      <c r="AR54" s="46"/>
      <c r="AS54" s="46"/>
      <c r="AT54" s="46"/>
      <c r="AU54" s="46"/>
      <c r="AV54" s="46"/>
      <c r="AW54" s="46"/>
      <c r="AX54"/>
      <c r="AY54"/>
      <c r="AZ54"/>
      <c r="BA54"/>
      <c r="BB54"/>
      <c r="BC54"/>
      <c r="BH54"/>
      <c r="BI54"/>
      <c r="BJ54"/>
      <c r="BK54" s="92" t="s">
        <v>200</v>
      </c>
      <c r="BL54" s="93"/>
      <c r="BM54" s="93"/>
      <c r="BN54" s="105" t="s">
        <v>35</v>
      </c>
      <c r="BO54" s="110">
        <f>BO52-BO53</f>
        <v>159.334383171403</v>
      </c>
      <c r="BP54" s="105" t="s">
        <v>197</v>
      </c>
      <c r="BQ54"/>
      <c r="BR54"/>
      <c r="BS54" s="111" t="s">
        <v>201</v>
      </c>
      <c r="BT54" s="112"/>
      <c r="BU54" s="140" t="s">
        <v>202</v>
      </c>
      <c r="BV54" s="141" t="s">
        <v>203</v>
      </c>
      <c r="BW54" s="141" t="s">
        <v>204</v>
      </c>
      <c r="BX54" s="141" t="s">
        <v>205</v>
      </c>
      <c r="BY54" s="141" t="s">
        <v>206</v>
      </c>
      <c r="BZ54" s="141" t="s">
        <v>207</v>
      </c>
      <c r="CA54" s="141" t="s">
        <v>208</v>
      </c>
      <c r="CB54" s="141" t="s">
        <v>209</v>
      </c>
      <c r="CC54" s="141" t="s">
        <v>210</v>
      </c>
      <c r="CD54" s="145" t="s">
        <v>211</v>
      </c>
    </row>
    <row r="55" ht="17.2" customHeight="1" spans="29:82"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/>
      <c r="AP55"/>
      <c r="AQ55" s="46"/>
      <c r="AR55" s="46"/>
      <c r="AS55" s="46"/>
      <c r="AT55" s="46"/>
      <c r="AU55" s="46"/>
      <c r="AV55" s="46"/>
      <c r="AW55" s="46"/>
      <c r="AX55"/>
      <c r="AY55"/>
      <c r="AZ55"/>
      <c r="BA55"/>
      <c r="BB55"/>
      <c r="BC55"/>
      <c r="BH55"/>
      <c r="BI55"/>
      <c r="BJ55"/>
      <c r="BK55" s="46"/>
      <c r="BL55" s="46"/>
      <c r="BM55" s="46"/>
      <c r="BN55" s="46"/>
      <c r="BO55" s="46"/>
      <c r="BP55" s="46"/>
      <c r="BQ55" s="46"/>
      <c r="BR55"/>
      <c r="BS55" s="113" t="s">
        <v>212</v>
      </c>
      <c r="BT55" s="114"/>
      <c r="BU55" s="142">
        <f t="shared" ref="BU55:CB55" si="28">BJ45</f>
        <v>145.06760749818</v>
      </c>
      <c r="BV55" s="142">
        <f t="shared" si="28"/>
        <v>30.3791514192021</v>
      </c>
      <c r="BW55" s="142">
        <f t="shared" si="28"/>
        <v>24.1915475501655</v>
      </c>
      <c r="BX55" s="142">
        <f t="shared" si="28"/>
        <v>5.45227212879021</v>
      </c>
      <c r="BY55" s="142">
        <f t="shared" si="28"/>
        <v>21.5885966907294</v>
      </c>
      <c r="BZ55" s="142">
        <f t="shared" si="28"/>
        <v>12.6291293804343</v>
      </c>
      <c r="CA55" s="142">
        <f t="shared" si="28"/>
        <v>0.430103010152956</v>
      </c>
      <c r="CB55" s="142">
        <f t="shared" si="28"/>
        <v>0.501380077169901</v>
      </c>
      <c r="CC55" s="146">
        <f>BL45*0.27</f>
        <v>6.53171783854469</v>
      </c>
      <c r="CD55" s="147">
        <f>BN45*0.33</f>
        <v>7.12423690794072</v>
      </c>
    </row>
    <row r="56" ht="19.5" customHeight="1" spans="29:82"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/>
      <c r="AP56"/>
      <c r="AQ56" s="46"/>
      <c r="AR56" s="46"/>
      <c r="AS56" s="46"/>
      <c r="AT56" s="46"/>
      <c r="AU56" s="46"/>
      <c r="AV56" s="46"/>
      <c r="AW56" s="46"/>
      <c r="AX56"/>
      <c r="AY56"/>
      <c r="AZ56"/>
      <c r="BA56"/>
      <c r="BB56"/>
      <c r="BC56"/>
      <c r="BH56"/>
      <c r="BI56"/>
      <c r="BJ56"/>
      <c r="BK56" s="46"/>
      <c r="BL56" s="46"/>
      <c r="BM56" s="46"/>
      <c r="BN56" s="46"/>
      <c r="BO56" s="46"/>
      <c r="BP56" s="46"/>
      <c r="BQ56" s="46"/>
      <c r="BR56"/>
      <c r="BS56" s="151" t="s">
        <v>213</v>
      </c>
      <c r="BT56" s="116"/>
      <c r="BU56" s="143">
        <f>BJ46</f>
        <v>0</v>
      </c>
      <c r="BV56" s="143">
        <f>BK46</f>
        <v>239.758971822698</v>
      </c>
      <c r="BW56" s="143">
        <f t="shared" ref="BW56:CB56" si="29">BL46</f>
        <v>243.77438728544</v>
      </c>
      <c r="BX56" s="143">
        <f t="shared" si="29"/>
        <v>33.4632601682936</v>
      </c>
      <c r="BY56" s="143">
        <f t="shared" si="29"/>
        <v>225.687840840622</v>
      </c>
      <c r="BZ56" s="143">
        <f t="shared" si="29"/>
        <v>125.201458075957</v>
      </c>
      <c r="CA56" s="143">
        <f t="shared" si="29"/>
        <v>291.228527731581</v>
      </c>
      <c r="CB56" s="143">
        <f t="shared" si="29"/>
        <v>336.749853625879</v>
      </c>
      <c r="CC56" s="148">
        <f>BL46</f>
        <v>243.77438728544</v>
      </c>
      <c r="CD56" s="149">
        <f>BN46</f>
        <v>225.687840840622</v>
      </c>
    </row>
    <row r="57" spans="29:72"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/>
      <c r="AP57"/>
      <c r="AQ57" s="46"/>
      <c r="AR57" s="46"/>
      <c r="AS57" s="46"/>
      <c r="AT57" s="46"/>
      <c r="AU57" s="46"/>
      <c r="AV57" s="46"/>
      <c r="AW57" s="46"/>
      <c r="AX57"/>
      <c r="AY57"/>
      <c r="AZ57"/>
      <c r="BA57"/>
      <c r="BB57"/>
      <c r="BC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9:77"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/>
      <c r="AP58"/>
      <c r="AQ58" s="46"/>
      <c r="AR58" s="46"/>
      <c r="AS58" s="46"/>
      <c r="AT58" s="46"/>
      <c r="AU58" s="46"/>
      <c r="AV58" s="46"/>
      <c r="AW58" s="46"/>
      <c r="AX58"/>
      <c r="AY58"/>
      <c r="AZ58"/>
      <c r="BA58"/>
      <c r="BB58"/>
      <c r="BC58"/>
      <c r="BH58"/>
      <c r="BI58"/>
      <c r="BJ58"/>
      <c r="BK58" s="46"/>
      <c r="BL58" s="46"/>
      <c r="BM58" s="46"/>
      <c r="BN58" s="46"/>
      <c r="BO58" s="46"/>
      <c r="BP58" s="46"/>
      <c r="BQ58" s="46"/>
      <c r="BR58"/>
      <c r="BS58" s="107" t="s">
        <v>214</v>
      </c>
      <c r="BT58" s="108"/>
      <c r="BU58" s="108"/>
      <c r="BV58" s="108"/>
      <c r="BW58" s="138"/>
      <c r="BX58" s="139"/>
      <c r="BY58" s="139"/>
    </row>
    <row r="59" spans="29:77"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/>
      <c r="AP59"/>
      <c r="AQ59" s="46"/>
      <c r="AR59" s="46"/>
      <c r="AS59" s="46"/>
      <c r="AT59" s="46"/>
      <c r="AU59" s="46"/>
      <c r="AV59" s="46"/>
      <c r="AW59" s="46"/>
      <c r="AX59"/>
      <c r="AY59"/>
      <c r="AZ59"/>
      <c r="BA59"/>
      <c r="BB59"/>
      <c r="BC59"/>
      <c r="BH59"/>
      <c r="BI59"/>
      <c r="BJ59"/>
      <c r="BK59" s="46"/>
      <c r="BL59" s="46"/>
      <c r="BM59" s="46"/>
      <c r="BN59" s="46"/>
      <c r="BO59" s="46"/>
      <c r="BP59" s="46"/>
      <c r="BQ59" s="46"/>
      <c r="BR59"/>
      <c r="BS59" s="117" t="str">
        <f>IF(AND(((BY55+BZ55)/(BV55+BW55))&gt;0,((BY55+BZ55)/(BV55+BW55))&lt;=0.25),((BY55+BZ55)/(BV55+BW55)),"")</f>
        <v/>
      </c>
      <c r="BT59" s="152" t="s">
        <v>215</v>
      </c>
      <c r="BU59" s="118"/>
      <c r="BV59" s="118"/>
      <c r="BW59" s="144"/>
      <c r="BX59" s="144"/>
      <c r="BY59" s="144"/>
    </row>
    <row r="60" spans="29:77"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/>
      <c r="AP60"/>
      <c r="AQ60" s="46"/>
      <c r="AR60" s="46"/>
      <c r="AS60" s="46"/>
      <c r="AT60" s="46"/>
      <c r="AU60" s="46"/>
      <c r="AV60" s="46"/>
      <c r="AW60" s="46"/>
      <c r="AX60"/>
      <c r="AY60"/>
      <c r="AZ60"/>
      <c r="BA60"/>
      <c r="BB60"/>
      <c r="BC60"/>
      <c r="BS60" s="119">
        <f>IF(AND(((BY55+BZ55)/(BV55+BW55))&gt;0.25,((BY55+BZ55)/(BV55+BW55))&lt;=1.5),((BY55+BZ55)/(BV55+BW55)),"")</f>
        <v>0.627034777223053</v>
      </c>
      <c r="BT60" s="152" t="s">
        <v>216</v>
      </c>
      <c r="BU60" s="118"/>
      <c r="BV60" s="118"/>
      <c r="BW60" s="118"/>
      <c r="BX60" s="118"/>
      <c r="BY60" s="118"/>
    </row>
    <row r="61" spans="29:77"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/>
      <c r="AP61"/>
      <c r="AQ61" s="46"/>
      <c r="AR61" s="46"/>
      <c r="AS61" s="46"/>
      <c r="AT61" s="46"/>
      <c r="AU61" s="46"/>
      <c r="AV61" s="46"/>
      <c r="AW61" s="46"/>
      <c r="AX61"/>
      <c r="AY61"/>
      <c r="AZ61"/>
      <c r="BA61"/>
      <c r="BB61"/>
      <c r="BC61"/>
      <c r="BS61" s="120" t="str">
        <f>IF(AND(((BY55+BZ55)/(BV55+BW55))&gt;1.5,((BY55+BZ55)/(BV55+BW55))&lt;=3),((BY55+BZ55)/(BV55+BW55)),"")</f>
        <v/>
      </c>
      <c r="BT61" s="152" t="s">
        <v>217</v>
      </c>
      <c r="BU61" s="144"/>
      <c r="BV61" s="144"/>
      <c r="BW61" s="144"/>
      <c r="BX61" s="144"/>
      <c r="BY61" s="144"/>
    </row>
    <row r="62" spans="29:77"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/>
      <c r="AP62"/>
      <c r="AQ62" s="46"/>
      <c r="AR62" s="46"/>
      <c r="AS62" s="46"/>
      <c r="AT62" s="46"/>
      <c r="AU62" s="46"/>
      <c r="AV62" s="46"/>
      <c r="AW62" s="46"/>
      <c r="AX62"/>
      <c r="AY62"/>
      <c r="AZ62"/>
      <c r="BA62"/>
      <c r="BB62"/>
      <c r="BC62"/>
      <c r="BS62" s="121" t="str">
        <f>IF(((BY55+BZ55)/(BV55+BW55))&gt;3,(BY55+BZ55)/(BV55+BW55),"")</f>
        <v/>
      </c>
      <c r="BT62" s="152" t="s">
        <v>218</v>
      </c>
      <c r="BU62" s="144"/>
      <c r="BV62" s="144"/>
      <c r="BW62" s="144"/>
      <c r="BX62" s="144"/>
      <c r="BY62" s="144"/>
    </row>
    <row r="63" spans="29:55"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/>
      <c r="AP63"/>
      <c r="AQ63" s="46"/>
      <c r="AR63" s="46"/>
      <c r="AS63" s="46"/>
      <c r="AT63" s="46"/>
      <c r="AU63" s="46"/>
      <c r="AV63" s="46"/>
      <c r="AW63" s="46"/>
      <c r="AX63"/>
      <c r="AY63"/>
      <c r="AZ63"/>
      <c r="BA63"/>
      <c r="BB63"/>
      <c r="BC63"/>
    </row>
    <row r="64" spans="29:55"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/>
      <c r="AP64"/>
      <c r="AQ64" s="46"/>
      <c r="AR64" s="46"/>
      <c r="AS64" s="46"/>
      <c r="AT64" s="46"/>
      <c r="AU64" s="46"/>
      <c r="AV64" s="46"/>
      <c r="AW64" s="46"/>
      <c r="AX64"/>
      <c r="AY64"/>
      <c r="AZ64"/>
      <c r="BA64"/>
      <c r="BB64"/>
      <c r="BC64"/>
    </row>
    <row r="65" spans="29:67"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/>
      <c r="AP65"/>
      <c r="AQ65" s="46"/>
      <c r="AR65" s="46"/>
      <c r="AS65" s="46"/>
      <c r="AT65" s="46"/>
      <c r="AU65" s="46"/>
      <c r="AV65" s="46"/>
      <c r="AW65" s="46"/>
      <c r="AX65"/>
      <c r="AY65"/>
      <c r="AZ65"/>
      <c r="BA65"/>
      <c r="BB65"/>
      <c r="BC65"/>
      <c r="BO65" s="40">
        <f>BY55+BZ55</f>
        <v>34.2177260711637</v>
      </c>
    </row>
    <row r="66" spans="29:67"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/>
      <c r="AP66"/>
      <c r="AQ66" s="46"/>
      <c r="AR66" s="46"/>
      <c r="AS66" s="46"/>
      <c r="AT66" s="150"/>
      <c r="AU66" s="46"/>
      <c r="AV66" s="46"/>
      <c r="AW66" s="46"/>
      <c r="AX66"/>
      <c r="AY66"/>
      <c r="AZ66"/>
      <c r="BA66"/>
      <c r="BB66"/>
      <c r="BC66"/>
      <c r="BO66" s="40">
        <f>BV55+BW55</f>
        <v>54.5706989693676</v>
      </c>
    </row>
    <row r="67" spans="29:55"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/>
      <c r="AP67"/>
      <c r="AQ67" s="46"/>
      <c r="AR67" s="46"/>
      <c r="AS67" s="46"/>
      <c r="AT67" s="46"/>
      <c r="AU67" s="46"/>
      <c r="AV67" s="46"/>
      <c r="AW67" s="46"/>
      <c r="AX67"/>
      <c r="AY67"/>
      <c r="AZ67"/>
      <c r="BA67"/>
      <c r="BB67"/>
      <c r="BC67"/>
    </row>
    <row r="68" spans="29:55"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/>
      <c r="AP68"/>
      <c r="AQ68" s="46"/>
      <c r="AR68" s="46"/>
      <c r="AS68" s="46"/>
      <c r="AT68" s="46"/>
      <c r="AU68" s="46"/>
      <c r="AV68" s="46"/>
      <c r="AW68" s="46"/>
      <c r="AX68"/>
      <c r="AY68"/>
      <c r="AZ68"/>
      <c r="BA68"/>
      <c r="BB68"/>
      <c r="BC68"/>
    </row>
    <row r="69" spans="29:55"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/>
      <c r="AP69"/>
      <c r="AQ69" s="46"/>
      <c r="AR69" s="46"/>
      <c r="AS69" s="46"/>
      <c r="AT69" s="46"/>
      <c r="AU69" s="46"/>
      <c r="AV69" s="46"/>
      <c r="AW69" s="46"/>
      <c r="AX69"/>
      <c r="AY69"/>
      <c r="AZ69"/>
      <c r="BA69"/>
      <c r="BB69"/>
      <c r="BC69"/>
    </row>
    <row r="70" spans="29:55"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/>
      <c r="AP70"/>
      <c r="AQ70" s="46"/>
      <c r="AR70" s="46"/>
      <c r="AS70" s="46"/>
      <c r="AT70" s="46"/>
      <c r="AU70" s="46"/>
      <c r="AV70" s="46"/>
      <c r="AW70" s="46"/>
      <c r="AX70"/>
      <c r="AY70"/>
      <c r="AZ70"/>
      <c r="BA70"/>
      <c r="BB70"/>
      <c r="BC70"/>
    </row>
    <row r="71" spans="29:55"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/>
      <c r="AP71"/>
      <c r="AQ71"/>
      <c r="AR71" s="46"/>
      <c r="AS71" s="46"/>
      <c r="AT71" s="46"/>
      <c r="AU71" s="46"/>
      <c r="AV71"/>
      <c r="AW71"/>
      <c r="AX71"/>
      <c r="AY71"/>
      <c r="AZ71"/>
      <c r="BA71"/>
      <c r="BB71"/>
      <c r="BC71"/>
    </row>
    <row r="72" spans="29:55"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/>
      <c r="AP72"/>
      <c r="AQ72"/>
      <c r="AR72" s="46"/>
      <c r="AS72" s="46"/>
      <c r="AT72" s="46"/>
      <c r="AU72" s="46"/>
      <c r="AV72"/>
      <c r="AW72"/>
      <c r="AX72"/>
      <c r="AY72"/>
      <c r="AZ72"/>
      <c r="BA72"/>
      <c r="BB72"/>
      <c r="BC72"/>
    </row>
    <row r="73" spans="41:55">
      <c r="AO73"/>
      <c r="AP73"/>
      <c r="AQ73"/>
      <c r="AR73" s="46"/>
      <c r="AS73" s="46"/>
      <c r="AT73" s="46"/>
      <c r="AU73" s="46"/>
      <c r="AV73"/>
      <c r="AW73"/>
      <c r="AX73"/>
      <c r="AY73"/>
      <c r="AZ73"/>
      <c r="BA73"/>
      <c r="BB73"/>
      <c r="BC73"/>
    </row>
    <row r="74" spans="41:55">
      <c r="AO74"/>
      <c r="AP74"/>
      <c r="AQ74"/>
      <c r="AR74" s="46"/>
      <c r="AS74" s="46"/>
      <c r="AT74" s="46"/>
      <c r="AU74" s="46"/>
      <c r="AV74"/>
      <c r="AW74"/>
      <c r="AX74"/>
      <c r="AY74"/>
      <c r="AZ74"/>
      <c r="BA74"/>
      <c r="BB74"/>
      <c r="BC74"/>
    </row>
    <row r="75" spans="41:55">
      <c r="AO75"/>
      <c r="AP75"/>
      <c r="AQ75"/>
      <c r="AR75" s="46"/>
      <c r="AS75" s="46"/>
      <c r="AT75" s="46"/>
      <c r="AU75" s="46"/>
      <c r="AV75"/>
      <c r="AW75"/>
      <c r="AX75"/>
      <c r="AY75"/>
      <c r="AZ75"/>
      <c r="BA75"/>
      <c r="BB75"/>
      <c r="BC75"/>
    </row>
    <row r="76" spans="41:55">
      <c r="AO76"/>
      <c r="AP76"/>
      <c r="AQ76"/>
      <c r="AR76" s="46"/>
      <c r="AS76" s="46"/>
      <c r="AT76" s="46"/>
      <c r="AU76" s="46"/>
      <c r="AV76"/>
      <c r="AW76"/>
      <c r="AX76"/>
      <c r="AY76"/>
      <c r="AZ76"/>
      <c r="BA76"/>
      <c r="BB76"/>
      <c r="BC76"/>
    </row>
    <row r="77" spans="41:55">
      <c r="AO77"/>
      <c r="AP77"/>
      <c r="AQ77"/>
      <c r="AR77" s="46"/>
      <c r="AS77" s="46"/>
      <c r="AT77" s="46"/>
      <c r="AU77" s="46"/>
      <c r="AV77"/>
      <c r="AW77"/>
      <c r="AX77"/>
      <c r="AY77"/>
      <c r="AZ77"/>
      <c r="BA77"/>
      <c r="BB77"/>
      <c r="BC77"/>
    </row>
    <row r="78" spans="41:55"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41:55"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41:55"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41:55"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41:55"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41:55"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41:55"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41:55"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41:55"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41:55"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41:55"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41:55"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41:55"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41:55"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</sheetData>
  <mergeCells count="49">
    <mergeCell ref="A1:Y1"/>
    <mergeCell ref="A2:Y2"/>
    <mergeCell ref="A3:Z3"/>
    <mergeCell ref="C5:E5"/>
    <mergeCell ref="C6:E6"/>
    <mergeCell ref="C7:E7"/>
    <mergeCell ref="C8:E8"/>
    <mergeCell ref="AC10:AD10"/>
    <mergeCell ref="AE10:AF10"/>
    <mergeCell ref="AG10:AH10"/>
    <mergeCell ref="AI10:AJ10"/>
    <mergeCell ref="AK10:AL10"/>
    <mergeCell ref="AM10:AN10"/>
    <mergeCell ref="BA11:BB11"/>
    <mergeCell ref="BS53:CD53"/>
    <mergeCell ref="BS54:BT54"/>
    <mergeCell ref="BS55:BT55"/>
    <mergeCell ref="BS56:BT56"/>
    <mergeCell ref="AY10:AY11"/>
    <mergeCell ref="AY45:AY46"/>
    <mergeCell ref="AZ10:AZ11"/>
    <mergeCell ref="BC13:BC14"/>
    <mergeCell ref="BC15:BC17"/>
    <mergeCell ref="BC18:BC19"/>
    <mergeCell ref="BC20:BC22"/>
    <mergeCell ref="BC23:BC24"/>
    <mergeCell ref="BC25:BC26"/>
    <mergeCell ref="BC27:BC29"/>
    <mergeCell ref="BC30:BC31"/>
    <mergeCell ref="BC32:BC34"/>
    <mergeCell ref="BC35:BC36"/>
    <mergeCell ref="BC37:BC39"/>
    <mergeCell ref="BC40:BC41"/>
    <mergeCell ref="BC42:BC44"/>
    <mergeCell ref="BC45:BC46"/>
    <mergeCell ref="BD13:BD14"/>
    <mergeCell ref="BD15:BD17"/>
    <mergeCell ref="BD18:BD19"/>
    <mergeCell ref="BD20:BD22"/>
    <mergeCell ref="BD23:BD24"/>
    <mergeCell ref="BD25:BD26"/>
    <mergeCell ref="BD27:BD29"/>
    <mergeCell ref="BD30:BD31"/>
    <mergeCell ref="BD32:BD34"/>
    <mergeCell ref="BD35:BD36"/>
    <mergeCell ref="BD37:BD39"/>
    <mergeCell ref="BD40:BD41"/>
    <mergeCell ref="BD42:BD44"/>
    <mergeCell ref="BD45:BD46"/>
  </mergeCells>
  <conditionalFormatting sqref="C46:Z51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C58:I86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300" verticalDpi="300"/>
  <headerFooter/>
  <ignoredErrors>
    <ignoredError sqref="AR11:AW11" numberStoredAsText="1"/>
    <ignoredError sqref="BO54" unlockedFormula="1"/>
    <ignoredError sqref="BO37;AF12;AC13:AF13;AD14:AF14;AC15:AF20;AD21:AF21;AC22:AF28;AD29:AF29;AC30:AF4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Langkah Perhitungan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Santyabudhi</dc:creator>
  <cp:lastModifiedBy>atmatech</cp:lastModifiedBy>
  <dcterms:created xsi:type="dcterms:W3CDTF">2013-02-24T16:18:00Z</dcterms:created>
  <dcterms:modified xsi:type="dcterms:W3CDTF">2024-11-11T23:26:40Z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FB08A536C77E48978C0E818197226101_12</vt:lpwstr>
  </property>
  <property fmtid="{D5CDD505-2E9C-101B-9397-08002B2CF9AE}" pid="3" name="KSOProductBuildVer">
    <vt:lpwstr>1033-12.2.0.18607</vt:lpwstr>
  </property>
</Properties>
</file>