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átula" sheetId="1" r:id="rId4"/>
    <sheet state="visible" name="Consideraciones" sheetId="2" r:id="rId5"/>
    <sheet state="visible" name="Costos Variables de Fabricación" sheetId="3" r:id="rId6"/>
    <sheet state="visible" name="Mercado" sheetId="4" r:id="rId7"/>
    <sheet state="visible" name="Gastos Fijos de Fabricación" sheetId="5" r:id="rId8"/>
    <sheet state="visible" name="Gastos de Comercialización" sheetId="6" r:id="rId9"/>
    <sheet state="visible" name="Gastos Adm y Finanzas" sheetId="7" r:id="rId10"/>
    <sheet state="visible" name="Amortización Edificio" sheetId="8" r:id="rId11"/>
    <sheet state="visible" name="Amortización Muebles y Utiles" sheetId="9" r:id="rId12"/>
    <sheet state="visible" name="Amortización Rodados" sheetId="10" r:id="rId13"/>
    <sheet state="visible" name="Amortización Informática" sheetId="11" r:id="rId14"/>
    <sheet state="visible" name="Amortización Máquinas" sheetId="12" r:id="rId15"/>
    <sheet state="visible" name="Activo no Corriente" sheetId="13" r:id="rId16"/>
    <sheet state="visible" name="Capital de trabajo" sheetId="14" r:id="rId17"/>
    <sheet state="visible" name="Flujo de caja" sheetId="15" r:id="rId18"/>
    <sheet state="visible" name="Cuadro de Usos y Fuentes" sheetId="16" r:id="rId19"/>
    <sheet state="visible" name="Balances Pro Forma" sheetId="17" r:id="rId20"/>
    <sheet state="visible" name="Puntos de Equilibrio" sheetId="18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Tasa Bancaria
	-Administrador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5">
      <text>
        <t xml:space="preserve">Valor expresado en %
Es la tasa que se pretende pagar a los accionistas
	-Rgalloni</t>
      </text>
    </comment>
    <comment authorId="0" ref="D12">
      <text>
        <t xml:space="preserve">iguAL O MAS ALTA QUE LA tnA
	-Rgalloni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46">
      <text>
        <t xml:space="preserve">Valor expresado en días
	-Rgalloni</t>
      </text>
    </comment>
    <comment authorId="0" ref="M46">
      <text>
        <t xml:space="preserve">Valor expresado en días
	-Rgalloni</t>
      </text>
    </comment>
    <comment authorId="0" ref="P34">
      <text>
        <t xml:space="preserve">Valor expresado en días
	-Rgalloni</t>
      </text>
    </comment>
    <comment authorId="0" ref="M34">
      <text>
        <t xml:space="preserve">Valor expresado en días
	-Rgalloni</t>
      </text>
    </comment>
    <comment authorId="0" ref="J32">
      <text>
        <t xml:space="preserve">Valor expresado en días
	-Rgalloni</t>
      </text>
    </comment>
    <comment authorId="0" ref="G46">
      <text>
        <t xml:space="preserve">Valor expresado en días
	-Rgalloni</t>
      </text>
    </comment>
    <comment authorId="0" ref="P32">
      <text>
        <t xml:space="preserve">Valor expresado en días
	-Rgalloni</t>
      </text>
    </comment>
    <comment authorId="0" ref="G32">
      <text>
        <t xml:space="preserve">Valor expresado en días
	-Rgalloni</t>
      </text>
    </comment>
    <comment authorId="0" ref="J34">
      <text>
        <t xml:space="preserve">Valor expresado en días
	-Rgalloni</t>
      </text>
    </comment>
    <comment authorId="0" ref="G34">
      <text>
        <t xml:space="preserve">Valor expresado en días
	-Rgalloni</t>
      </text>
    </comment>
    <comment authorId="0" ref="J46">
      <text>
        <t xml:space="preserve">Valor expresado en días
	-Rgalloni</t>
      </text>
    </comment>
    <comment authorId="0" ref="P46">
      <text>
        <t xml:space="preserve">Valor expresado en días
	-Rgalloni</t>
      </text>
    </comment>
    <comment authorId="0" ref="M32">
      <text>
        <t xml:space="preserve">Valor expresado en días
	-Rgalloni</t>
      </text>
    </comment>
  </commentList>
</comments>
</file>

<file path=xl/sharedStrings.xml><?xml version="1.0" encoding="utf-8"?>
<sst xmlns="http://schemas.openxmlformats.org/spreadsheetml/2006/main" count="749" uniqueCount="436">
  <si>
    <t>UDB LEGISLACIÓN Y ECONOMÍA</t>
  </si>
  <si>
    <r>
      <rPr>
        <rFont val="Calibri"/>
        <b/>
        <i/>
        <color theme="1"/>
        <sz val="25.0"/>
      </rPr>
      <t xml:space="preserve">    </t>
    </r>
    <r>
      <rPr>
        <rFont val="Calibri"/>
        <b/>
        <i/>
        <color theme="1"/>
        <sz val="26.0"/>
      </rPr>
      <t>Economía</t>
    </r>
  </si>
  <si>
    <t xml:space="preserve">Plan de Negocios </t>
  </si>
  <si>
    <t>Grupo 4</t>
  </si>
  <si>
    <t>Venta de  mochilas tácticas</t>
  </si>
  <si>
    <t>Legajo</t>
  </si>
  <si>
    <t>Apellido</t>
  </si>
  <si>
    <t>Nombres</t>
  </si>
  <si>
    <t xml:space="preserve"> </t>
  </si>
  <si>
    <t>García</t>
  </si>
  <si>
    <t>Patricio Lionel</t>
  </si>
  <si>
    <t>Noblia</t>
  </si>
  <si>
    <t>Lucas Iñaki</t>
  </si>
  <si>
    <t>Grupo N°</t>
  </si>
  <si>
    <t>Docente</t>
  </si>
  <si>
    <t>Ing. Juan José Cosentino</t>
  </si>
  <si>
    <t>Aux Docente</t>
  </si>
  <si>
    <t>Leonardo Douglas Costucica</t>
  </si>
  <si>
    <t>Curso</t>
  </si>
  <si>
    <t>Z3522</t>
  </si>
  <si>
    <t>Año</t>
  </si>
  <si>
    <t>2° CUATRIMESTRE 2024</t>
  </si>
  <si>
    <t>Consideraciones Generales</t>
  </si>
  <si>
    <t>Tasa Bancaria</t>
  </si>
  <si>
    <t>Tasa de oportunidad de los socios</t>
  </si>
  <si>
    <t>Dias por mes Fabricación</t>
  </si>
  <si>
    <t>Dias por mes Administración</t>
  </si>
  <si>
    <t>Meses por año</t>
  </si>
  <si>
    <t>Dias del año</t>
  </si>
  <si>
    <t>Horas laborables diarias FAB</t>
  </si>
  <si>
    <t>Horas laborables diarias ADM</t>
  </si>
  <si>
    <t>Tipo de Cambio: u$s 1 =</t>
  </si>
  <si>
    <t>Inflación anual</t>
  </si>
  <si>
    <t>IVA</t>
  </si>
  <si>
    <t>Impuesto a las Ganancias</t>
  </si>
  <si>
    <t>Cargas Sociales</t>
  </si>
  <si>
    <t>Celdas con Formulas no editables</t>
  </si>
  <si>
    <t>Celdas editables</t>
  </si>
  <si>
    <t>Costo Variables Fabricación</t>
  </si>
  <si>
    <t>Mano de Obra Directa</t>
  </si>
  <si>
    <t>Materia Prima (Unidad de medida de compra)</t>
  </si>
  <si>
    <t>Puesto</t>
  </si>
  <si>
    <t>Sueldo Mesual Bruto</t>
  </si>
  <si>
    <t>Cantidad de personal</t>
  </si>
  <si>
    <t>Total</t>
  </si>
  <si>
    <t>Detalle Materia Prima</t>
  </si>
  <si>
    <t>Precio</t>
  </si>
  <si>
    <t>Unidad de medida</t>
  </si>
  <si>
    <t>Personal de corte</t>
  </si>
  <si>
    <t>Cierre Cadena</t>
  </si>
  <si>
    <t>metro</t>
  </si>
  <si>
    <t>Costurero</t>
  </si>
  <si>
    <t>Deslizador</t>
  </si>
  <si>
    <t>u</t>
  </si>
  <si>
    <t>Tela Cordura Negra</t>
  </si>
  <si>
    <t>Escaleras de plastico</t>
  </si>
  <si>
    <t>Total Mensual</t>
  </si>
  <si>
    <t>Total Sueldo Fabril Anual</t>
  </si>
  <si>
    <t>Materia Prima por Producto</t>
  </si>
  <si>
    <t>Consumo x unidad</t>
  </si>
  <si>
    <t>Costo</t>
  </si>
  <si>
    <t>Total Aguinaldo Anual</t>
  </si>
  <si>
    <t>Total de cargas sociales del empleador</t>
  </si>
  <si>
    <t>Calculo de Viaticos y refrigerio:</t>
  </si>
  <si>
    <t>Costo Viatico y refrigerio x persona y por día</t>
  </si>
  <si>
    <t>Personas</t>
  </si>
  <si>
    <t>Operarios</t>
  </si>
  <si>
    <t>Costo unitario Materia Prima</t>
  </si>
  <si>
    <t>$ /Unidad</t>
  </si>
  <si>
    <t>Dias por mes</t>
  </si>
  <si>
    <t>Días / Mes</t>
  </si>
  <si>
    <t>Producción Terminada</t>
  </si>
  <si>
    <t>Unidades</t>
  </si>
  <si>
    <t>Meses / Año</t>
  </si>
  <si>
    <t>Costo Total Materia Prima</t>
  </si>
  <si>
    <t>Total Anual Viaticos y refrigerios</t>
  </si>
  <si>
    <t>Costo Variable Total de Fabricación</t>
  </si>
  <si>
    <t>COSTO TOTAL MANO DE OBRA DIRECTA</t>
  </si>
  <si>
    <t>Costo Variable Unitario de Fabricación</t>
  </si>
  <si>
    <t>COSTO UNITARIO MANO DE OBRA DIRECTA</t>
  </si>
  <si>
    <t>$ / Unidad</t>
  </si>
  <si>
    <t>Incidencia del costo sobre el precio de venta</t>
  </si>
  <si>
    <t>Mercado</t>
  </si>
  <si>
    <r>
      <rPr>
        <rFont val="Calibri"/>
        <color theme="1"/>
      </rPr>
      <t xml:space="preserve">Nombre del Mercado Potencial </t>
    </r>
    <r>
      <rPr>
        <rFont val="Calibri"/>
        <color theme="1"/>
        <sz val="8.0"/>
      </rPr>
      <t>(1)</t>
    </r>
  </si>
  <si>
    <t>Mercado Potencial       (Q)</t>
  </si>
  <si>
    <r>
      <rPr>
        <rFont val="Calibri"/>
        <color theme="1"/>
      </rPr>
      <t xml:space="preserve">Mercado Meta </t>
    </r>
    <r>
      <rPr>
        <rFont val="Calibri"/>
        <color theme="1"/>
        <sz val="8.0"/>
      </rPr>
      <t>(2)</t>
    </r>
    <r>
      <rPr>
        <rFont val="Calibri"/>
        <color theme="1"/>
        <sz val="10.0"/>
      </rPr>
      <t xml:space="preserve">           (%)</t>
    </r>
  </si>
  <si>
    <t>Mercado Meta          (Q)</t>
  </si>
  <si>
    <r>
      <rPr>
        <rFont val="Calibri"/>
        <color theme="1"/>
        <sz val="9.0"/>
      </rPr>
      <t xml:space="preserve">Ventas destinadas al mercado Mayorista </t>
    </r>
    <r>
      <rPr>
        <rFont val="Calibri"/>
        <color theme="1"/>
        <sz val="10.0"/>
      </rPr>
      <t xml:space="preserve">         (%)</t>
    </r>
  </si>
  <si>
    <r>
      <rPr>
        <rFont val="Calibri"/>
        <color theme="1"/>
        <sz val="9.0"/>
      </rPr>
      <t>Ventas destinadas al mercado Minorista</t>
    </r>
    <r>
      <rPr>
        <rFont val="Calibri"/>
        <color theme="1"/>
        <sz val="10.0"/>
      </rPr>
      <t xml:space="preserve">          (%)</t>
    </r>
  </si>
  <si>
    <t>Total (%)</t>
  </si>
  <si>
    <t>Mochilas Tacticas</t>
  </si>
  <si>
    <t>Mix de Productos</t>
  </si>
  <si>
    <t>Nombre del Producto</t>
  </si>
  <si>
    <t>Cantidad Vendida</t>
  </si>
  <si>
    <t>Precio de Venta Minorista</t>
  </si>
  <si>
    <t>Precio de Venta Mayorista</t>
  </si>
  <si>
    <t>% Participación por producto</t>
  </si>
  <si>
    <t>Mochila Tactica</t>
  </si>
  <si>
    <t>Calcular promedio ponderado de precios</t>
  </si>
  <si>
    <t>Vida Util</t>
  </si>
  <si>
    <t>MIX de Precios</t>
  </si>
  <si>
    <t>Crecimiento del mercado</t>
  </si>
  <si>
    <t>Capacidad instalada</t>
  </si>
  <si>
    <t>Proyección estimada de ventas del producto en los proximos 5 años</t>
  </si>
  <si>
    <t>Teniendo en cuenta que el porcentaje de ventas mayoristas es del 70% y de ventas minoristas el 30% de lo producido, y un aumento cada 3 meses del 12%</t>
  </si>
  <si>
    <t>Periodo</t>
  </si>
  <si>
    <t>Unidades vendidas</t>
  </si>
  <si>
    <t>Precio Mayorista</t>
  </si>
  <si>
    <t>Ventas Mayorista</t>
  </si>
  <si>
    <t>Precio Minorista</t>
  </si>
  <si>
    <t>Ventas Minorista</t>
  </si>
  <si>
    <t>Facturacion Mayorista</t>
  </si>
  <si>
    <t>Facturacion Minorista</t>
  </si>
  <si>
    <t>Facturacion Total</t>
  </si>
  <si>
    <t>1-3 meses</t>
  </si>
  <si>
    <t>$80.000</t>
  </si>
  <si>
    <t>$38,000.00</t>
  </si>
  <si>
    <t>$700,000.00</t>
  </si>
  <si>
    <t>$570,000.00</t>
  </si>
  <si>
    <t>$1,270,000.00</t>
  </si>
  <si>
    <t>4-6 meses</t>
  </si>
  <si>
    <t>$85.000</t>
  </si>
  <si>
    <t>$42,560.00</t>
  </si>
  <si>
    <t>$963,200.00</t>
  </si>
  <si>
    <t>$808,640.00</t>
  </si>
  <si>
    <t>$1,771,840.00</t>
  </si>
  <si>
    <t>7-9 meses</t>
  </si>
  <si>
    <t>$90.000</t>
  </si>
  <si>
    <t>$47,667.00</t>
  </si>
  <si>
    <t>$1,379,840.00</t>
  </si>
  <si>
    <t>$1,096,341.00</t>
  </si>
  <si>
    <t>$2,476,181.00</t>
  </si>
  <si>
    <t>10-12 meses</t>
  </si>
  <si>
    <t>$100.000</t>
  </si>
  <si>
    <t>$53,400.00</t>
  </si>
  <si>
    <t>$2,030,000.00</t>
  </si>
  <si>
    <t>$1,602,000.00</t>
  </si>
  <si>
    <t>$3,632,000.00</t>
  </si>
  <si>
    <t>Aclaracion: el segundo año comenzara con los mismos precios y se mantendra durante 6 meses para luego realizar un aumento del 9%</t>
  </si>
  <si>
    <t>1-6 meses</t>
  </si>
  <si>
    <t>$3,045,000.00</t>
  </si>
  <si>
    <t>$2,403,000.00</t>
  </si>
  <si>
    <t>$5,448,000.00</t>
  </si>
  <si>
    <t>7-12 meses</t>
  </si>
  <si>
    <t>$109.000</t>
  </si>
  <si>
    <t>$58,200.00</t>
  </si>
  <si>
    <t>$5,008,600.00</t>
  </si>
  <si>
    <t>$3,899,400.00</t>
  </si>
  <si>
    <t>$8,908,000.00</t>
  </si>
  <si>
    <t>Aclaracion: a partir del 3er año se produciran 300 unidades mensuales, lo que se mantendra durante el 4to y 5to año, iniciando este periodo con un aumento del 9%</t>
  </si>
  <si>
    <t>3,4 y 5</t>
  </si>
  <si>
    <t>1-36 meses</t>
  </si>
  <si>
    <t>$63,500.00</t>
  </si>
  <si>
    <t>$7,245,000.00</t>
  </si>
  <si>
    <t>$5,715,000.00</t>
  </si>
  <si>
    <t>$12,960,000.00</t>
  </si>
  <si>
    <r>
      <rPr>
        <rFont val="Calibri"/>
        <b/>
        <i/>
        <color theme="1"/>
        <sz val="10.0"/>
        <u/>
      </rPr>
      <t>(1) Mercado potencial</t>
    </r>
    <r>
      <rPr>
        <rFont val="Calibri"/>
        <color theme="1"/>
        <sz val="10.0"/>
      </rPr>
      <t>: Es el mercado donde se encuentra instalado nuestro producto o servicio</t>
    </r>
  </si>
  <si>
    <r>
      <rPr>
        <rFont val="Calibri"/>
        <b/>
        <i/>
        <color theme="1"/>
        <sz val="10.0"/>
        <u/>
      </rPr>
      <t>(2) Mercado meta</t>
    </r>
    <r>
      <rPr>
        <rFont val="Calibri"/>
        <color theme="1"/>
        <sz val="10.0"/>
      </rPr>
      <t>: es parte del mercado potencial o disponible que la empresa decide captar</t>
    </r>
  </si>
  <si>
    <t>Costo Fijos Fabricación</t>
  </si>
  <si>
    <t>Mano de Obra Indirecta</t>
  </si>
  <si>
    <t>Consumo Energetico fabril</t>
  </si>
  <si>
    <t>Horas laborables diarias</t>
  </si>
  <si>
    <t>Tipo de energia utilizada</t>
  </si>
  <si>
    <t>Electricidad</t>
  </si>
  <si>
    <t>Gas</t>
  </si>
  <si>
    <t>Cantidad de máquinas eléctricas</t>
  </si>
  <si>
    <t>Cantidad de máquinas a Gas</t>
  </si>
  <si>
    <t>Ambos</t>
  </si>
  <si>
    <t>Ninguno</t>
  </si>
  <si>
    <t>$ (KW HORA x Maquina)</t>
  </si>
  <si>
    <t>Consumo KW x hora x Maquina</t>
  </si>
  <si>
    <r>
      <rPr>
        <rFont val="Calibri"/>
        <color theme="1"/>
        <sz val="11.0"/>
      </rPr>
      <t>$ (</t>
    </r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  <r>
      <rPr>
        <rFont val="Calibri"/>
        <color theme="1"/>
        <sz val="10.0"/>
      </rPr>
      <t xml:space="preserve"> HORA x Maquina</t>
    </r>
    <r>
      <rPr>
        <rFont val="Calibri"/>
        <color theme="1"/>
        <sz val="11.0"/>
      </rPr>
      <t>)</t>
    </r>
  </si>
  <si>
    <t>Consumo M3 x hora x Máquina</t>
  </si>
  <si>
    <t>Consumo total energía eléctrica (anual)</t>
  </si>
  <si>
    <t>Consumo total gas (anual)</t>
  </si>
  <si>
    <t>Consumo de Energia Total Anual:</t>
  </si>
  <si>
    <t>Otros Gastos de Fabricación</t>
  </si>
  <si>
    <t>Detalle</t>
  </si>
  <si>
    <t>Alquiler</t>
  </si>
  <si>
    <t>$ / Año</t>
  </si>
  <si>
    <t>Repuestos y Lubricantes</t>
  </si>
  <si>
    <t>Costo Total Mano de Obra indirecta</t>
  </si>
  <si>
    <t>Gastos Fabricación Fijos</t>
  </si>
  <si>
    <t>Gastos Comercialización</t>
  </si>
  <si>
    <t>Gastos Comercialización Fijos</t>
  </si>
  <si>
    <t>Gastos Comercialización Variables</t>
  </si>
  <si>
    <t>Local</t>
  </si>
  <si>
    <t>Viajante</t>
  </si>
  <si>
    <t>Gastos Comerciales</t>
  </si>
  <si>
    <t>Año 1</t>
  </si>
  <si>
    <t>Ingresos Brutos</t>
  </si>
  <si>
    <t>Comisión Vendedor</t>
  </si>
  <si>
    <t>Variables Unitarios</t>
  </si>
  <si>
    <t>Total Sueldo Comercial Anual</t>
  </si>
  <si>
    <t>Precio al publico</t>
  </si>
  <si>
    <t>Precio x mayor</t>
  </si>
  <si>
    <t>Precio Promedio Ponderado (PPP)</t>
  </si>
  <si>
    <t>Año 2</t>
  </si>
  <si>
    <t>Costo Viatico y refrigerio x persona y día</t>
  </si>
  <si>
    <t>Días por mes</t>
  </si>
  <si>
    <t>Año 3</t>
  </si>
  <si>
    <t>Total Anual Viatico y refrigerios</t>
  </si>
  <si>
    <t>Total Sueldo comercial</t>
  </si>
  <si>
    <t>Consumo energetico area comercial</t>
  </si>
  <si>
    <t>Año 4</t>
  </si>
  <si>
    <t>Cantidad de locales comerciales</t>
  </si>
  <si>
    <t>KW por local</t>
  </si>
  <si>
    <t>Costo KWHR</t>
  </si>
  <si>
    <t>Año 5</t>
  </si>
  <si>
    <t>Sueldo Mensual</t>
  </si>
  <si>
    <t>Chofer de reparto</t>
  </si>
  <si>
    <t>Total Sueldo Transporte</t>
  </si>
  <si>
    <t>Otros Gastos Comerciales</t>
  </si>
  <si>
    <t>Papelería</t>
  </si>
  <si>
    <t>Publicidad</t>
  </si>
  <si>
    <t>Seguridad</t>
  </si>
  <si>
    <t>Mantenimiento</t>
  </si>
  <si>
    <t>Gasto de Combustible y Mantenimiento Annual</t>
  </si>
  <si>
    <t>Total transporte</t>
  </si>
  <si>
    <t>Gastos Administrativos Fijos</t>
  </si>
  <si>
    <t>Contador</t>
  </si>
  <si>
    <t>Total Sueldo Adm. Anual</t>
  </si>
  <si>
    <t>Total Sueldo administrativo</t>
  </si>
  <si>
    <t/>
  </si>
  <si>
    <t>Otros gastos administrativos</t>
  </si>
  <si>
    <t>Amortización Edificio</t>
  </si>
  <si>
    <t>Valor inicial</t>
  </si>
  <si>
    <t>Vida Util : 33 Años</t>
  </si>
  <si>
    <t>Valor Final</t>
  </si>
  <si>
    <t>Suma Cuotas</t>
  </si>
  <si>
    <t>Valor amortizable</t>
  </si>
  <si>
    <t>Cuota Número</t>
  </si>
  <si>
    <t>Valor Amortizable</t>
  </si>
  <si>
    <t>Amortización Creciente</t>
  </si>
  <si>
    <t>Valor Cuota</t>
  </si>
  <si>
    <t>Valor Residual por Cuota</t>
  </si>
  <si>
    <t>Amortización Muebles y Utiles</t>
  </si>
  <si>
    <t>Detalle de las muebles y útiles</t>
  </si>
  <si>
    <t>Vida Util : 5 Años</t>
  </si>
  <si>
    <t>Tipo de mueble</t>
  </si>
  <si>
    <t>Valor incial</t>
  </si>
  <si>
    <t>Valor final</t>
  </si>
  <si>
    <t>Cant de cuotas</t>
  </si>
  <si>
    <t>Creciente</t>
  </si>
  <si>
    <t>Decreciente</t>
  </si>
  <si>
    <t>DEFINIR SISTEMA</t>
  </si>
  <si>
    <t>Lineal</t>
  </si>
  <si>
    <t>Amortización Rodados</t>
  </si>
  <si>
    <t>Detalle de los rodados</t>
  </si>
  <si>
    <t>Tipo de vehiculo</t>
  </si>
  <si>
    <t>Amortización Informática</t>
  </si>
  <si>
    <t>Detalle de los equipos informáticos</t>
  </si>
  <si>
    <t>Vida Util : 3 Años</t>
  </si>
  <si>
    <t>Tipo de máquina</t>
  </si>
  <si>
    <t>Amortización Máquinas</t>
  </si>
  <si>
    <t>Detalle de las máquinarias</t>
  </si>
  <si>
    <t>Cantidad</t>
  </si>
  <si>
    <t>Costurera</t>
  </si>
  <si>
    <t>Activo no Corriente o Activo Fijo</t>
  </si>
  <si>
    <t>Valores Inciales y Residuales</t>
  </si>
  <si>
    <t>Año 0</t>
  </si>
  <si>
    <t>Edificio</t>
  </si>
  <si>
    <t>Muebles y utiles</t>
  </si>
  <si>
    <t>Rodados</t>
  </si>
  <si>
    <t>Informática</t>
  </si>
  <si>
    <t>Máquinas</t>
  </si>
  <si>
    <t>Inversión Activo Fijo</t>
  </si>
  <si>
    <t>IVA Crédito Fiscal</t>
  </si>
  <si>
    <t>Cuotas</t>
  </si>
  <si>
    <t>AMORTIZACIÓN</t>
  </si>
  <si>
    <t>Inversiones en Capital de Trabajo</t>
  </si>
  <si>
    <t>Disponibilidades mínimas en caja y Bancos</t>
  </si>
  <si>
    <t>Sueldo de tres meses</t>
  </si>
  <si>
    <t>Stock de Materias primas</t>
  </si>
  <si>
    <t>Materia Prima por 3 meses</t>
  </si>
  <si>
    <t>Iva Activo de Trabajo</t>
  </si>
  <si>
    <t>Total Activo de Trabajo sin IVA</t>
  </si>
  <si>
    <t>Activo de Trabajo</t>
  </si>
  <si>
    <t>Disponibilidades mínimas caja y bancos</t>
  </si>
  <si>
    <t>Crédito x ventas</t>
  </si>
  <si>
    <t>Bienes de Cambio</t>
  </si>
  <si>
    <t>Activo Corriente</t>
  </si>
  <si>
    <t>Deudas con proveedores</t>
  </si>
  <si>
    <t>Deudas bancarias corto plazo</t>
  </si>
  <si>
    <t>Deudas Impositivas</t>
  </si>
  <si>
    <t>Pasivo Corriente</t>
  </si>
  <si>
    <t>Capital de Trabajo</t>
  </si>
  <si>
    <t>Variación</t>
  </si>
  <si>
    <t>Flujo de Caja</t>
  </si>
  <si>
    <t>TIR Pura</t>
  </si>
  <si>
    <t>Inversion en Activo Fijo</t>
  </si>
  <si>
    <t>Inversion en activo de trabajo</t>
  </si>
  <si>
    <t>Credito Fiscal</t>
  </si>
  <si>
    <t>Impuesto a las ganancias</t>
  </si>
  <si>
    <t>Honorarios</t>
  </si>
  <si>
    <t>Total de Egresos</t>
  </si>
  <si>
    <t>Utilidades antes de I&amp;H&amp;I</t>
  </si>
  <si>
    <t>Amortizacion del Capital Fijo</t>
  </si>
  <si>
    <t>Recuperacion de Credito Fiscal</t>
  </si>
  <si>
    <t>Total de Ingresos</t>
  </si>
  <si>
    <t>Ingesos menos Egresos</t>
  </si>
  <si>
    <t>Ingresos menos Egresos Acumulados</t>
  </si>
  <si>
    <t>Aux</t>
  </si>
  <si>
    <t>Beneficio del Proyecto</t>
  </si>
  <si>
    <t>PRP</t>
  </si>
  <si>
    <t>Años</t>
  </si>
  <si>
    <t>Meses</t>
  </si>
  <si>
    <t>TIR</t>
  </si>
  <si>
    <t>VAN (0%)</t>
  </si>
  <si>
    <t>Tasa VAN</t>
  </si>
  <si>
    <t>TIR Modificada</t>
  </si>
  <si>
    <t>Intereses Ganados</t>
  </si>
  <si>
    <t>Intereses Pérdidos</t>
  </si>
  <si>
    <t>Intereses</t>
  </si>
  <si>
    <t>Beneficio del proyecto</t>
  </si>
  <si>
    <t>TIR modificada</t>
  </si>
  <si>
    <t>Fuentes y Usos</t>
  </si>
  <si>
    <t>USOS</t>
  </si>
  <si>
    <t>Importe</t>
  </si>
  <si>
    <t>FUENTES</t>
  </si>
  <si>
    <t>Indice Endeudamiento</t>
  </si>
  <si>
    <t>Préstamo</t>
  </si>
  <si>
    <t>Activo no Corriente</t>
  </si>
  <si>
    <t>Capital Social</t>
  </si>
  <si>
    <t>Crédito Fiscal</t>
  </si>
  <si>
    <t>Total Usos</t>
  </si>
  <si>
    <t>Fuentes</t>
  </si>
  <si>
    <t>Ponderación</t>
  </si>
  <si>
    <t>Tasa de impuesto a las ganancias</t>
  </si>
  <si>
    <t>Tasa de dividendos de los socios</t>
  </si>
  <si>
    <t>WACC =</t>
  </si>
  <si>
    <t>Tasa Nominal Anual</t>
  </si>
  <si>
    <t xml:space="preserve">Meses = </t>
  </si>
  <si>
    <t>Tasa Efectiva Anual</t>
  </si>
  <si>
    <t>Estado de Resultados Proyectados y Balance Proforma</t>
  </si>
  <si>
    <t>Estado de Resultados Proyectados</t>
  </si>
  <si>
    <t>$ unitario</t>
  </si>
  <si>
    <t>Total Año 1</t>
  </si>
  <si>
    <t>Total Año 2</t>
  </si>
  <si>
    <t>Total Año 3</t>
  </si>
  <si>
    <t>Total Año 4</t>
  </si>
  <si>
    <t>Total Año 5</t>
  </si>
  <si>
    <t>Ingresos por ventas</t>
  </si>
  <si>
    <t>Costo de ventas</t>
  </si>
  <si>
    <t>Costos variables comercialización</t>
  </si>
  <si>
    <t>Contribución Marginal</t>
  </si>
  <si>
    <t>Gastos de fabricación (fijos)</t>
  </si>
  <si>
    <t>Gastos de comercialización (fijos)</t>
  </si>
  <si>
    <t>Gastos administrativos (fijos)</t>
  </si>
  <si>
    <t>Utilidades antes de amortizaciones, honorarios intereses e impuesto a las ganancias (EBITDA)</t>
  </si>
  <si>
    <t>Cuota de amortización</t>
  </si>
  <si>
    <t>Utilidad antes de honorarios, intereses e impuesto a las ganancias</t>
  </si>
  <si>
    <t>Utilidad antes de intereses (BAII o EBIT)</t>
  </si>
  <si>
    <t>Intereses perdidos</t>
  </si>
  <si>
    <t>Intereses ganados</t>
  </si>
  <si>
    <t>Resultado antes de impuestos (BAI)</t>
  </si>
  <si>
    <t>Resultado operativo (BN)</t>
  </si>
  <si>
    <t>Balance General Pro Forma</t>
  </si>
  <si>
    <t>Cajas y bancos</t>
  </si>
  <si>
    <t>días de ventas</t>
  </si>
  <si>
    <t>Inversiones financieras</t>
  </si>
  <si>
    <t>Cuentas por cobrar</t>
  </si>
  <si>
    <t>Crédito Fiscal IVA</t>
  </si>
  <si>
    <t>Inventarios</t>
  </si>
  <si>
    <t>Activo corriente</t>
  </si>
  <si>
    <t>Bienes de uso</t>
  </si>
  <si>
    <t>Activo No Corriente</t>
  </si>
  <si>
    <t>Total Activo</t>
  </si>
  <si>
    <t>Cuentas por pagar</t>
  </si>
  <si>
    <t>Impuestos por pagar</t>
  </si>
  <si>
    <t>Prestamos Bancarios</t>
  </si>
  <si>
    <t>Pasivo No Corriente</t>
  </si>
  <si>
    <t>Total Pasivo</t>
  </si>
  <si>
    <t>Capital</t>
  </si>
  <si>
    <t>Resultados no asignados</t>
  </si>
  <si>
    <t>Resultados de ejercicio</t>
  </si>
  <si>
    <t>Total Patrimonio Neto</t>
  </si>
  <si>
    <t>Pasivo + Patrimonio Neto</t>
  </si>
  <si>
    <t>Prueba Cero</t>
  </si>
  <si>
    <t>Tasa de dividendos</t>
  </si>
  <si>
    <t>Dividendos</t>
  </si>
  <si>
    <t>Tasa de interés</t>
  </si>
  <si>
    <t>Prestamo</t>
  </si>
  <si>
    <t>Devolución</t>
  </si>
  <si>
    <t>Capital residual</t>
  </si>
  <si>
    <t>Variaciones del flujo de caja (cash flow)</t>
  </si>
  <si>
    <t>Variaciones activo no corriente</t>
  </si>
  <si>
    <t>Variaciones Pasivo no corriente</t>
  </si>
  <si>
    <t>Variaciones Pasivo corriente</t>
  </si>
  <si>
    <t>Variaciones Patrimonio Neto</t>
  </si>
  <si>
    <t>Variaciones Activo corriente</t>
  </si>
  <si>
    <t>Variaciones Créditos</t>
  </si>
  <si>
    <t>Variaciones stocks</t>
  </si>
  <si>
    <t>Variaciones IVA crédito fiscal</t>
  </si>
  <si>
    <t>Variaciones Caja y Bancos</t>
  </si>
  <si>
    <t>Patrimonio Neto Promedio (PNi+PNf)/2</t>
  </si>
  <si>
    <t>Activo Promedio (Ai + Af)/2</t>
  </si>
  <si>
    <t>APALANCAMIENTO (Activo promedio / Patrimonio Neto Promedio)</t>
  </si>
  <si>
    <t>ROTACIÓN DEL ACTIVO (Ventas / Activo Promedio)</t>
  </si>
  <si>
    <t>Margen sobre ventas (BN/VENTAS)</t>
  </si>
  <si>
    <t>ROE</t>
  </si>
  <si>
    <t>Rotación del Patrimonio Neto Promedio</t>
  </si>
  <si>
    <t>veces/año</t>
  </si>
  <si>
    <t>Beneficio Neto + Intereses*(1-T)</t>
  </si>
  <si>
    <t>ROA</t>
  </si>
  <si>
    <t>EFECTO PALANCA</t>
  </si>
  <si>
    <t>Rotación del activo corriente</t>
  </si>
  <si>
    <t>Rotación de créditos al cliente</t>
  </si>
  <si>
    <t>Rotación de existencias</t>
  </si>
  <si>
    <t>Punto de Equilibrio Económico</t>
  </si>
  <si>
    <t>Cf</t>
  </si>
  <si>
    <t>Pu</t>
  </si>
  <si>
    <t>Cvu TOTAL=</t>
  </si>
  <si>
    <t>$/u</t>
  </si>
  <si>
    <t>Cvu fab.</t>
  </si>
  <si>
    <t>GCVu</t>
  </si>
  <si>
    <t>Qo=</t>
  </si>
  <si>
    <t>UNIDADES</t>
  </si>
  <si>
    <t>Io=</t>
  </si>
  <si>
    <t>PESOS</t>
  </si>
  <si>
    <t>Q</t>
  </si>
  <si>
    <t>Ingreso Total</t>
  </si>
  <si>
    <t>Costo Fijo</t>
  </si>
  <si>
    <t>Costo Variable</t>
  </si>
  <si>
    <t>Costo Total</t>
  </si>
  <si>
    <t>Beneficio Total</t>
  </si>
  <si>
    <t>Qmáx.=</t>
  </si>
  <si>
    <t>Qo/Qmáx.=</t>
  </si>
  <si>
    <t>AÑO</t>
  </si>
  <si>
    <t>MESES</t>
  </si>
  <si>
    <t>DÍAS</t>
  </si>
  <si>
    <t>Punto de Equilibrio Financiero</t>
  </si>
  <si>
    <t>Cf Erogable</t>
  </si>
  <si>
    <t>Pu=</t>
  </si>
  <si>
    <t>Qof=</t>
  </si>
  <si>
    <t>Qof/Qmáx.=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</si>
</sst>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[$-2C0A]General"/>
    <numFmt numFmtId="165" formatCode="#,##0&quot; &quot;;&quot;-&quot;#,##0&quot; &quot;"/>
    <numFmt numFmtId="166" formatCode="_ &quot;$&quot;\ * #,##0.00_ ;_ &quot;$&quot;\ * \-#,##0.00_ ;_ &quot;$&quot;\ * &quot;-&quot;??_ ;_ @_ "/>
    <numFmt numFmtId="167" formatCode="_ * #,##0_ ;_ * \-#,##0_ ;_ * &quot;-&quot;??_ ;_ @_ "/>
    <numFmt numFmtId="168" formatCode="\ \$\ #,##0.00\ ;\ \$\ \-#,##0.00\ ;\ \$\ \-#\ "/>
    <numFmt numFmtId="169" formatCode="0.0000"/>
    <numFmt numFmtId="170" formatCode="#,##0\ ;\-#,##0\ "/>
    <numFmt numFmtId="171" formatCode="_ * #,##0.00_ ;_ * \-#,##0.00_ ;_ * &quot;-&quot;??_ ;_ @_ "/>
    <numFmt numFmtId="172" formatCode="_ * #,##0.000000_ ;_ * \-#,##0.000000_ ;_ * &quot;-&quot;??_ ;_ @_ "/>
    <numFmt numFmtId="173" formatCode="&quot;$&quot;#,##0.00;[Red]\(&quot;$&quot;#,##0.00\)"/>
    <numFmt numFmtId="174" formatCode="&quot;$&quot;\ #,##0;[Red]&quot;$&quot;\ \-#,##0"/>
    <numFmt numFmtId="175" formatCode="&quot;$&quot;\ #,##0.00;&quot;$&quot;\ \-#,##0.00"/>
    <numFmt numFmtId="176" formatCode="&quot;$&quot;\ #,##0.00"/>
    <numFmt numFmtId="177" formatCode="\$\ #,##0.00;[Red]\$\ \-#,##0.00"/>
    <numFmt numFmtId="178" formatCode="#,##0.0000000000\ ;[Red]\-#,##0.0000000000\ "/>
    <numFmt numFmtId="179" formatCode="#,##0.00_ ;\-#,##0.00\ "/>
    <numFmt numFmtId="180" formatCode="[$$]#,##0.00"/>
    <numFmt numFmtId="181" formatCode="#,##0\ ;[Red]\-#,##0\ "/>
    <numFmt numFmtId="182" formatCode="#,##0.00\ [$€-1]"/>
  </numFmts>
  <fonts count="50">
    <font>
      <sz val="10.0"/>
      <color rgb="FF000000"/>
      <name val="Arial"/>
      <scheme val="minor"/>
    </font>
    <font>
      <b/>
      <i/>
      <sz val="10.0"/>
      <color theme="1"/>
      <name val="Calibri"/>
    </font>
    <font>
      <b/>
      <i/>
      <sz val="11.0"/>
      <color theme="1"/>
      <name val="Calibri"/>
    </font>
    <font>
      <b/>
      <i/>
      <sz val="25.0"/>
      <color theme="1"/>
      <name val="Calibri"/>
    </font>
    <font>
      <b/>
      <i/>
      <sz val="26.0"/>
      <color theme="1"/>
      <name val="Calibri"/>
    </font>
    <font>
      <b/>
      <i/>
      <sz val="26.0"/>
      <color rgb="FFFF0000"/>
      <name val="Calibri"/>
    </font>
    <font>
      <b/>
      <i/>
      <sz val="19.0"/>
      <color rgb="FFFF0000"/>
      <name val="Calibri"/>
    </font>
    <font>
      <b/>
      <i/>
      <sz val="19.0"/>
      <color rgb="FFFFFFFF"/>
      <name val="Calibri"/>
    </font>
    <font>
      <b/>
      <i/>
      <u/>
      <sz val="17.0"/>
      <color theme="1"/>
      <name val="Calibri"/>
    </font>
    <font>
      <b/>
      <i/>
      <sz val="17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b/>
      <i/>
      <sz val="18.0"/>
      <color theme="1"/>
      <name val="Calibri"/>
    </font>
    <font>
      <sz val="10.0"/>
      <color theme="1"/>
      <name val="Calibri"/>
    </font>
    <font>
      <b/>
      <i/>
      <u/>
      <sz val="14.0"/>
      <color theme="1"/>
      <name val="Calibri"/>
    </font>
    <font>
      <sz val="10.0"/>
      <color rgb="FF000000"/>
      <name val="Calibri"/>
    </font>
    <font>
      <b/>
      <i/>
      <u/>
      <sz val="14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b/>
      <sz val="10.0"/>
      <color rgb="FFFF0000"/>
      <name val="Calibri"/>
    </font>
    <font>
      <b/>
      <sz val="10.0"/>
      <color theme="1"/>
      <name val="Calibri"/>
    </font>
    <font>
      <i/>
      <sz val="10.0"/>
      <color rgb="FF000000"/>
      <name val="Calibri"/>
    </font>
    <font>
      <color theme="1"/>
      <name val="Arial"/>
    </font>
    <font>
      <b/>
      <i/>
      <u/>
      <sz val="14.0"/>
      <color theme="1"/>
      <name val="Calibri"/>
    </font>
    <font>
      <color theme="1"/>
      <name val="Calibri"/>
    </font>
    <font/>
    <font>
      <b/>
      <color theme="1"/>
      <name val="Calibri"/>
    </font>
    <font>
      <b/>
      <color rgb="FFFF0000"/>
      <name val="Calibri"/>
    </font>
    <font>
      <b/>
      <i/>
      <sz val="12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0.0"/>
      <color rgb="FFA5A5A5"/>
      <name val="Calibri"/>
    </font>
    <font>
      <sz val="9.0"/>
      <color rgb="FF000000"/>
      <name val="Calibri"/>
    </font>
    <font>
      <sz val="11.0"/>
      <color theme="1"/>
      <name val="Calibri"/>
    </font>
    <font>
      <u/>
      <sz val="10.0"/>
      <color rgb="FF000000"/>
      <name val="Calibri"/>
    </font>
    <font>
      <sz val="10.0"/>
      <color theme="1"/>
      <name val="Arial"/>
    </font>
    <font>
      <sz val="11.0"/>
      <color rgb="FF000000"/>
      <name val="Calibri"/>
    </font>
    <font>
      <b/>
      <u/>
      <sz val="12.0"/>
      <color rgb="FF000000"/>
      <name val="Calibri"/>
    </font>
    <font>
      <i/>
      <u/>
      <sz val="11.0"/>
      <color rgb="FF000000"/>
      <name val="Calibri"/>
    </font>
    <font>
      <b/>
      <u/>
      <sz val="10.0"/>
      <color rgb="FF000000"/>
      <name val="Calibri"/>
    </font>
    <font>
      <i/>
      <u/>
      <sz val="11.0"/>
      <color rgb="FF000000"/>
      <name val="Calibri"/>
    </font>
    <font>
      <sz val="10.0"/>
      <color rgb="FF969696"/>
      <name val="Calibri"/>
    </font>
    <font>
      <b/>
      <u/>
      <sz val="14.0"/>
      <color rgb="FF000000"/>
      <name val="Calibri"/>
    </font>
    <font>
      <sz val="11.0"/>
      <color rgb="FFFFFFFF"/>
      <name val="Calibri"/>
    </font>
    <font>
      <sz val="10.0"/>
      <color rgb="FFFFFFFF"/>
      <name val="Arial"/>
    </font>
    <font>
      <sz val="10.0"/>
      <color rgb="FFFFFFFF"/>
      <name val="Calibri"/>
    </font>
    <font>
      <b/>
      <sz val="10.0"/>
      <color rgb="FFFF0000"/>
      <name val="Arial"/>
    </font>
    <font>
      <b/>
      <u/>
      <sz val="11.0"/>
      <color rgb="FF000000"/>
      <name val="Calibri"/>
    </font>
    <font>
      <sz val="10.0"/>
      <color rgb="FFFF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9900"/>
        <bgColor rgb="FFFF9900"/>
      </patternFill>
    </fill>
    <fill>
      <patternFill patternType="solid">
        <fgColor rgb="FFE5B8B7"/>
        <bgColor rgb="FFE5B8B7"/>
      </patternFill>
    </fill>
    <fill>
      <patternFill patternType="solid">
        <fgColor rgb="FFFF8080"/>
        <bgColor rgb="FFFF8080"/>
      </patternFill>
    </fill>
    <fill>
      <patternFill patternType="solid">
        <fgColor rgb="FFCCC0D9"/>
        <bgColor rgb="FFCCC0D9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FF99CC"/>
        <bgColor rgb="FFFF99CC"/>
      </patternFill>
    </fill>
    <fill>
      <patternFill patternType="solid">
        <fgColor rgb="FFBFBFBF"/>
        <bgColor rgb="FFBFBFBF"/>
      </patternFill>
    </fill>
    <fill>
      <patternFill patternType="solid">
        <fgColor rgb="FFFFCC00"/>
        <bgColor rgb="FFFFCC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</fills>
  <borders count="41">
    <border/>
    <border>
      <left/>
      <right/>
      <top/>
      <bottom/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bottom" wrapText="1"/>
    </xf>
    <xf borderId="3" fillId="0" fontId="10" numFmtId="0" xfId="0" applyAlignment="1" applyBorder="1" applyFont="1">
      <alignment horizontal="center" readingOrder="0"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3" fillId="3" fontId="11" numFmtId="0" xfId="0" applyAlignment="1" applyBorder="1" applyFill="1" applyFont="1">
      <alignment horizontal="center" readingOrder="0" shrinkToFit="0" wrapText="1"/>
    </xf>
    <xf borderId="5" fillId="0" fontId="10" numFmtId="0" xfId="0" applyAlignment="1" applyBorder="1" applyFont="1">
      <alignment horizontal="center" readingOrder="0" shrinkToFit="0" vertical="bottom" wrapText="1"/>
    </xf>
    <xf borderId="4" fillId="0" fontId="10" numFmtId="0" xfId="0" applyAlignment="1" applyBorder="1" applyFont="1">
      <alignment horizontal="center" readingOrder="0" shrinkToFit="0" vertical="bottom" wrapText="1"/>
    </xf>
    <xf borderId="6" fillId="0" fontId="10" numFmtId="0" xfId="0" applyAlignment="1" applyBorder="1" applyFont="1">
      <alignment horizontal="center" shrinkToFit="0" vertical="bottom" wrapText="1"/>
    </xf>
    <xf borderId="3" fillId="0" fontId="10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10" fillId="0" fontId="9" numFmtId="0" xfId="0" applyAlignment="1" applyBorder="1" applyFont="1">
      <alignment shrinkToFit="0" vertical="center" wrapText="0"/>
    </xf>
    <xf borderId="10" fillId="0" fontId="12" numFmtId="0" xfId="0" applyAlignment="1" applyBorder="1" applyFont="1">
      <alignment horizontal="left" shrinkToFit="0" vertical="bottom" wrapText="0"/>
    </xf>
    <xf borderId="11" fillId="0" fontId="9" numFmtId="0" xfId="0" applyAlignment="1" applyBorder="1" applyFont="1">
      <alignment shrinkToFit="0" vertical="center" wrapText="0"/>
    </xf>
    <xf borderId="11" fillId="0" fontId="12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center" wrapText="0"/>
    </xf>
    <xf borderId="12" fillId="0" fontId="12" numFmtId="0" xfId="0" applyAlignment="1" applyBorder="1" applyFont="1">
      <alignment shrinkToFit="0" vertical="bottom" wrapText="0"/>
    </xf>
    <xf borderId="1" fillId="2" fontId="13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13" fillId="4" fontId="13" numFmtId="0" xfId="0" applyAlignment="1" applyBorder="1" applyFill="1" applyFont="1">
      <alignment shrinkToFit="0" vertical="bottom" wrapText="0"/>
    </xf>
    <xf borderId="13" fillId="0" fontId="15" numFmtId="9" xfId="0" applyAlignment="1" applyBorder="1" applyFont="1" applyNumberFormat="1">
      <alignment readingOrder="0" shrinkToFit="0" vertical="bottom" wrapText="0"/>
    </xf>
    <xf borderId="14" fillId="4" fontId="15" numFmtId="164" xfId="0" applyAlignment="1" applyBorder="1" applyFont="1" applyNumberFormat="1">
      <alignment shrinkToFit="0" vertical="bottom" wrapText="0"/>
    </xf>
    <xf borderId="13" fillId="0" fontId="15" numFmtId="165" xfId="0" applyAlignment="1" applyBorder="1" applyFont="1" applyNumberFormat="1">
      <alignment readingOrder="0" shrinkToFit="0" vertical="bottom" wrapText="0"/>
    </xf>
    <xf borderId="13" fillId="4" fontId="15" numFmtId="165" xfId="0" applyAlignment="1" applyBorder="1" applyFont="1" applyNumberFormat="1">
      <alignment shrinkToFit="0" vertical="bottom" wrapText="0"/>
    </xf>
    <xf borderId="13" fillId="4" fontId="15" numFmtId="0" xfId="0" applyAlignment="1" applyBorder="1" applyFont="1">
      <alignment shrinkToFit="0" vertical="bottom" wrapText="0"/>
    </xf>
    <xf borderId="13" fillId="0" fontId="15" numFmtId="166" xfId="0" applyAlignment="1" applyBorder="1" applyFont="1" applyNumberFormat="1">
      <alignment readingOrder="0" shrinkToFit="0" vertical="bottom" wrapText="0"/>
    </xf>
    <xf borderId="13" fillId="4" fontId="15" numFmtId="9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7" xfId="0" applyAlignment="1" applyFont="1" applyNumberFormat="1">
      <alignment shrinkToFit="0" vertical="bottom" wrapText="0"/>
    </xf>
    <xf borderId="13" fillId="0" fontId="15" numFmtId="0" xfId="0" applyAlignment="1" applyBorder="1" applyFont="1">
      <alignment shrinkToFit="0" vertical="bottom" wrapText="0"/>
    </xf>
    <xf borderId="13" fillId="4" fontId="13" numFmtId="0" xfId="0" applyAlignment="1" applyBorder="1" applyFont="1">
      <alignment horizontal="left" shrinkToFit="0" vertical="center" wrapText="1"/>
    </xf>
    <xf borderId="1" fillId="2" fontId="15" numFmtId="0" xfId="0" applyAlignment="1" applyBorder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7" numFmtId="0" xfId="0" applyAlignment="1" applyFont="1">
      <alignment horizontal="center" shrinkToFit="0" vertical="bottom" wrapText="0"/>
    </xf>
    <xf borderId="0" fillId="0" fontId="18" numFmtId="0" xfId="0" applyAlignment="1" applyFont="1">
      <alignment shrinkToFit="0" vertical="bottom" wrapText="0"/>
    </xf>
    <xf borderId="0" fillId="0" fontId="11" numFmtId="164" xfId="0" applyAlignment="1" applyFont="1" applyNumberFormat="1">
      <alignment shrinkToFit="0" vertical="bottom" wrapText="0"/>
    </xf>
    <xf borderId="13" fillId="5" fontId="13" numFmtId="0" xfId="0" applyAlignment="1" applyBorder="1" applyFill="1" applyFont="1">
      <alignment horizontal="center" shrinkToFit="0" vertical="center" wrapText="1"/>
    </xf>
    <xf borderId="13" fillId="5" fontId="13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readingOrder="0" shrinkToFit="0" vertical="bottom" wrapText="0"/>
    </xf>
    <xf borderId="13" fillId="0" fontId="15" numFmtId="166" xfId="0" applyAlignment="1" applyBorder="1" applyFont="1" applyNumberFormat="1">
      <alignment horizontal="center" readingOrder="0" shrinkToFit="0" vertical="bottom" wrapText="0"/>
    </xf>
    <xf borderId="13" fillId="0" fontId="15" numFmtId="0" xfId="0" applyAlignment="1" applyBorder="1" applyFont="1">
      <alignment readingOrder="0" shrinkToFit="0" vertical="bottom" wrapText="0"/>
    </xf>
    <xf borderId="13" fillId="4" fontId="15" numFmtId="166" xfId="0" applyAlignment="1" applyBorder="1" applyFont="1" applyNumberFormat="1">
      <alignment horizontal="center" shrinkToFit="0" vertical="bottom" wrapText="0"/>
    </xf>
    <xf borderId="13" fillId="0" fontId="15" numFmtId="166" xfId="0" applyAlignment="1" applyBorder="1" applyFont="1" applyNumberFormat="1">
      <alignment horizontal="right" readingOrder="0" shrinkToFit="0" vertical="bottom" wrapText="0"/>
    </xf>
    <xf borderId="0" fillId="0" fontId="15" numFmtId="168" xfId="0" applyAlignment="1" applyFont="1" applyNumberFormat="1">
      <alignment horizontal="center" shrinkToFit="0" vertical="bottom" wrapText="0"/>
    </xf>
    <xf borderId="13" fillId="0" fontId="15" numFmtId="0" xfId="0" applyAlignment="1" applyBorder="1" applyFont="1">
      <alignment horizontal="left" shrinkToFit="0" vertical="bottom" wrapText="0"/>
    </xf>
    <xf borderId="13" fillId="0" fontId="15" numFmtId="166" xfId="0" applyAlignment="1" applyBorder="1" applyFont="1" applyNumberFormat="1">
      <alignment horizontal="center" shrinkToFit="0" vertical="bottom" wrapText="0"/>
    </xf>
    <xf borderId="0" fillId="0" fontId="17" numFmtId="168" xfId="0" applyAlignment="1" applyFont="1" applyNumberFormat="1">
      <alignment horizontal="center" shrinkToFit="0" vertical="bottom" wrapText="0"/>
    </xf>
    <xf borderId="15" fillId="0" fontId="15" numFmtId="0" xfId="0" applyAlignment="1" applyBorder="1" applyFont="1">
      <alignment horizontal="left" shrinkToFit="0" vertical="bottom" wrapText="0"/>
    </xf>
    <xf borderId="16" fillId="0" fontId="15" numFmtId="166" xfId="0" applyAlignment="1" applyBorder="1" applyFont="1" applyNumberFormat="1">
      <alignment horizontal="center" shrinkToFit="0" vertical="bottom" wrapText="0"/>
    </xf>
    <xf borderId="15" fillId="0" fontId="15" numFmtId="0" xfId="0" applyAlignment="1" applyBorder="1" applyFont="1">
      <alignment shrinkToFit="0" vertical="bottom" wrapText="0"/>
    </xf>
    <xf borderId="17" fillId="4" fontId="15" numFmtId="166" xfId="0" applyAlignment="1" applyBorder="1" applyFont="1" applyNumberFormat="1">
      <alignment horizontal="center" shrinkToFit="0" vertical="bottom" wrapText="0"/>
    </xf>
    <xf borderId="14" fillId="6" fontId="17" numFmtId="0" xfId="0" applyAlignment="1" applyBorder="1" applyFill="1" applyFont="1">
      <alignment shrinkToFit="0" vertical="bottom" wrapText="0"/>
    </xf>
    <xf borderId="18" fillId="6" fontId="19" numFmtId="0" xfId="0" applyAlignment="1" applyBorder="1" applyFont="1">
      <alignment horizontal="right" shrinkToFit="0" vertical="bottom" wrapText="0"/>
    </xf>
    <xf borderId="13" fillId="6" fontId="20" numFmtId="0" xfId="0" applyAlignment="1" applyBorder="1" applyFont="1">
      <alignment shrinkToFit="0" vertical="bottom" wrapText="0"/>
    </xf>
    <xf borderId="13" fillId="6" fontId="20" numFmtId="166" xfId="0" applyAlignment="1" applyBorder="1" applyFont="1" applyNumberFormat="1">
      <alignment horizontal="center" shrinkToFit="0" vertical="bottom" wrapText="0"/>
    </xf>
    <xf borderId="19" fillId="6" fontId="17" numFmtId="0" xfId="0" applyAlignment="1" applyBorder="1" applyFont="1">
      <alignment shrinkToFit="0" vertical="bottom" wrapText="0"/>
    </xf>
    <xf borderId="18" fillId="6" fontId="17" numFmtId="0" xfId="0" applyAlignment="1" applyBorder="1" applyFont="1">
      <alignment shrinkToFit="0" vertical="bottom" wrapText="0"/>
    </xf>
    <xf borderId="13" fillId="6" fontId="17" numFmtId="166" xfId="0" applyAlignment="1" applyBorder="1" applyFont="1" applyNumberFormat="1">
      <alignment horizontal="center" shrinkToFit="0" vertical="bottom" wrapText="0"/>
    </xf>
    <xf borderId="14" fillId="7" fontId="17" numFmtId="0" xfId="0" applyAlignment="1" applyBorder="1" applyFill="1" applyFont="1">
      <alignment shrinkToFit="0" vertical="bottom" wrapText="0"/>
    </xf>
    <xf borderId="19" fillId="7" fontId="17" numFmtId="0" xfId="0" applyAlignment="1" applyBorder="1" applyFont="1">
      <alignment shrinkToFit="0" vertical="bottom" wrapText="0"/>
    </xf>
    <xf borderId="18" fillId="7" fontId="17" numFmtId="0" xfId="0" applyAlignment="1" applyBorder="1" applyFont="1">
      <alignment shrinkToFit="0" vertical="bottom" wrapText="0"/>
    </xf>
    <xf borderId="13" fillId="7" fontId="17" numFmtId="166" xfId="0" applyAlignment="1" applyBorder="1" applyFont="1" applyNumberFormat="1">
      <alignment horizontal="center" shrinkToFit="0" vertical="bottom" wrapText="0"/>
    </xf>
    <xf borderId="13" fillId="4" fontId="15" numFmtId="0" xfId="0" applyAlignment="1" applyBorder="1" applyFont="1">
      <alignment horizontal="left" shrinkToFit="0" vertical="bottom" wrapText="0"/>
    </xf>
    <xf borderId="20" fillId="0" fontId="15" numFmtId="0" xfId="0" applyAlignment="1" applyBorder="1" applyFont="1">
      <alignment readingOrder="0" shrinkToFit="0" vertical="bottom" wrapText="0"/>
    </xf>
    <xf borderId="21" fillId="4" fontId="15" numFmtId="166" xfId="0" applyAlignment="1" applyBorder="1" applyFont="1" applyNumberFormat="1">
      <alignment shrinkToFit="0" vertical="bottom" wrapText="0"/>
    </xf>
    <xf borderId="13" fillId="4" fontId="15" numFmtId="166" xfId="0" applyAlignment="1" applyBorder="1" applyFont="1" applyNumberFormat="1">
      <alignment shrinkToFit="0" vertical="bottom" wrapText="0"/>
    </xf>
    <xf borderId="18" fillId="7" fontId="17" numFmtId="9" xfId="0" applyAlignment="1" applyBorder="1" applyFont="1" applyNumberFormat="1">
      <alignment shrinkToFit="0" vertical="bottom" wrapText="0"/>
    </xf>
    <xf borderId="13" fillId="0" fontId="15" numFmtId="169" xfId="0" applyAlignment="1" applyBorder="1" applyFont="1" applyNumberFormat="1">
      <alignment readingOrder="0" shrinkToFit="0" vertical="bottom" wrapText="0"/>
    </xf>
    <xf borderId="14" fillId="4" fontId="15" numFmtId="0" xfId="0" applyAlignment="1" applyBorder="1" applyFont="1">
      <alignment shrinkToFit="0" vertical="bottom" wrapText="0"/>
    </xf>
    <xf borderId="19" fillId="4" fontId="15" numFmtId="0" xfId="0" applyAlignment="1" applyBorder="1" applyFont="1">
      <alignment shrinkToFit="0" vertical="bottom" wrapText="0"/>
    </xf>
    <xf borderId="18" fillId="4" fontId="15" numFmtId="0" xfId="0" applyAlignment="1" applyBorder="1" applyFont="1">
      <alignment shrinkToFit="0" vertical="bottom" wrapText="0"/>
    </xf>
    <xf borderId="13" fillId="4" fontId="15" numFmtId="170" xfId="0" applyAlignment="1" applyBorder="1" applyFont="1" applyNumberFormat="1">
      <alignment shrinkToFit="0" vertical="bottom" wrapText="0"/>
    </xf>
    <xf borderId="0" fillId="0" fontId="21" numFmtId="0" xfId="0" applyAlignment="1" applyFont="1">
      <alignment shrinkToFit="0" vertical="bottom" wrapText="0"/>
    </xf>
    <xf borderId="18" fillId="7" fontId="17" numFmtId="0" xfId="0" applyAlignment="1" applyBorder="1" applyFont="1">
      <alignment horizontal="center" shrinkToFit="0" vertical="bottom" wrapText="0"/>
    </xf>
    <xf borderId="13" fillId="7" fontId="17" numFmtId="171" xfId="0" applyAlignment="1" applyBorder="1" applyFont="1" applyNumberFormat="1">
      <alignment horizontal="center" shrinkToFit="0" vertical="bottom" wrapText="0"/>
    </xf>
    <xf borderId="0" fillId="0" fontId="17" numFmtId="0" xfId="0" applyAlignment="1" applyFont="1">
      <alignment shrinkToFit="0" vertical="bottom" wrapText="0"/>
    </xf>
    <xf borderId="14" fillId="8" fontId="17" numFmtId="0" xfId="0" applyAlignment="1" applyBorder="1" applyFill="1" applyFont="1">
      <alignment shrinkToFit="0" vertical="bottom" wrapText="0"/>
    </xf>
    <xf borderId="19" fillId="8" fontId="17" numFmtId="0" xfId="0" applyAlignment="1" applyBorder="1" applyFont="1">
      <alignment shrinkToFit="0" vertical="bottom" wrapText="0"/>
    </xf>
    <xf borderId="18" fillId="8" fontId="17" numFmtId="0" xfId="0" applyAlignment="1" applyBorder="1" applyFont="1">
      <alignment shrinkToFit="0" vertical="bottom" wrapText="0"/>
    </xf>
    <xf borderId="13" fillId="8" fontId="17" numFmtId="166" xfId="0" applyAlignment="1" applyBorder="1" applyFont="1" applyNumberFormat="1">
      <alignment horizontal="center" shrinkToFit="0" vertical="bottom" wrapText="0"/>
    </xf>
    <xf borderId="13" fillId="8" fontId="17" numFmtId="10" xfId="0" applyAlignment="1" applyBorder="1" applyFont="1" applyNumberFormat="1">
      <alignment shrinkToFit="0" vertical="bottom" wrapText="0"/>
    </xf>
    <xf borderId="1" fillId="2" fontId="15" numFmtId="171" xfId="0" applyAlignment="1" applyBorder="1" applyFont="1" applyNumberFormat="1">
      <alignment shrinkToFit="0" vertical="bottom" wrapText="0"/>
    </xf>
    <xf borderId="1" fillId="2" fontId="15" numFmtId="168" xfId="0" applyAlignment="1" applyBorder="1" applyFont="1" applyNumberFormat="1">
      <alignment shrinkToFit="0" vertical="bottom" wrapText="0"/>
    </xf>
    <xf borderId="1" fillId="2" fontId="21" numFmtId="0" xfId="0" applyAlignment="1" applyBorder="1" applyFont="1">
      <alignment shrinkToFit="0" vertical="bottom" wrapText="0"/>
    </xf>
    <xf borderId="1" fillId="2" fontId="13" numFmtId="166" xfId="0" applyAlignment="1" applyBorder="1" applyFont="1" applyNumberFormat="1">
      <alignment shrinkToFit="0" vertical="bottom" wrapText="0"/>
    </xf>
    <xf borderId="1" fillId="2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22" fillId="5" fontId="24" numFmtId="0" xfId="0" applyAlignment="1" applyBorder="1" applyFont="1">
      <alignment horizontal="center" shrinkToFit="0" vertical="center" wrapText="1"/>
    </xf>
    <xf borderId="23" fillId="0" fontId="25" numFmtId="0" xfId="0" applyBorder="1" applyFont="1"/>
    <xf borderId="13" fillId="5" fontId="24" numFmtId="0" xfId="0" applyAlignment="1" applyBorder="1" applyFont="1">
      <alignment horizontal="center" shrinkToFit="0" vertical="center" wrapText="1"/>
    </xf>
    <xf borderId="22" fillId="0" fontId="24" numFmtId="0" xfId="0" applyAlignment="1" applyBorder="1" applyFont="1">
      <alignment shrinkToFit="0" vertical="bottom" wrapText="1"/>
    </xf>
    <xf borderId="22" fillId="0" fontId="24" numFmtId="167" xfId="0" applyAlignment="1" applyBorder="1" applyFont="1" applyNumberFormat="1">
      <alignment horizontal="center" shrinkToFit="0" wrapText="1"/>
    </xf>
    <xf borderId="13" fillId="0" fontId="24" numFmtId="10" xfId="0" applyAlignment="1" applyBorder="1" applyFont="1" applyNumberFormat="1">
      <alignment horizontal="right" readingOrder="0" vertical="bottom"/>
    </xf>
    <xf borderId="18" fillId="4" fontId="24" numFmtId="167" xfId="0" applyAlignment="1" applyBorder="1" applyFont="1" applyNumberFormat="1">
      <alignment horizontal="center" shrinkToFit="0" wrapText="1"/>
    </xf>
    <xf borderId="13" fillId="4" fontId="24" numFmtId="10" xfId="0" applyAlignment="1" applyBorder="1" applyFont="1" applyNumberFormat="1">
      <alignment horizontal="right" readingOrder="0" vertical="bottom"/>
    </xf>
    <xf borderId="13" fillId="4" fontId="24" numFmtId="10" xfId="0" applyAlignment="1" applyBorder="1" applyFont="1" applyNumberFormat="1">
      <alignment horizontal="right" vertical="bottom"/>
    </xf>
    <xf borderId="0" fillId="0" fontId="22" numFmtId="171" xfId="0" applyAlignment="1" applyFont="1" applyNumberFormat="1">
      <alignment vertical="bottom"/>
    </xf>
    <xf borderId="0" fillId="0" fontId="26" numFmtId="0" xfId="0" applyAlignment="1" applyFont="1">
      <alignment vertical="bottom"/>
    </xf>
    <xf borderId="22" fillId="0" fontId="24" numFmtId="164" xfId="0" applyAlignment="1" applyBorder="1" applyFont="1" applyNumberFormat="1">
      <alignment vertical="bottom"/>
    </xf>
    <xf borderId="13" fillId="0" fontId="24" numFmtId="171" xfId="0" applyAlignment="1" applyBorder="1" applyFont="1" applyNumberFormat="1">
      <alignment horizontal="right" vertical="bottom"/>
    </xf>
    <xf borderId="13" fillId="0" fontId="24" numFmtId="166" xfId="0" applyAlignment="1" applyBorder="1" applyFont="1" applyNumberFormat="1">
      <alignment horizontal="right" readingOrder="0" vertical="bottom"/>
    </xf>
    <xf borderId="13" fillId="0" fontId="24" numFmtId="9" xfId="0" applyAlignment="1" applyBorder="1" applyFont="1" applyNumberFormat="1">
      <alignment horizontal="right" vertical="bottom"/>
    </xf>
    <xf borderId="22" fillId="0" fontId="22" numFmtId="164" xfId="0" applyAlignment="1" applyBorder="1" applyFont="1" applyNumberFormat="1">
      <alignment vertical="bottom"/>
    </xf>
    <xf borderId="13" fillId="0" fontId="22" numFmtId="171" xfId="0" applyAlignment="1" applyBorder="1" applyFont="1" applyNumberFormat="1">
      <alignment vertical="bottom"/>
    </xf>
    <xf borderId="13" fillId="0" fontId="22" numFmtId="166" xfId="0" applyAlignment="1" applyBorder="1" applyFont="1" applyNumberFormat="1">
      <alignment vertical="bottom"/>
    </xf>
    <xf borderId="13" fillId="4" fontId="24" numFmtId="167" xfId="0" applyAlignment="1" applyBorder="1" applyFont="1" applyNumberFormat="1">
      <alignment horizontal="right" vertical="bottom"/>
    </xf>
    <xf borderId="13" fillId="4" fontId="24" numFmtId="166" xfId="0" applyAlignment="1" applyBorder="1" applyFont="1" applyNumberFormat="1">
      <alignment horizontal="right" vertical="bottom"/>
    </xf>
    <xf borderId="0" fillId="0" fontId="27" numFmtId="171" xfId="0" applyAlignment="1" applyFont="1" applyNumberFormat="1">
      <alignment vertical="bottom"/>
    </xf>
    <xf borderId="0" fillId="0" fontId="24" numFmtId="0" xfId="0" applyAlignment="1" applyFont="1">
      <alignment vertical="bottom"/>
    </xf>
    <xf borderId="13" fillId="4" fontId="24" numFmtId="0" xfId="0" applyAlignment="1" applyBorder="1" applyFont="1">
      <alignment horizontal="center" shrinkToFit="0" wrapText="1"/>
    </xf>
    <xf borderId="19" fillId="4" fontId="24" numFmtId="166" xfId="0" applyAlignment="1" applyBorder="1" applyFont="1" applyNumberFormat="1">
      <alignment horizontal="right" vertical="bottom"/>
    </xf>
    <xf borderId="13" fillId="4" fontId="24" numFmtId="9" xfId="0" applyAlignment="1" applyBorder="1" applyFont="1" applyNumberFormat="1">
      <alignment horizontal="right" readingOrder="0" vertical="bottom"/>
    </xf>
    <xf borderId="19" fillId="4" fontId="24" numFmtId="171" xfId="0" applyAlignment="1" applyBorder="1" applyFont="1" applyNumberFormat="1">
      <alignment horizontal="right" vertical="bottom"/>
    </xf>
    <xf borderId="0" fillId="0" fontId="22" numFmtId="9" xfId="0" applyAlignment="1" applyFont="1" applyNumberFormat="1">
      <alignment vertical="bottom"/>
    </xf>
    <xf borderId="13" fillId="0" fontId="22" numFmtId="9" xfId="0" applyAlignment="1" applyBorder="1" applyFont="1" applyNumberFormat="1">
      <alignment readingOrder="0" vertical="bottom"/>
    </xf>
    <xf borderId="24" fillId="4" fontId="24" numFmtId="171" xfId="0" applyAlignment="1" applyBorder="1" applyFont="1" applyNumberFormat="1">
      <alignment horizontal="right" vertical="bottom"/>
    </xf>
    <xf borderId="0" fillId="0" fontId="22" numFmtId="172" xfId="0" applyAlignment="1" applyFont="1" applyNumberFormat="1">
      <alignment vertical="bottom"/>
    </xf>
    <xf borderId="13" fillId="4" fontId="24" numFmtId="9" xfId="0" applyAlignment="1" applyBorder="1" applyFont="1" applyNumberFormat="1">
      <alignment horizontal="right" vertical="bottom"/>
    </xf>
    <xf borderId="0" fillId="0" fontId="22" numFmtId="0" xfId="0" applyFont="1"/>
    <xf borderId="0" fillId="0" fontId="22" numFmtId="10" xfId="0" applyAlignment="1" applyFont="1" applyNumberFormat="1">
      <alignment vertical="bottom"/>
    </xf>
    <xf borderId="0" fillId="0" fontId="28" numFmtId="0" xfId="0" applyAlignment="1" applyFont="1">
      <alignment vertical="top"/>
    </xf>
    <xf borderId="13" fillId="0" fontId="29" numFmtId="0" xfId="0" applyAlignment="1" applyBorder="1" applyFont="1">
      <alignment vertical="bottom"/>
    </xf>
    <xf borderId="13" fillId="0" fontId="22" numFmtId="0" xfId="0" applyAlignment="1" applyBorder="1" applyFont="1">
      <alignment vertical="bottom"/>
    </xf>
    <xf borderId="13" fillId="0" fontId="22" numFmtId="10" xfId="0" applyAlignment="1" applyBorder="1" applyFont="1" applyNumberFormat="1">
      <alignment vertical="bottom"/>
    </xf>
    <xf borderId="13" fillId="5" fontId="30" numFmtId="0" xfId="0" applyAlignment="1" applyBorder="1" applyFont="1">
      <alignment horizontal="center" vertical="bottom"/>
    </xf>
    <xf borderId="13" fillId="5" fontId="31" numFmtId="0" xfId="0" applyAlignment="1" applyBorder="1" applyFont="1">
      <alignment horizontal="center" vertical="bottom"/>
    </xf>
    <xf borderId="13" fillId="5" fontId="31" numFmtId="10" xfId="0" applyAlignment="1" applyBorder="1" applyFont="1" applyNumberFormat="1">
      <alignment horizontal="center" vertical="bottom"/>
    </xf>
    <xf borderId="13" fillId="4" fontId="30" numFmtId="0" xfId="0" applyAlignment="1" applyBorder="1" applyFont="1">
      <alignment horizontal="center" vertical="bottom"/>
    </xf>
    <xf borderId="13" fillId="4" fontId="31" numFmtId="3" xfId="0" applyAlignment="1" applyBorder="1" applyFont="1" applyNumberFormat="1">
      <alignment horizontal="center" readingOrder="0" vertical="bottom"/>
    </xf>
    <xf borderId="13" fillId="4" fontId="30" numFmtId="10" xfId="0" applyAlignment="1" applyBorder="1" applyFont="1" applyNumberFormat="1">
      <alignment horizontal="center" vertical="bottom"/>
    </xf>
    <xf borderId="13" fillId="4" fontId="31" numFmtId="0" xfId="0" applyAlignment="1" applyBorder="1" applyFont="1">
      <alignment horizontal="center" readingOrder="0" vertical="bottom"/>
    </xf>
    <xf borderId="1" fillId="2" fontId="32" numFmtId="0" xfId="0" applyAlignment="1" applyBorder="1" applyFont="1">
      <alignment shrinkToFit="0" vertical="bottom" wrapText="0"/>
    </xf>
    <xf borderId="1" fillId="2" fontId="13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13" fillId="4" fontId="33" numFmtId="0" xfId="0" applyAlignment="1" applyBorder="1" applyFont="1">
      <alignment horizontal="left" shrinkToFit="0" vertical="center" wrapText="0"/>
    </xf>
    <xf borderId="13" fillId="4" fontId="15" numFmtId="165" xfId="0" applyAlignment="1" applyBorder="1" applyFont="1" applyNumberFormat="1">
      <alignment horizontal="center" shrinkToFit="0" vertical="center" wrapText="0"/>
    </xf>
    <xf borderId="13" fillId="0" fontId="15" numFmtId="0" xfId="0" applyAlignment="1" applyBorder="1" applyFont="1">
      <alignment readingOrder="0" shrinkToFit="0" vertical="center" wrapText="0"/>
    </xf>
    <xf borderId="1" fillId="2" fontId="32" numFmtId="0" xfId="0" applyAlignment="1" applyBorder="1" applyFont="1">
      <alignment shrinkToFit="0" vertical="bottom" wrapText="1"/>
    </xf>
    <xf borderId="13" fillId="4" fontId="15" numFmtId="0" xfId="0" applyAlignment="1" applyBorder="1" applyFont="1">
      <alignment shrinkToFit="0" vertical="center" wrapText="0"/>
    </xf>
    <xf borderId="13" fillId="0" fontId="15" numFmtId="167" xfId="0" applyAlignment="1" applyBorder="1" applyFont="1" applyNumberFormat="1">
      <alignment readingOrder="0" shrinkToFit="0" vertical="bottom" wrapText="0"/>
    </xf>
    <xf borderId="0" fillId="0" fontId="33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13" fillId="0" fontId="15" numFmtId="0" xfId="0" applyAlignment="1" applyBorder="1" applyFont="1">
      <alignment horizontal="center" readingOrder="0" shrinkToFit="0" vertical="center" wrapText="0"/>
    </xf>
    <xf borderId="19" fillId="7" fontId="19" numFmtId="0" xfId="0" applyAlignment="1" applyBorder="1" applyFont="1">
      <alignment horizontal="right" shrinkToFit="0" vertical="bottom" wrapText="0"/>
    </xf>
    <xf borderId="18" fillId="7" fontId="20" numFmtId="167" xfId="0" applyAlignment="1" applyBorder="1" applyFont="1" applyNumberFormat="1">
      <alignment shrinkToFit="0" vertical="bottom" wrapText="0"/>
    </xf>
    <xf borderId="13" fillId="7" fontId="20" numFmtId="166" xfId="0" applyAlignment="1" applyBorder="1" applyFont="1" applyNumberFormat="1">
      <alignment horizontal="center" shrinkToFit="0" vertical="bottom" wrapText="0"/>
    </xf>
    <xf borderId="18" fillId="4" fontId="15" numFmtId="166" xfId="0" applyAlignment="1" applyBorder="1" applyFont="1" applyNumberFormat="1">
      <alignment horizontal="center" readingOrder="0" shrinkToFit="0" vertical="center" wrapText="0"/>
    </xf>
    <xf borderId="18" fillId="4" fontId="15" numFmtId="2" xfId="0" applyAlignment="1" applyBorder="1" applyFont="1" applyNumberFormat="1">
      <alignment horizontal="center" shrinkToFit="0" vertical="bottom" wrapText="0"/>
    </xf>
    <xf borderId="13" fillId="5" fontId="34" numFmtId="0" xfId="0" applyAlignment="1" applyBorder="1" applyFont="1">
      <alignment horizontal="left" shrinkToFit="0" vertical="center" wrapText="1"/>
    </xf>
    <xf borderId="13" fillId="4" fontId="15" numFmtId="2" xfId="0" applyAlignment="1" applyBorder="1" applyFont="1" applyNumberFormat="1">
      <alignment horizontal="center" shrinkToFit="0" vertical="bottom" wrapText="0"/>
    </xf>
    <xf borderId="22" fillId="5" fontId="13" numFmtId="0" xfId="0" applyAlignment="1" applyBorder="1" applyFont="1">
      <alignment horizontal="left" shrinkToFit="0" vertical="center" wrapText="1"/>
    </xf>
    <xf borderId="25" fillId="0" fontId="25" numFmtId="0" xfId="0" applyBorder="1" applyFont="1"/>
    <xf borderId="19" fillId="5" fontId="13" numFmtId="0" xfId="0" applyAlignment="1" applyBorder="1" applyFont="1">
      <alignment shrinkToFit="0" vertical="bottom" wrapText="0"/>
    </xf>
    <xf borderId="18" fillId="5" fontId="13" numFmtId="0" xfId="0" applyAlignment="1" applyBorder="1" applyFont="1">
      <alignment shrinkToFit="0" vertical="bottom" wrapText="0"/>
    </xf>
    <xf borderId="14" fillId="5" fontId="13" numFmtId="0" xfId="0" applyAlignment="1" applyBorder="1" applyFont="1">
      <alignment shrinkToFit="0" vertical="bottom" wrapText="0"/>
    </xf>
    <xf borderId="13" fillId="5" fontId="13" numFmtId="0" xfId="0" applyAlignment="1" applyBorder="1" applyFont="1">
      <alignment shrinkToFit="0" vertical="bottom" wrapText="0"/>
    </xf>
    <xf borderId="13" fillId="4" fontId="15" numFmtId="170" xfId="0" applyAlignment="1" applyBorder="1" applyFont="1" applyNumberFormat="1">
      <alignment readingOrder="0" shrinkToFit="0" vertical="bottom" wrapText="0"/>
    </xf>
    <xf borderId="14" fillId="4" fontId="15" numFmtId="0" xfId="0" applyAlignment="1" applyBorder="1" applyFont="1">
      <alignment readingOrder="0" shrinkToFit="0" vertical="bottom" wrapText="0"/>
    </xf>
    <xf borderId="14" fillId="8" fontId="17" numFmtId="0" xfId="0" applyAlignment="1" applyBorder="1" applyFont="1">
      <alignment shrinkToFit="0" vertical="center" wrapText="0"/>
    </xf>
    <xf borderId="19" fillId="8" fontId="17" numFmtId="0" xfId="0" applyAlignment="1" applyBorder="1" applyFont="1">
      <alignment shrinkToFit="0" vertical="center" wrapText="0"/>
    </xf>
    <xf borderId="0" fillId="0" fontId="15" numFmtId="170" xfId="0" applyAlignment="1" applyFont="1" applyNumberFormat="1">
      <alignment horizontal="center" shrinkToFit="0" vertical="bottom" wrapText="0"/>
    </xf>
    <xf borderId="13" fillId="4" fontId="15" numFmtId="10" xfId="0" applyAlignment="1" applyBorder="1" applyFont="1" applyNumberFormat="1">
      <alignment horizontal="center" shrinkToFit="0" vertical="center" wrapText="0"/>
    </xf>
    <xf borderId="13" fillId="0" fontId="15" numFmtId="0" xfId="0" applyAlignment="1" applyBorder="1" applyFont="1">
      <alignment horizontal="center" readingOrder="0" shrinkToFit="0" vertical="bottom" wrapText="0"/>
    </xf>
    <xf borderId="13" fillId="4" fontId="15" numFmtId="166" xfId="0" applyAlignment="1" applyBorder="1" applyFont="1" applyNumberFormat="1">
      <alignment horizontal="right" shrinkToFit="0" vertical="bottom" wrapText="0"/>
    </xf>
    <xf borderId="26" fillId="4" fontId="15" numFmtId="10" xfId="0" applyAlignment="1" applyBorder="1" applyFont="1" applyNumberFormat="1">
      <alignment horizontal="center" shrinkToFit="0" vertical="center" wrapText="0"/>
    </xf>
    <xf borderId="18" fillId="7" fontId="20" numFmtId="0" xfId="0" applyAlignment="1" applyBorder="1" applyFont="1">
      <alignment shrinkToFit="0" vertical="bottom" wrapText="0"/>
    </xf>
    <xf borderId="13" fillId="4" fontId="13" numFmtId="0" xfId="0" applyAlignment="1" applyBorder="1" applyFont="1">
      <alignment horizontal="left" shrinkToFit="0" vertical="bottom" wrapText="0"/>
    </xf>
    <xf borderId="13" fillId="4" fontId="15" numFmtId="2" xfId="0" applyAlignment="1" applyBorder="1" applyFont="1" applyNumberFormat="1">
      <alignment shrinkToFit="0" vertical="bottom" wrapText="0"/>
    </xf>
    <xf borderId="21" fillId="4" fontId="13" numFmtId="2" xfId="0" applyAlignment="1" applyBorder="1" applyFont="1" applyNumberFormat="1">
      <alignment shrinkToFit="0" vertical="bottom" wrapText="0"/>
    </xf>
    <xf borderId="25" fillId="0" fontId="17" numFmtId="0" xfId="0" applyAlignment="1" applyBorder="1" applyFont="1">
      <alignment horizontal="left" shrinkToFit="0" vertical="bottom" wrapText="0"/>
    </xf>
    <xf borderId="25" fillId="0" fontId="15" numFmtId="168" xfId="0" applyAlignment="1" applyBorder="1" applyFont="1" applyNumberFormat="1">
      <alignment horizontal="center" shrinkToFit="0" vertical="bottom" wrapText="0"/>
    </xf>
    <xf borderId="25" fillId="0" fontId="15" numFmtId="0" xfId="0" applyAlignment="1" applyBorder="1" applyFont="1">
      <alignment horizontal="center" shrinkToFit="0" vertical="bottom" wrapText="0"/>
    </xf>
    <xf borderId="25" fillId="0" fontId="17" numFmtId="173" xfId="0" applyAlignment="1" applyBorder="1" applyFont="1" applyNumberFormat="1">
      <alignment horizontal="right" shrinkToFit="0" vertical="bottom" wrapText="0"/>
    </xf>
    <xf borderId="13" fillId="4" fontId="13" numFmtId="2" xfId="0" applyAlignment="1" applyBorder="1" applyFont="1" applyNumberFormat="1">
      <alignment shrinkToFit="0" vertical="bottom" wrapText="0"/>
    </xf>
    <xf borderId="25" fillId="0" fontId="20" numFmtId="0" xfId="0" applyAlignment="1" applyBorder="1" applyFont="1">
      <alignment horizontal="left" shrinkToFit="0" vertical="bottom" wrapText="0"/>
    </xf>
    <xf borderId="27" fillId="0" fontId="15" numFmtId="173" xfId="0" applyAlignment="1" applyBorder="1" applyFont="1" applyNumberFormat="1">
      <alignment horizontal="right" shrinkToFit="0" vertical="bottom" wrapText="0"/>
    </xf>
    <xf borderId="17" fillId="4" fontId="13" numFmtId="10" xfId="0" applyAlignment="1" applyBorder="1" applyFont="1" applyNumberFormat="1">
      <alignment shrinkToFit="0" vertical="bottom" wrapText="0"/>
    </xf>
    <xf borderId="14" fillId="5" fontId="13" numFmtId="0" xfId="0" applyAlignment="1" applyBorder="1" applyFont="1">
      <alignment horizontal="left" shrinkToFit="0" vertical="center" wrapText="1"/>
    </xf>
    <xf borderId="28" fillId="0" fontId="15" numFmtId="173" xfId="0" applyAlignment="1" applyBorder="1" applyFont="1" applyNumberFormat="1">
      <alignment horizontal="right" shrinkToFit="0" vertical="bottom" wrapText="0"/>
    </xf>
    <xf borderId="25" fillId="0" fontId="13" numFmtId="0" xfId="0" applyAlignment="1" applyBorder="1" applyFont="1">
      <alignment shrinkToFit="0" vertical="bottom" wrapText="0"/>
    </xf>
    <xf borderId="27" fillId="0" fontId="17" numFmtId="0" xfId="0" applyAlignment="1" applyBorder="1" applyFont="1">
      <alignment horizontal="left" shrinkToFit="0" vertical="bottom" wrapText="0"/>
    </xf>
    <xf borderId="27" fillId="0" fontId="15" numFmtId="168" xfId="0" applyAlignment="1" applyBorder="1" applyFont="1" applyNumberFormat="1">
      <alignment horizontal="center" shrinkToFit="0" vertical="bottom" wrapText="0"/>
    </xf>
    <xf borderId="27" fillId="0" fontId="15" numFmtId="0" xfId="0" applyAlignment="1" applyBorder="1" applyFont="1">
      <alignment horizontal="center" shrinkToFit="0" vertical="bottom" wrapText="0"/>
    </xf>
    <xf borderId="27" fillId="0" fontId="17" numFmtId="173" xfId="0" applyAlignment="1" applyBorder="1" applyFont="1" applyNumberFormat="1">
      <alignment horizontal="right" shrinkToFit="0" vertical="bottom" wrapText="0"/>
    </xf>
    <xf borderId="14" fillId="4" fontId="15" numFmtId="2" xfId="0" applyAlignment="1" applyBorder="1" applyFont="1" applyNumberFormat="1">
      <alignment shrinkToFit="0" vertical="bottom" wrapText="0"/>
    </xf>
    <xf borderId="29" fillId="0" fontId="18" numFmtId="0" xfId="0" applyAlignment="1" applyBorder="1" applyFont="1">
      <alignment shrinkToFit="0" vertical="bottom" wrapText="0"/>
    </xf>
    <xf borderId="29" fillId="0" fontId="15" numFmtId="0" xfId="0" applyAlignment="1" applyBorder="1" applyFont="1">
      <alignment shrinkToFit="0" vertical="bottom" wrapText="0"/>
    </xf>
    <xf borderId="19" fillId="4" fontId="15" numFmtId="168" xfId="0" applyAlignment="1" applyBorder="1" applyFont="1" applyNumberFormat="1">
      <alignment horizontal="center" shrinkToFit="0" vertical="bottom" wrapText="0"/>
    </xf>
    <xf borderId="19" fillId="4" fontId="15" numFmtId="0" xfId="0" applyAlignment="1" applyBorder="1" applyFont="1">
      <alignment horizontal="center" shrinkToFit="0" vertical="bottom" wrapText="0"/>
    </xf>
    <xf borderId="13" fillId="4" fontId="13" numFmtId="10" xfId="0" applyAlignment="1" applyBorder="1" applyFont="1" applyNumberFormat="1">
      <alignment shrinkToFit="0" vertical="bottom" wrapText="0"/>
    </xf>
    <xf borderId="13" fillId="4" fontId="15" numFmtId="0" xfId="0" applyAlignment="1" applyBorder="1" applyFont="1">
      <alignment horizontal="left" shrinkToFit="0" vertical="center" wrapText="0"/>
    </xf>
    <xf borderId="30" fillId="0" fontId="15" numFmtId="0" xfId="0" applyAlignment="1" applyBorder="1" applyFont="1">
      <alignment horizontal="center" readingOrder="0" shrinkToFit="0" vertical="bottom" wrapText="0"/>
    </xf>
    <xf borderId="13" fillId="4" fontId="15" numFmtId="0" xfId="0" applyAlignment="1" applyBorder="1" applyFont="1">
      <alignment horizontal="center" shrinkToFit="0" vertical="bottom" wrapText="0"/>
    </xf>
    <xf borderId="13" fillId="4" fontId="13" numFmtId="0" xfId="0" applyAlignment="1" applyBorder="1" applyFont="1">
      <alignment horizontal="left" shrinkToFit="0" vertical="center" wrapText="0"/>
    </xf>
    <xf borderId="13" fillId="4" fontId="15" numFmtId="166" xfId="0" applyAlignment="1" applyBorder="1" applyFont="1" applyNumberFormat="1">
      <alignment horizontal="right" shrinkToFit="0" vertical="center" wrapText="0"/>
    </xf>
    <xf borderId="13" fillId="4" fontId="15" numFmtId="2" xfId="0" applyAlignment="1" applyBorder="1" applyFont="1" applyNumberFormat="1">
      <alignment shrinkToFit="0" vertical="center" wrapText="0"/>
    </xf>
    <xf borderId="14" fillId="4" fontId="15" numFmtId="2" xfId="0" applyAlignment="1" applyBorder="1" applyFont="1" applyNumberFormat="1">
      <alignment shrinkToFit="0" vertical="center" wrapText="0"/>
    </xf>
    <xf borderId="13" fillId="4" fontId="13" numFmtId="2" xfId="0" applyAlignment="1" applyBorder="1" applyFont="1" applyNumberFormat="1">
      <alignment shrinkToFit="0" vertical="center" wrapText="0"/>
    </xf>
    <xf borderId="13" fillId="0" fontId="15" numFmtId="0" xfId="0" applyAlignment="1" applyBorder="1" applyFont="1">
      <alignment horizontal="center" shrinkToFit="0" vertical="bottom" wrapText="0"/>
    </xf>
    <xf borderId="27" fillId="0" fontId="20" numFmtId="0" xfId="0" applyAlignment="1" applyBorder="1" applyFont="1">
      <alignment horizontal="left" shrinkToFit="0" vertical="bottom" wrapText="0"/>
    </xf>
    <xf borderId="22" fillId="5" fontId="13" numFmtId="0" xfId="0" applyAlignment="1" applyBorder="1" applyFont="1">
      <alignment horizontal="center" shrinkToFit="0" vertical="bottom" wrapText="0"/>
    </xf>
    <xf borderId="14" fillId="4" fontId="13" numFmtId="0" xfId="0" applyAlignment="1" applyBorder="1" applyFont="1">
      <alignment shrinkToFit="0" vertical="bottom" wrapText="0"/>
    </xf>
    <xf borderId="19" fillId="4" fontId="13" numFmtId="0" xfId="0" applyAlignment="1" applyBorder="1" applyFont="1">
      <alignment shrinkToFit="0" vertical="bottom" wrapText="0"/>
    </xf>
    <xf borderId="22" fillId="0" fontId="13" numFmtId="166" xfId="0" applyAlignment="1" applyBorder="1" applyFont="1" applyNumberFormat="1">
      <alignment horizontal="center" readingOrder="0" shrinkToFit="0" vertical="bottom" wrapText="0"/>
    </xf>
    <xf borderId="13" fillId="0" fontId="15" numFmtId="166" xfId="0" applyAlignment="1" applyBorder="1" applyFont="1" applyNumberFormat="1">
      <alignment horizontal="right" shrinkToFit="0" vertical="bottom" wrapText="0"/>
    </xf>
    <xf borderId="13" fillId="4" fontId="15" numFmtId="171" xfId="0" applyAlignment="1" applyBorder="1" applyFont="1" applyNumberFormat="1">
      <alignment horizontal="right" shrinkToFit="0" vertical="bottom" wrapText="0"/>
    </xf>
    <xf borderId="19" fillId="7" fontId="20" numFmtId="0" xfId="0" applyAlignment="1" applyBorder="1" applyFont="1">
      <alignment shrinkToFit="0" vertical="bottom" wrapText="0"/>
    </xf>
    <xf borderId="22" fillId="6" fontId="20" numFmtId="166" xfId="0" applyAlignment="1" applyBorder="1" applyFont="1" applyNumberFormat="1">
      <alignment horizontal="center" shrinkToFit="0" vertical="bottom" wrapText="0"/>
    </xf>
    <xf borderId="31" fillId="8" fontId="17" numFmtId="166" xfId="0" applyAlignment="1" applyBorder="1" applyFont="1" applyNumberFormat="1">
      <alignment horizontal="center" shrinkToFit="0" vertical="bottom" wrapText="0"/>
    </xf>
    <xf borderId="13" fillId="0" fontId="15" numFmtId="166" xfId="0" applyAlignment="1" applyBorder="1" applyFont="1" applyNumberFormat="1">
      <alignment horizontal="left" readingOrder="0" shrinkToFit="0" vertical="bottom" wrapText="0"/>
    </xf>
    <xf borderId="13" fillId="0" fontId="15" numFmtId="166" xfId="0" applyAlignment="1" applyBorder="1" applyFont="1" applyNumberFormat="1">
      <alignment horizontal="left" shrinkToFit="0" vertical="bottom" wrapText="0"/>
    </xf>
    <xf borderId="18" fillId="7" fontId="20" numFmtId="0" xfId="0" applyAlignment="1" applyBorder="1" applyFont="1">
      <alignment horizontal="center" shrinkToFit="0" vertical="bottom" wrapText="0"/>
    </xf>
    <xf borderId="32" fillId="7" fontId="17" numFmtId="0" xfId="0" applyAlignment="1" applyBorder="1" applyFont="1">
      <alignment shrinkToFit="0" vertical="bottom" wrapText="0"/>
    </xf>
    <xf borderId="33" fillId="7" fontId="19" numFmtId="0" xfId="0" applyAlignment="1" applyBorder="1" applyFont="1">
      <alignment horizontal="right" shrinkToFit="0" vertical="bottom" wrapText="0"/>
    </xf>
    <xf borderId="34" fillId="7" fontId="20" numFmtId="0" xfId="0" applyAlignment="1" applyBorder="1" applyFont="1">
      <alignment horizontal="center" shrinkToFit="0" vertical="bottom" wrapText="0"/>
    </xf>
    <xf borderId="17" fillId="7" fontId="20" numFmtId="166" xfId="0" applyAlignment="1" applyBorder="1" applyFont="1" applyNumberFormat="1">
      <alignment horizontal="center" shrinkToFit="0" vertical="bottom" wrapText="0"/>
    </xf>
    <xf borderId="25" fillId="0" fontId="15" numFmtId="0" xfId="0" applyAlignment="1" applyBorder="1" applyFont="1">
      <alignment horizontal="left" shrinkToFit="0" vertical="bottom" wrapText="0"/>
    </xf>
    <xf borderId="17" fillId="7" fontId="20" numFmtId="166" xfId="0" applyAlignment="1" applyBorder="1" applyFont="1" applyNumberFormat="1">
      <alignment horizontal="center" readingOrder="0" shrinkToFit="0" vertical="bottom" wrapText="0"/>
    </xf>
    <xf borderId="27" fillId="0" fontId="15" numFmtId="0" xfId="0" applyAlignment="1" applyBorder="1" applyFont="1">
      <alignment horizontal="left" shrinkToFit="0" vertical="bottom" wrapText="0"/>
    </xf>
    <xf borderId="0" fillId="0" fontId="35" numFmtId="168" xfId="0" applyAlignment="1" applyFont="1" applyNumberForma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14" fillId="4" fontId="15" numFmtId="0" xfId="0" applyAlignment="1" applyBorder="1" applyFont="1">
      <alignment horizontal="left" shrinkToFit="0" vertical="bottom" wrapText="0"/>
    </xf>
    <xf borderId="18" fillId="4" fontId="15" numFmtId="0" xfId="0" applyAlignment="1" applyBorder="1" applyFont="1">
      <alignment horizontal="center" shrinkToFit="0" vertical="bottom" wrapText="0"/>
    </xf>
    <xf borderId="13" fillId="4" fontId="15" numFmtId="167" xfId="0" applyAlignment="1" applyBorder="1" applyFont="1" applyNumberFormat="1">
      <alignment horizontal="center" shrinkToFit="0" vertical="bottom" wrapText="0"/>
    </xf>
    <xf borderId="29" fillId="0" fontId="15" numFmtId="0" xfId="0" applyAlignment="1" applyBorder="1" applyFont="1">
      <alignment horizontal="left" shrinkToFit="0" vertical="bottom" wrapText="0"/>
    </xf>
    <xf borderId="29" fillId="0" fontId="15" numFmtId="168" xfId="0" applyAlignment="1" applyBorder="1" applyFont="1" applyNumberFormat="1">
      <alignment horizontal="center" shrinkToFit="0" vertical="bottom" wrapText="0"/>
    </xf>
    <xf borderId="29" fillId="0" fontId="15" numFmtId="0" xfId="0" applyAlignment="1" applyBorder="1" applyFont="1">
      <alignment horizontal="center" shrinkToFit="0" vertical="bottom" wrapText="0"/>
    </xf>
    <xf borderId="13" fillId="0" fontId="17" numFmtId="166" xfId="0" applyAlignment="1" applyBorder="1" applyFont="1" applyNumberFormat="1">
      <alignment horizontal="center" readingOrder="0" shrinkToFit="0" vertical="bottom" wrapText="0"/>
    </xf>
    <xf borderId="0" fillId="0" fontId="17" numFmtId="166" xfId="0" applyAlignment="1" applyFont="1" applyNumberFormat="1">
      <alignment horizontal="center" shrinkToFit="0" vertical="bottom" wrapText="0"/>
    </xf>
    <xf borderId="19" fillId="8" fontId="19" numFmtId="0" xfId="0" applyAlignment="1" applyBorder="1" applyFont="1">
      <alignment horizontal="right" shrinkToFit="0" vertical="bottom" wrapText="0"/>
    </xf>
    <xf borderId="18" fillId="8" fontId="20" numFmtId="0" xfId="0" applyAlignment="1" applyBorder="1" applyFont="1">
      <alignment horizontal="center" shrinkToFit="0" vertical="bottom" wrapText="0"/>
    </xf>
    <xf borderId="13" fillId="8" fontId="20" numFmtId="166" xfId="0" applyAlignment="1" applyBorder="1" applyFont="1" applyNumberFormat="1">
      <alignment horizontal="center" shrinkToFit="0" vertical="bottom" wrapText="0"/>
    </xf>
    <xf borderId="0" fillId="0" fontId="15" numFmtId="168" xfId="0" applyAlignment="1" applyFont="1" applyNumberFormat="1">
      <alignment shrinkToFit="0" vertical="bottom" wrapText="0"/>
    </xf>
    <xf borderId="1" fillId="2" fontId="36" numFmtId="0" xfId="0" applyAlignment="1" applyBorder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1" fillId="2" fontId="37" numFmtId="164" xfId="0" applyAlignment="1" applyBorder="1" applyFont="1" applyNumberFormat="1">
      <alignment shrinkToFit="0" vertical="bottom" wrapText="0"/>
    </xf>
    <xf borderId="0" fillId="0" fontId="38" numFmtId="164" xfId="0" applyAlignment="1" applyFont="1" applyNumberFormat="1">
      <alignment horizontal="left" shrinkToFit="0" vertical="bottom" wrapText="0"/>
    </xf>
    <xf borderId="1" fillId="2" fontId="39" numFmtId="164" xfId="0" applyAlignment="1" applyBorder="1" applyFont="1" applyNumberFormat="1">
      <alignment shrinkToFit="0" vertical="bottom" wrapText="0"/>
    </xf>
    <xf borderId="0" fillId="0" fontId="40" numFmtId="164" xfId="0" applyAlignment="1" applyFont="1" applyNumberFormat="1">
      <alignment horizontal="left" shrinkToFit="0" vertical="bottom" wrapText="0"/>
    </xf>
    <xf borderId="1" fillId="2" fontId="15" numFmtId="164" xfId="0" applyAlignment="1" applyBorder="1" applyFont="1" applyNumberFormat="1">
      <alignment shrinkToFit="0" vertical="bottom" wrapText="0"/>
    </xf>
    <xf borderId="13" fillId="0" fontId="15" numFmtId="164" xfId="0" applyAlignment="1" applyBorder="1" applyFont="1" applyNumberFormat="1">
      <alignment horizontal="center" shrinkToFit="0" vertical="center" wrapText="0"/>
    </xf>
    <xf borderId="13" fillId="0" fontId="15" numFmtId="166" xfId="0" applyAlignment="1" applyBorder="1" applyFont="1" applyNumberFormat="1">
      <alignment horizontal="center" readingOrder="0" shrinkToFit="0" vertical="center" wrapText="0"/>
    </xf>
    <xf borderId="22" fillId="4" fontId="15" numFmtId="164" xfId="0" applyAlignment="1" applyBorder="1" applyFont="1" applyNumberFormat="1">
      <alignment horizontal="center" shrinkToFit="0" vertical="center" wrapText="0"/>
    </xf>
    <xf borderId="1" fillId="2" fontId="19" numFmtId="0" xfId="0" applyAlignment="1" applyBorder="1" applyFont="1">
      <alignment shrinkToFit="0" vertical="bottom" wrapText="0"/>
    </xf>
    <xf borderId="13" fillId="4" fontId="15" numFmtId="164" xfId="0" applyAlignment="1" applyBorder="1" applyFont="1" applyNumberFormat="1">
      <alignment horizontal="center" shrinkToFit="0" vertical="center" wrapText="0"/>
    </xf>
    <xf borderId="13" fillId="4" fontId="15" numFmtId="166" xfId="0" applyAlignment="1" applyBorder="1" applyFont="1" applyNumberFormat="1">
      <alignment horizontal="center" shrinkToFit="0" vertical="center" wrapText="0"/>
    </xf>
    <xf borderId="13" fillId="4" fontId="15" numFmtId="164" xfId="0" applyAlignment="1" applyBorder="1" applyFont="1" applyNumberFormat="1">
      <alignment horizontal="center" shrinkToFit="0" vertical="bottom" wrapText="0"/>
    </xf>
    <xf borderId="13" fillId="4" fontId="15" numFmtId="16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center" wrapText="1"/>
    </xf>
    <xf borderId="13" fillId="4" fontId="15" numFmtId="0" xfId="0" applyAlignment="1" applyBorder="1" applyFont="1">
      <alignment horizontal="center" shrinkToFit="0" vertical="center" wrapText="0"/>
    </xf>
    <xf borderId="13" fillId="4" fontId="15" numFmtId="169" xfId="0" applyAlignment="1" applyBorder="1" applyFont="1" applyNumberFormat="1">
      <alignment horizontal="right" shrinkToFit="0" vertical="center" wrapText="0"/>
    </xf>
    <xf borderId="13" fillId="4" fontId="20" numFmtId="166" xfId="0" applyAlignment="1" applyBorder="1" applyFont="1" applyNumberFormat="1">
      <alignment shrinkToFit="0" vertical="bottom" wrapText="0"/>
    </xf>
    <xf borderId="13" fillId="4" fontId="20" numFmtId="169" xfId="0" applyAlignment="1" applyBorder="1" applyFont="1" applyNumberFormat="1">
      <alignment shrinkToFit="0" vertical="bottom" wrapText="0"/>
    </xf>
    <xf borderId="13" fillId="4" fontId="20" numFmtId="166" xfId="0" applyAlignment="1" applyBorder="1" applyFont="1" applyNumberFormat="1">
      <alignment horizontal="center" shrinkToFit="0" vertical="bottom" wrapText="0"/>
    </xf>
    <xf borderId="13" fillId="4" fontId="20" numFmtId="166" xfId="0" applyAlignment="1" applyBorder="1" applyFont="1" applyNumberFormat="1">
      <alignment horizontal="right" shrinkToFit="0" vertical="bottom" wrapText="0"/>
    </xf>
    <xf borderId="0" fillId="0" fontId="19" numFmtId="0" xfId="0" applyAlignment="1" applyFont="1">
      <alignment shrinkToFit="0" vertical="bottom" wrapText="0"/>
    </xf>
    <xf borderId="0" fillId="0" fontId="19" numFmtId="173" xfId="0" applyAlignment="1" applyFont="1" applyNumberFormat="1">
      <alignment horizontal="center" shrinkToFit="0" vertical="bottom" wrapText="0"/>
    </xf>
    <xf borderId="0" fillId="0" fontId="19" numFmtId="0" xfId="0" applyAlignment="1" applyFont="1">
      <alignment horizontal="right" shrinkToFit="0" vertical="bottom" wrapText="0"/>
    </xf>
    <xf borderId="0" fillId="0" fontId="37" numFmtId="164" xfId="0" applyAlignment="1" applyFont="1" applyNumberFormat="1">
      <alignment shrinkToFit="0" vertical="bottom" wrapText="0"/>
    </xf>
    <xf borderId="0" fillId="0" fontId="41" numFmtId="164" xfId="0" applyAlignment="1" applyFont="1" applyNumberFormat="1">
      <alignment shrinkToFit="0" vertical="bottom" wrapText="0"/>
    </xf>
    <xf borderId="1" fillId="2" fontId="42" numFmtId="164" xfId="0" applyAlignment="1" applyBorder="1" applyFont="1" applyNumberFormat="1">
      <alignment shrinkToFit="0" vertical="bottom" wrapText="0"/>
    </xf>
    <xf borderId="13" fillId="0" fontId="15" numFmtId="164" xfId="0" applyAlignment="1" applyBorder="1" applyFont="1" applyNumberFormat="1">
      <alignment readingOrder="0" shrinkToFit="0" vertical="bottom" wrapText="0"/>
    </xf>
    <xf borderId="13" fillId="0" fontId="15" numFmtId="166" xfId="0" applyAlignment="1" applyBorder="1" applyFont="1" applyNumberFormat="1">
      <alignment shrinkToFit="0" vertical="bottom" wrapText="0"/>
    </xf>
    <xf borderId="13" fillId="0" fontId="15" numFmtId="164" xfId="0" applyAlignment="1" applyBorder="1" applyFont="1" applyNumberFormat="1">
      <alignment shrinkToFit="0" vertical="bottom" wrapText="0"/>
    </xf>
    <xf borderId="13" fillId="0" fontId="13" numFmtId="0" xfId="0" applyAlignment="1" applyBorder="1" applyFont="1">
      <alignment horizontal="center" shrinkToFit="0" vertical="center" wrapText="1"/>
    </xf>
    <xf borderId="13" fillId="4" fontId="15" numFmtId="2" xfId="0" applyAlignment="1" applyBorder="1" applyFont="1" applyNumberFormat="1">
      <alignment horizontal="center" shrinkToFit="0" vertical="center" wrapText="0"/>
    </xf>
    <xf borderId="1" fillId="2" fontId="42" numFmtId="0" xfId="0" applyAlignment="1" applyBorder="1" applyFont="1">
      <alignment shrinkToFit="0" vertical="bottom" wrapText="0"/>
    </xf>
    <xf borderId="13" fillId="4" fontId="20" numFmtId="2" xfId="0" applyAlignment="1" applyBorder="1" applyFont="1" applyNumberFormat="1">
      <alignment shrinkToFit="0" vertical="bottom" wrapText="0"/>
    </xf>
    <xf borderId="0" fillId="0" fontId="43" numFmtId="164" xfId="0" applyAlignment="1" applyFont="1" applyNumberFormat="1">
      <alignment horizontal="left" shrinkToFit="0" vertical="bottom" wrapText="0"/>
    </xf>
    <xf borderId="13" fillId="5" fontId="15" numFmtId="164" xfId="0" applyAlignment="1" applyBorder="1" applyFont="1" applyNumberFormat="1">
      <alignment shrinkToFit="0" vertical="center" wrapText="0"/>
    </xf>
    <xf borderId="23" fillId="0" fontId="15" numFmtId="164" xfId="0" applyAlignment="1" applyBorder="1" applyFont="1" applyNumberFormat="1">
      <alignment readingOrder="0" shrinkToFit="0" vertical="bottom" wrapText="0"/>
    </xf>
    <xf borderId="23" fillId="0" fontId="15" numFmtId="164" xfId="0" applyAlignment="1" applyBorder="1" applyFont="1" applyNumberFormat="1">
      <alignment shrinkToFit="0" vertical="bottom" wrapText="0"/>
    </xf>
    <xf borderId="13" fillId="0" fontId="13" numFmtId="0" xfId="0" applyAlignment="1" applyBorder="1" applyFont="1">
      <alignment horizontal="center" readingOrder="0" shrinkToFit="0" vertical="center" wrapText="1"/>
    </xf>
    <xf borderId="13" fillId="0" fontId="13" numFmtId="0" xfId="0" applyAlignment="1" applyBorder="1" applyFont="1">
      <alignment shrinkToFit="0" vertical="center" wrapText="1"/>
    </xf>
    <xf borderId="0" fillId="0" fontId="36" numFmtId="0" xfId="0" applyAlignment="1" applyFont="1">
      <alignment shrinkToFit="0" vertical="bottom" wrapText="0"/>
    </xf>
    <xf borderId="13" fillId="0" fontId="13" numFmtId="0" xfId="0" applyAlignment="1" applyBorder="1" applyFont="1">
      <alignment shrinkToFit="0" vertical="bottom" wrapText="0"/>
    </xf>
    <xf borderId="23" fillId="0" fontId="15" numFmtId="0" xfId="0" applyAlignment="1" applyBorder="1" applyFont="1">
      <alignment shrinkToFit="0" vertical="bottom" wrapText="0"/>
    </xf>
    <xf borderId="0" fillId="0" fontId="44" numFmtId="164" xfId="0" applyAlignment="1" applyFont="1" applyNumberFormat="1">
      <alignment shrinkToFit="0" vertical="bottom" wrapText="0"/>
    </xf>
    <xf borderId="13" fillId="0" fontId="13" numFmtId="167" xfId="0" applyAlignment="1" applyBorder="1" applyFont="1" applyNumberFormat="1">
      <alignment shrinkToFit="0" vertical="bottom" wrapText="0"/>
    </xf>
    <xf borderId="0" fillId="0" fontId="45" numFmtId="164" xfId="0" applyAlignment="1" applyFont="1" applyNumberFormat="1">
      <alignment shrinkToFit="0" vertical="bottom" wrapText="0"/>
    </xf>
    <xf borderId="0" fillId="0" fontId="46" numFmtId="164" xfId="0" applyAlignment="1" applyFont="1" applyNumberFormat="1">
      <alignment shrinkToFit="0" vertical="bottom" wrapText="0"/>
    </xf>
    <xf borderId="0" fillId="0" fontId="47" numFmtId="0" xfId="0" applyAlignment="1" applyFont="1">
      <alignment shrinkToFit="0" vertical="bottom" wrapText="0"/>
    </xf>
    <xf borderId="0" fillId="0" fontId="48" numFmtId="164" xfId="0" applyAlignment="1" applyFont="1" applyNumberFormat="1">
      <alignment horizontal="left" shrinkToFit="0" vertical="bottom" wrapText="0"/>
    </xf>
    <xf borderId="0" fillId="0" fontId="36" numFmtId="0" xfId="0" applyAlignment="1" applyFont="1">
      <alignment shrinkToFit="0" vertical="bottom" wrapText="1"/>
    </xf>
    <xf borderId="0" fillId="0" fontId="13" numFmtId="0" xfId="0" applyAlignment="1" applyFont="1">
      <alignment horizontal="center" shrinkToFit="0" vertical="center" wrapText="1"/>
    </xf>
    <xf borderId="13" fillId="4" fontId="13" numFmtId="166" xfId="0" applyAlignment="1" applyBorder="1" applyFont="1" applyNumberFormat="1">
      <alignment horizontal="right" shrinkToFit="0" vertical="bottom" wrapText="0"/>
    </xf>
    <xf borderId="0" fillId="0" fontId="13" numFmtId="166" xfId="0" applyAlignment="1" applyFont="1" applyNumberFormat="1">
      <alignment horizontal="right" shrinkToFit="0" vertical="bottom" wrapText="0"/>
    </xf>
    <xf borderId="13" fillId="4" fontId="13" numFmtId="166" xfId="0" applyAlignment="1" applyBorder="1" applyFont="1" applyNumberFormat="1">
      <alignment horizontal="right" readingOrder="0" shrinkToFit="0" vertical="bottom" wrapText="0"/>
    </xf>
    <xf borderId="17" fillId="4" fontId="13" numFmtId="166" xfId="0" applyAlignment="1" applyBorder="1" applyFont="1" applyNumberFormat="1">
      <alignment horizontal="right" shrinkToFit="0" vertical="bottom" wrapText="0"/>
    </xf>
    <xf borderId="13" fillId="9" fontId="20" numFmtId="166" xfId="0" applyAlignment="1" applyBorder="1" applyFill="1" applyFont="1" applyNumberFormat="1">
      <alignment shrinkToFit="0" vertical="bottom" wrapText="0"/>
    </xf>
    <xf borderId="13" fillId="9" fontId="20" numFmtId="166" xfId="0" applyAlignment="1" applyBorder="1" applyFont="1" applyNumberFormat="1">
      <alignment horizontal="right" shrinkToFit="0" vertical="bottom" wrapText="0"/>
    </xf>
    <xf borderId="13" fillId="9" fontId="20" numFmtId="166" xfId="0" applyAlignment="1" applyBorder="1" applyFont="1" applyNumberFormat="1">
      <alignment horizontal="center" shrinkToFit="0" vertical="bottom" wrapText="0"/>
    </xf>
    <xf borderId="0" fillId="0" fontId="19" numFmtId="166" xfId="0" applyAlignment="1" applyFont="1" applyNumberFormat="1">
      <alignment shrinkToFit="0" vertical="bottom" wrapText="0"/>
    </xf>
    <xf borderId="21" fillId="9" fontId="20" numFmtId="166" xfId="0" applyAlignment="1" applyBorder="1" applyFont="1" applyNumberFormat="1">
      <alignment shrinkToFit="0" vertical="bottom" wrapText="0"/>
    </xf>
    <xf borderId="21" fillId="9" fontId="20" numFmtId="166" xfId="0" applyAlignment="1" applyBorder="1" applyFont="1" applyNumberFormat="1">
      <alignment horizontal="right" shrinkToFit="0" vertical="bottom" wrapText="0"/>
    </xf>
    <xf borderId="1" fillId="10" fontId="13" numFmtId="0" xfId="0" applyAlignment="1" applyBorder="1" applyFill="1" applyFont="1">
      <alignment shrinkToFit="0" vertical="bottom" wrapText="0"/>
    </xf>
    <xf borderId="13" fillId="4" fontId="13" numFmtId="166" xfId="0" applyAlignment="1" applyBorder="1" applyFont="1" applyNumberFormat="1">
      <alignment horizontal="left" shrinkToFit="0" vertical="bottom" wrapText="0"/>
    </xf>
    <xf borderId="13" fillId="4" fontId="20" numFmtId="166" xfId="0" applyAlignment="1" applyBorder="1" applyFont="1" applyNumberFormat="1">
      <alignment horizontal="left" shrinkToFit="0" vertical="bottom" wrapText="0"/>
    </xf>
    <xf borderId="13" fillId="0" fontId="13" numFmtId="0" xfId="0" applyAlignment="1" applyBorder="1" applyFont="1">
      <alignment shrinkToFit="0" vertical="top" wrapText="1"/>
    </xf>
    <xf borderId="13" fillId="0" fontId="13" numFmtId="0" xfId="0" applyAlignment="1" applyBorder="1" applyFont="1">
      <alignment horizontal="left" shrinkToFit="0" vertical="top" wrapText="1"/>
    </xf>
    <xf borderId="13" fillId="7" fontId="13" numFmtId="166" xfId="0" applyAlignment="1" applyBorder="1" applyFont="1" applyNumberFormat="1">
      <alignment horizontal="left" shrinkToFit="0" vertical="bottom" wrapText="0"/>
    </xf>
    <xf borderId="13" fillId="7" fontId="13" numFmtId="166" xfId="0" applyAlignment="1" applyBorder="1" applyFont="1" applyNumberFormat="1">
      <alignment horizontal="right" shrinkToFit="0" vertical="bottom" wrapText="0"/>
    </xf>
    <xf borderId="13" fillId="0" fontId="13" numFmtId="174" xfId="0" applyAlignment="1" applyBorder="1" applyFont="1" applyNumberFormat="1">
      <alignment shrinkToFit="0" vertical="top" wrapText="1"/>
    </xf>
    <xf borderId="35" fillId="0" fontId="13" numFmtId="175" xfId="0" applyAlignment="1" applyBorder="1" applyFont="1" applyNumberFormat="1">
      <alignment shrinkToFit="0" vertical="top" wrapText="1"/>
    </xf>
    <xf borderId="13" fillId="11" fontId="13" numFmtId="174" xfId="0" applyAlignment="1" applyBorder="1" applyFill="1" applyFont="1" applyNumberFormat="1">
      <alignment shrinkToFit="0" vertical="top" wrapText="1"/>
    </xf>
    <xf borderId="13" fillId="11" fontId="13" numFmtId="166" xfId="0" applyAlignment="1" applyBorder="1" applyFont="1" applyNumberFormat="1">
      <alignment shrinkToFit="0" vertical="top" wrapText="1"/>
    </xf>
    <xf borderId="15" fillId="0" fontId="13" numFmtId="166" xfId="0" applyAlignment="1" applyBorder="1" applyFont="1" applyNumberFormat="1">
      <alignment horizontal="center" shrinkToFit="0" vertical="top" wrapText="1"/>
    </xf>
    <xf borderId="18" fillId="4" fontId="13" numFmtId="166" xfId="0" applyAlignment="1" applyBorder="1" applyFont="1" applyNumberFormat="1">
      <alignment horizontal="right" shrinkToFit="0" vertical="bottom" wrapText="0"/>
    </xf>
    <xf borderId="1" fillId="12" fontId="13" numFmtId="0" xfId="0" applyAlignment="1" applyBorder="1" applyFill="1" applyFont="1">
      <alignment shrinkToFit="0" vertical="bottom" wrapText="0"/>
    </xf>
    <xf borderId="17" fillId="5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4" fillId="4" fontId="13" numFmtId="166" xfId="0" applyAlignment="1" applyBorder="1" applyFont="1" applyNumberFormat="1">
      <alignment horizontal="right" shrinkToFit="0" vertical="bottom" wrapText="0"/>
    </xf>
    <xf borderId="13" fillId="4" fontId="13" numFmtId="166" xfId="0" applyAlignment="1" applyBorder="1" applyFont="1" applyNumberFormat="1">
      <alignment horizontal="center" shrinkToFit="0" vertical="bottom" wrapText="0"/>
    </xf>
    <xf borderId="0" fillId="0" fontId="13" numFmtId="166" xfId="0" applyAlignment="1" applyFont="1" applyNumberFormat="1">
      <alignment shrinkToFit="0" vertical="bottom" wrapText="0"/>
    </xf>
    <xf borderId="13" fillId="4" fontId="17" numFmtId="166" xfId="0" applyAlignment="1" applyBorder="1" applyFont="1" applyNumberFormat="1">
      <alignment horizontal="right" shrinkToFit="0" vertical="bottom" wrapText="0"/>
    </xf>
    <xf borderId="13" fillId="9" fontId="17" numFmtId="0" xfId="0" applyAlignment="1" applyBorder="1" applyFont="1">
      <alignment horizontal="center" shrinkToFit="0" vertical="bottom" wrapText="0"/>
    </xf>
    <xf borderId="13" fillId="9" fontId="17" numFmtId="166" xfId="0" applyAlignment="1" applyBorder="1" applyFont="1" applyNumberFormat="1">
      <alignment horizontal="right" shrinkToFit="0" vertical="bottom" wrapText="0"/>
    </xf>
    <xf borderId="17" fillId="9" fontId="17" numFmtId="166" xfId="0" applyAlignment="1" applyBorder="1" applyFont="1" applyNumberFormat="1">
      <alignment horizontal="right" shrinkToFit="0" vertical="bottom" wrapText="0"/>
    </xf>
    <xf borderId="36" fillId="0" fontId="15" numFmtId="166" xfId="0" applyAlignment="1" applyBorder="1" applyFont="1" applyNumberFormat="1">
      <alignment horizontal="center" shrinkToFit="0" vertical="bottom" wrapText="0"/>
    </xf>
    <xf borderId="13" fillId="4" fontId="15" numFmtId="0" xfId="0" applyAlignment="1" applyBorder="1" applyFont="1">
      <alignment shrinkToFit="0" vertical="bottom" wrapText="1"/>
    </xf>
    <xf borderId="13" fillId="4" fontId="15" numFmtId="176" xfId="0" applyAlignment="1" applyBorder="1" applyFont="1" applyNumberFormat="1">
      <alignment horizontal="right" shrinkToFit="0" vertical="bottom" wrapText="0"/>
    </xf>
    <xf borderId="0" fillId="0" fontId="15" numFmtId="177" xfId="0" applyAlignment="1" applyFont="1" applyNumberFormat="1">
      <alignment shrinkToFit="0" vertical="bottom" wrapText="0"/>
    </xf>
    <xf borderId="0" fillId="0" fontId="15" numFmtId="9" xfId="0" applyAlignment="1" applyFont="1" applyNumberFormat="1">
      <alignment shrinkToFit="0" vertical="bottom" wrapText="0"/>
    </xf>
    <xf borderId="0" fillId="0" fontId="15" numFmtId="166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center" wrapText="0"/>
    </xf>
    <xf borderId="0" fillId="0" fontId="49" numFmtId="177" xfId="0" applyAlignment="1" applyFont="1" applyNumberFormat="1">
      <alignment horizontal="center" shrinkToFit="0" vertical="bottom" wrapText="0"/>
    </xf>
    <xf borderId="0" fillId="0" fontId="15" numFmtId="177" xfId="0" applyAlignment="1" applyFont="1" applyNumberFormat="1">
      <alignment horizontal="center" shrinkToFit="0" vertical="bottom" wrapText="0"/>
    </xf>
    <xf borderId="13" fillId="9" fontId="17" numFmtId="167" xfId="0" applyAlignment="1" applyBorder="1" applyFont="1" applyNumberFormat="1">
      <alignment horizontal="center" shrinkToFit="0" vertical="bottom" wrapText="0"/>
    </xf>
    <xf borderId="13" fillId="9" fontId="17" numFmtId="10" xfId="0" applyAlignment="1" applyBorder="1" applyFont="1" applyNumberFormat="1">
      <alignment horizontal="center" shrinkToFit="0" vertical="bottom" wrapText="0"/>
    </xf>
    <xf borderId="13" fillId="9" fontId="17" numFmtId="166" xfId="0" applyAlignment="1" applyBorder="1" applyFont="1" applyNumberFormat="1">
      <alignment shrinkToFit="0" vertical="bottom" wrapText="0"/>
    </xf>
    <xf borderId="13" fillId="4" fontId="17" numFmtId="9" xfId="0" applyAlignment="1" applyBorder="1" applyFont="1" applyNumberFormat="1">
      <alignment horizontal="center" shrinkToFit="0" vertical="bottom" wrapText="0"/>
    </xf>
    <xf borderId="13" fillId="4" fontId="17" numFmtId="9" xfId="0" applyAlignment="1" applyBorder="1" applyFont="1" applyNumberFormat="1">
      <alignment shrinkToFit="0" vertical="bottom" wrapText="0"/>
    </xf>
    <xf borderId="13" fillId="4" fontId="17" numFmtId="0" xfId="0" applyAlignment="1" applyBorder="1" applyFont="1">
      <alignment horizontal="center" shrinkToFit="0" vertical="bottom" wrapText="0"/>
    </xf>
    <xf borderId="13" fillId="4" fontId="17" numFmtId="166" xfId="0" applyAlignment="1" applyBorder="1" applyFont="1" applyNumberFormat="1">
      <alignment shrinkToFit="0" vertical="bottom" wrapText="0"/>
    </xf>
    <xf borderId="0" fillId="0" fontId="15" numFmtId="178" xfId="0" applyAlignment="1" applyFont="1" applyNumberFormat="1">
      <alignment shrinkToFit="0" vertical="bottom" wrapText="0"/>
    </xf>
    <xf borderId="17" fillId="13" fontId="13" numFmtId="0" xfId="0" applyAlignment="1" applyBorder="1" applyFill="1" applyFont="1">
      <alignment horizontal="center" shrinkToFit="0" vertical="center" wrapText="1"/>
    </xf>
    <xf borderId="13" fillId="4" fontId="13" numFmtId="0" xfId="0" applyAlignment="1" applyBorder="1" applyFont="1">
      <alignment horizontal="center" shrinkToFit="0" vertical="bottom" wrapText="0"/>
    </xf>
    <xf borderId="0" fillId="0" fontId="15" numFmtId="179" xfId="0" applyAlignment="1" applyFont="1" applyNumberFormat="1">
      <alignment shrinkToFit="0" vertical="bottom" wrapText="0"/>
    </xf>
    <xf borderId="13" fillId="14" fontId="17" numFmtId="0" xfId="0" applyAlignment="1" applyBorder="1" applyFill="1" applyFont="1">
      <alignment horizontal="center" shrinkToFit="0" vertical="bottom" wrapText="0"/>
    </xf>
    <xf borderId="13" fillId="14" fontId="17" numFmtId="166" xfId="0" applyAlignment="1" applyBorder="1" applyFont="1" applyNumberFormat="1">
      <alignment horizontal="right" shrinkToFit="0" vertical="bottom" wrapText="0"/>
    </xf>
    <xf borderId="13" fillId="14" fontId="17" numFmtId="166" xfId="0" applyAlignment="1" applyBorder="1" applyFont="1" applyNumberFormat="1">
      <alignment horizontal="center" shrinkToFit="0" vertical="bottom" wrapText="0"/>
    </xf>
    <xf borderId="17" fillId="14" fontId="17" numFmtId="166" xfId="0" applyAlignment="1" applyBorder="1" applyFont="1" applyNumberFormat="1">
      <alignment horizontal="right" shrinkToFit="0" vertical="bottom" wrapText="0"/>
    </xf>
    <xf borderId="13" fillId="14" fontId="20" numFmtId="166" xfId="0" applyAlignment="1" applyBorder="1" applyFont="1" applyNumberFormat="1">
      <alignment horizontal="right" shrinkToFit="0" vertical="bottom" wrapText="0"/>
    </xf>
    <xf borderId="13" fillId="4" fontId="15" numFmtId="175" xfId="0" applyAlignment="1" applyBorder="1" applyFont="1" applyNumberFormat="1">
      <alignment horizontal="right" shrinkToFit="0" vertical="bottom" wrapText="0"/>
    </xf>
    <xf borderId="13" fillId="4" fontId="17" numFmtId="175" xfId="0" applyAlignment="1" applyBorder="1" applyFont="1" applyNumberFormat="1">
      <alignment horizontal="right" shrinkToFit="0" vertical="bottom" wrapText="0"/>
    </xf>
    <xf borderId="13" fillId="14" fontId="20" numFmtId="3" xfId="0" applyAlignment="1" applyBorder="1" applyFont="1" applyNumberFormat="1">
      <alignment horizontal="center" shrinkToFit="0" vertical="bottom" wrapText="0"/>
    </xf>
    <xf borderId="13" fillId="14" fontId="17" numFmtId="10" xfId="0" applyAlignment="1" applyBorder="1" applyFont="1" applyNumberFormat="1">
      <alignment horizontal="center" shrinkToFit="0" vertical="bottom" wrapText="0"/>
    </xf>
    <xf borderId="13" fillId="14" fontId="17" numFmtId="166" xfId="0" applyAlignment="1" applyBorder="1" applyFont="1" applyNumberFormat="1">
      <alignment shrinkToFit="0" vertical="bottom" wrapText="0"/>
    </xf>
    <xf borderId="13" fillId="4" fontId="15" numFmtId="9" xfId="0" applyAlignment="1" applyBorder="1" applyFont="1" applyNumberFormat="1">
      <alignment horizontal="center" shrinkToFit="0" vertical="bottom" wrapText="0"/>
    </xf>
    <xf borderId="14" fillId="4" fontId="15" numFmtId="166" xfId="0" applyAlignment="1" applyBorder="1" applyFont="1" applyNumberFormat="1">
      <alignment horizontal="center" shrinkToFit="0" vertical="bottom" wrapText="0"/>
    </xf>
    <xf borderId="13" fillId="4" fontId="15" numFmtId="10" xfId="0" applyAlignment="1" applyBorder="1" applyFont="1" applyNumberFormat="1">
      <alignment horizontal="right" shrinkToFit="0" vertical="bottom" wrapText="0"/>
    </xf>
    <xf borderId="15" fillId="4" fontId="15" numFmtId="0" xfId="0" applyAlignment="1" applyBorder="1" applyFont="1">
      <alignment horizontal="left" shrinkToFit="0" vertical="center" wrapText="0"/>
    </xf>
    <xf borderId="15" fillId="0" fontId="15" numFmtId="166" xfId="0" applyAlignment="1" applyBorder="1" applyFont="1" applyNumberFormat="1">
      <alignment horizontal="center" readingOrder="0" shrinkToFit="0" vertical="center" wrapText="1"/>
    </xf>
    <xf borderId="15" fillId="4" fontId="15" numFmtId="10" xfId="0" applyAlignment="1" applyBorder="1" applyFont="1" applyNumberFormat="1">
      <alignment horizontal="right" shrinkToFit="0" vertical="center" wrapText="0"/>
    </xf>
    <xf borderId="30" fillId="0" fontId="25" numFmtId="0" xfId="0" applyBorder="1" applyFont="1"/>
    <xf borderId="25" fillId="0" fontId="15" numFmtId="0" xfId="0" applyAlignment="1" applyBorder="1" applyFont="1">
      <alignment shrinkToFit="0" vertical="bottom" wrapText="0"/>
    </xf>
    <xf borderId="29" fillId="0" fontId="13" numFmtId="0" xfId="0" applyAlignment="1" applyBorder="1" applyFont="1">
      <alignment horizontal="center" shrinkToFit="0" vertical="center" wrapText="1"/>
    </xf>
    <xf borderId="13" fillId="9" fontId="17" numFmtId="0" xfId="0" applyAlignment="1" applyBorder="1" applyFont="1">
      <alignment shrinkToFit="0" vertical="bottom" wrapText="0"/>
    </xf>
    <xf borderId="18" fillId="9" fontId="17" numFmtId="166" xfId="0" applyAlignment="1" applyBorder="1" applyFont="1" applyNumberFormat="1">
      <alignment shrinkToFit="0" vertical="bottom" wrapText="0"/>
    </xf>
    <xf borderId="13" fillId="9" fontId="17" numFmtId="9" xfId="0" applyAlignment="1" applyBorder="1" applyFont="1" applyNumberFormat="1">
      <alignment shrinkToFit="0" vertical="bottom" wrapText="0"/>
    </xf>
    <xf borderId="0" fillId="0" fontId="17" numFmtId="166" xfId="0" applyAlignment="1" applyFont="1" applyNumberFormat="1">
      <alignment shrinkToFit="0" vertical="bottom" wrapText="0"/>
    </xf>
    <xf borderId="0" fillId="0" fontId="15" numFmtId="180" xfId="0" applyAlignment="1" applyFont="1" applyNumberFormat="1">
      <alignment horizontal="center" shrinkToFit="0" vertical="bottom" wrapText="0"/>
    </xf>
    <xf borderId="15" fillId="5" fontId="13" numFmtId="0" xfId="0" applyAlignment="1" applyBorder="1" applyFont="1">
      <alignment horizontal="center" shrinkToFit="0" vertical="center" wrapText="1"/>
    </xf>
    <xf borderId="15" fillId="4" fontId="15" numFmtId="10" xfId="0" applyAlignment="1" applyBorder="1" applyFont="1" applyNumberFormat="1">
      <alignment horizontal="center" shrinkToFit="0" vertical="center" wrapText="0"/>
    </xf>
    <xf borderId="37" fillId="5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bottom" wrapText="1"/>
    </xf>
    <xf borderId="13" fillId="4" fontId="15" numFmtId="10" xfId="0" applyAlignment="1" applyBorder="1" applyFont="1" applyNumberFormat="1">
      <alignment shrinkToFit="0" vertical="bottom" wrapText="0"/>
    </xf>
    <xf borderId="38" fillId="0" fontId="25" numFmtId="0" xfId="0" applyBorder="1" applyFont="1"/>
    <xf borderId="0" fillId="0" fontId="15" numFmtId="10" xfId="0" applyAlignment="1" applyFont="1" applyNumberFormat="1">
      <alignment shrinkToFit="0" vertical="bottom" wrapText="0"/>
    </xf>
    <xf borderId="21" fillId="4" fontId="15" numFmtId="10" xfId="0" applyAlignment="1" applyBorder="1" applyFont="1" applyNumberFormat="1">
      <alignment shrinkToFit="0" vertical="bottom" wrapText="0"/>
    </xf>
    <xf borderId="17" fillId="5" fontId="20" numFmtId="0" xfId="0" applyAlignment="1" applyBorder="1" applyFont="1">
      <alignment horizontal="center" shrinkToFit="0" vertical="center" wrapText="1"/>
    </xf>
    <xf borderId="13" fillId="4" fontId="15" numFmtId="167" xfId="0" applyAlignment="1" applyBorder="1" applyFont="1" applyNumberFormat="1">
      <alignment shrinkToFit="0" vertical="bottom" wrapText="0"/>
    </xf>
    <xf borderId="14" fillId="15" fontId="17" numFmtId="0" xfId="0" applyAlignment="1" applyBorder="1" applyFill="1" applyFont="1">
      <alignment horizontal="left" shrinkToFit="0" vertical="bottom" wrapText="0"/>
    </xf>
    <xf borderId="19" fillId="15" fontId="17" numFmtId="0" xfId="0" applyAlignment="1" applyBorder="1" applyFont="1">
      <alignment shrinkToFit="0" vertical="bottom" wrapText="0"/>
    </xf>
    <xf borderId="18" fillId="15" fontId="17" numFmtId="0" xfId="0" applyAlignment="1" applyBorder="1" applyFont="1">
      <alignment shrinkToFit="0" vertical="bottom" wrapText="0"/>
    </xf>
    <xf borderId="13" fillId="15" fontId="17" numFmtId="166" xfId="0" applyAlignment="1" applyBorder="1" applyFont="1" applyNumberFormat="1">
      <alignment horizontal="right" shrinkToFit="0" vertical="bottom" wrapText="0"/>
    </xf>
    <xf borderId="14" fillId="15" fontId="17" numFmtId="0" xfId="0" applyAlignment="1" applyBorder="1" applyFont="1">
      <alignment shrinkToFit="0" vertical="bottom" wrapText="0"/>
    </xf>
    <xf borderId="27" fillId="0" fontId="17" numFmtId="0" xfId="0" applyAlignment="1" applyBorder="1" applyFont="1">
      <alignment shrinkToFit="0" vertical="bottom" wrapText="0"/>
    </xf>
    <xf borderId="27" fillId="0" fontId="17" numFmtId="175" xfId="0" applyAlignment="1" applyBorder="1" applyFont="1" applyNumberFormat="1">
      <alignment horizontal="right" shrinkToFit="0" vertical="bottom" wrapText="0"/>
    </xf>
    <xf borderId="19" fillId="4" fontId="15" numFmtId="167" xfId="0" applyAlignment="1" applyBorder="1" applyFont="1" applyNumberFormat="1">
      <alignment shrinkToFit="0" vertical="bottom" wrapText="0"/>
    </xf>
    <xf borderId="19" fillId="4" fontId="15" numFmtId="166" xfId="0" applyAlignment="1" applyBorder="1" applyFont="1" applyNumberFormat="1">
      <alignment horizontal="center" shrinkToFit="0" vertical="bottom" wrapText="0"/>
    </xf>
    <xf borderId="19" fillId="4" fontId="15" numFmtId="166" xfId="0" applyAlignment="1" applyBorder="1" applyFont="1" applyNumberFormat="1">
      <alignment horizontal="right" shrinkToFit="0" vertical="bottom" wrapText="0"/>
    </xf>
    <xf borderId="18" fillId="4" fontId="15" numFmtId="166" xfId="0" applyAlignment="1" applyBorder="1" applyFont="1" applyNumberFormat="1">
      <alignment horizontal="right" shrinkToFit="0" vertical="bottom" wrapText="0"/>
    </xf>
    <xf borderId="1" fillId="2" fontId="13" numFmtId="0" xfId="0" applyAlignment="1" applyBorder="1" applyFont="1">
      <alignment shrinkToFit="0" vertical="center" wrapText="0"/>
    </xf>
    <xf borderId="14" fillId="15" fontId="17" numFmtId="0" xfId="0" applyAlignment="1" applyBorder="1" applyFont="1">
      <alignment horizontal="left" shrinkToFit="0" vertical="center" wrapText="1"/>
    </xf>
    <xf borderId="19" fillId="15" fontId="17" numFmtId="0" xfId="0" applyAlignment="1" applyBorder="1" applyFont="1">
      <alignment shrinkToFit="0" vertical="center" wrapText="0"/>
    </xf>
    <xf borderId="19" fillId="15" fontId="17" numFmtId="166" xfId="0" applyAlignment="1" applyBorder="1" applyFont="1" applyNumberFormat="1">
      <alignment horizontal="right" shrinkToFit="0" vertical="center" wrapText="0"/>
    </xf>
    <xf borderId="18" fillId="15" fontId="17" numFmtId="166" xfId="0" applyAlignment="1" applyBorder="1" applyFont="1" applyNumberFormat="1">
      <alignment horizontal="right" shrinkToFit="0" vertical="center" wrapText="0"/>
    </xf>
    <xf borderId="0" fillId="0" fontId="15" numFmtId="0" xfId="0" applyAlignment="1" applyFont="1">
      <alignment shrinkToFit="0" vertical="center" wrapText="0"/>
    </xf>
    <xf borderId="1" fillId="2" fontId="15" numFmtId="0" xfId="0" applyAlignment="1" applyBorder="1" applyFont="1">
      <alignment shrinkToFit="0" vertical="center" wrapText="0"/>
    </xf>
    <xf borderId="0" fillId="0" fontId="17" numFmtId="0" xfId="0" applyAlignment="1" applyFont="1">
      <alignment horizontal="left" shrinkToFit="0" vertical="bottom" wrapText="0"/>
    </xf>
    <xf borderId="0" fillId="0" fontId="17" numFmtId="175" xfId="0" applyAlignment="1" applyFont="1" applyNumberFormat="1">
      <alignment horizontal="right" shrinkToFit="0" vertical="bottom" wrapText="0"/>
    </xf>
    <xf borderId="19" fillId="4" fontId="15" numFmtId="167" xfId="0" applyAlignment="1" applyBorder="1" applyFont="1" applyNumberFormat="1">
      <alignment horizontal="center" shrinkToFit="0" vertical="bottom" wrapText="0"/>
    </xf>
    <xf borderId="19" fillId="4" fontId="15" numFmtId="9" xfId="0" applyAlignment="1" applyBorder="1" applyFont="1" applyNumberFormat="1">
      <alignment horizontal="center" shrinkToFit="0" vertical="bottom" wrapText="0"/>
    </xf>
    <xf borderId="14" fillId="9" fontId="17" numFmtId="0" xfId="0" applyAlignment="1" applyBorder="1" applyFont="1">
      <alignment horizontal="left" shrinkToFit="0" vertical="center" wrapText="1"/>
    </xf>
    <xf borderId="19" fillId="9" fontId="17" numFmtId="0" xfId="0" applyAlignment="1" applyBorder="1" applyFont="1">
      <alignment shrinkToFit="0" vertical="center" wrapText="0"/>
    </xf>
    <xf borderId="19" fillId="9" fontId="17" numFmtId="166" xfId="0" applyAlignment="1" applyBorder="1" applyFont="1" applyNumberFormat="1">
      <alignment horizontal="right" shrinkToFit="0" vertical="center" wrapText="0"/>
    </xf>
    <xf borderId="18" fillId="9" fontId="17" numFmtId="166" xfId="0" applyAlignment="1" applyBorder="1" applyFont="1" applyNumberFormat="1">
      <alignment horizontal="right" shrinkToFit="0" vertical="center" wrapText="0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center" wrapText="0"/>
    </xf>
    <xf borderId="0" fillId="0" fontId="17" numFmtId="166" xfId="0" applyAlignment="1" applyFont="1" applyNumberFormat="1">
      <alignment horizontal="right" shrinkToFit="0" vertical="center" wrapText="0"/>
    </xf>
    <xf borderId="0" fillId="0" fontId="17" numFmtId="171" xfId="0" applyAlignment="1" applyFont="1" applyNumberFormat="1">
      <alignment shrinkToFit="0" vertical="center" wrapText="0"/>
    </xf>
    <xf borderId="0" fillId="0" fontId="17" numFmtId="167" xfId="0" applyAlignment="1" applyFont="1" applyNumberFormat="1">
      <alignment horizontal="left" shrinkToFit="0" vertical="bottom" wrapText="0"/>
    </xf>
    <xf borderId="22" fillId="5" fontId="13" numFmtId="0" xfId="0" applyAlignment="1" applyBorder="1" applyFont="1">
      <alignment horizontal="center" shrinkToFit="0" vertical="center" wrapText="1"/>
    </xf>
    <xf borderId="33" fillId="4" fontId="17" numFmtId="10" xfId="0" applyAlignment="1" applyBorder="1" applyFont="1" applyNumberFormat="1">
      <alignment horizontal="right" shrinkToFit="0" vertical="bottom" wrapText="0"/>
    </xf>
    <xf borderId="18" fillId="4" fontId="17" numFmtId="10" xfId="0" applyAlignment="1" applyBorder="1" applyFont="1" applyNumberFormat="1">
      <alignment horizontal="right" shrinkToFit="0" vertical="bottom" wrapText="0"/>
    </xf>
    <xf borderId="14" fillId="4" fontId="15" numFmtId="166" xfId="0" applyAlignment="1" applyBorder="1" applyFont="1" applyNumberFormat="1">
      <alignment horizontal="right" shrinkToFit="0" vertical="bottom" wrapText="0"/>
    </xf>
    <xf borderId="33" fillId="4" fontId="15" numFmtId="2" xfId="0" applyAlignment="1" applyBorder="1" applyFont="1" applyNumberFormat="1">
      <alignment shrinkToFit="0" vertical="bottom" wrapText="0"/>
    </xf>
    <xf borderId="18" fillId="4" fontId="15" numFmtId="177" xfId="0" applyAlignment="1" applyBorder="1" applyFont="1" applyNumberFormat="1">
      <alignment shrinkToFit="0" vertical="bottom" wrapText="0"/>
    </xf>
    <xf borderId="27" fillId="0" fontId="17" numFmtId="10" xfId="0" applyAlignment="1" applyBorder="1" applyFont="1" applyNumberFormat="1">
      <alignment horizontal="right" shrinkToFit="0" vertical="bottom" wrapText="0"/>
    </xf>
    <xf borderId="13" fillId="4" fontId="15" numFmtId="177" xfId="0" applyAlignment="1" applyBorder="1" applyFont="1" applyNumberFormat="1">
      <alignment shrinkToFit="0" vertical="bottom" wrapText="0"/>
    </xf>
    <xf borderId="22" fillId="0" fontId="15" numFmtId="166" xfId="0" applyAlignment="1" applyBorder="1" applyFont="1" applyNumberFormat="1">
      <alignment horizontal="right" shrinkToFit="0" vertical="bottom" wrapText="0"/>
    </xf>
    <xf borderId="19" fillId="4" fontId="15" numFmtId="177" xfId="0" applyAlignment="1" applyBorder="1" applyFont="1" applyNumberFormat="1">
      <alignment shrinkToFit="0" vertical="bottom" wrapText="0"/>
    </xf>
    <xf borderId="35" fillId="0" fontId="17" numFmtId="177" xfId="0" applyAlignment="1" applyBorder="1" applyFont="1" applyNumberFormat="1">
      <alignment shrinkToFit="0" vertical="bottom" wrapText="0"/>
    </xf>
    <xf borderId="0" fillId="0" fontId="17" numFmtId="177" xfId="0" applyAlignment="1" applyFont="1" applyNumberFormat="1">
      <alignment shrinkToFit="0" vertical="bottom" wrapText="0"/>
    </xf>
    <xf borderId="22" fillId="0" fontId="15" numFmtId="2" xfId="0" applyAlignment="1" applyBorder="1" applyFont="1" applyNumberFormat="1">
      <alignment shrinkToFit="0" vertical="bottom" wrapText="0"/>
    </xf>
    <xf borderId="1" fillId="4" fontId="15" numFmtId="177" xfId="0" applyAlignment="1" applyBorder="1" applyFont="1" applyNumberFormat="1">
      <alignment shrinkToFit="0" vertical="bottom" wrapText="0"/>
    </xf>
    <xf borderId="15" fillId="0" fontId="15" numFmtId="166" xfId="0" applyAlignment="1" applyBorder="1" applyFont="1" applyNumberFormat="1">
      <alignment horizontal="right" shrinkToFit="0" vertical="bottom" wrapText="0"/>
    </xf>
    <xf borderId="17" fillId="4" fontId="15" numFmtId="166" xfId="0" applyAlignment="1" applyBorder="1" applyFont="1" applyNumberFormat="1">
      <alignment horizontal="right" shrinkToFit="0" vertical="bottom" wrapText="0"/>
    </xf>
    <xf borderId="32" fillId="15" fontId="17" numFmtId="0" xfId="0" applyAlignment="1" applyBorder="1" applyFont="1">
      <alignment horizontal="left" shrinkToFit="0" vertical="center" wrapText="1"/>
    </xf>
    <xf borderId="17" fillId="15" fontId="17" numFmtId="166" xfId="0" applyAlignment="1" applyBorder="1" applyFont="1" applyNumberFormat="1">
      <alignment horizontal="right" shrinkToFit="0" vertical="center" wrapText="1"/>
    </xf>
    <xf borderId="17" fillId="15" fontId="17" numFmtId="10" xfId="0" applyAlignment="1" applyBorder="1" applyFont="1" applyNumberFormat="1">
      <alignment horizontal="right" shrinkToFit="0" vertical="bottom" wrapText="0"/>
    </xf>
    <xf borderId="17" fillId="15" fontId="17" numFmtId="166" xfId="0" applyAlignment="1" applyBorder="1" applyFont="1" applyNumberFormat="1">
      <alignment horizontal="left" shrinkToFit="0" vertical="center" wrapText="1"/>
    </xf>
    <xf borderId="34" fillId="4" fontId="17" numFmtId="10" xfId="0" applyAlignment="1" applyBorder="1" applyFont="1" applyNumberFormat="1">
      <alignment horizontal="right" shrinkToFit="0" vertical="bottom" wrapText="0"/>
    </xf>
    <xf borderId="32" fillId="15" fontId="17" numFmtId="166" xfId="0" applyAlignment="1" applyBorder="1" applyFont="1" applyNumberFormat="1">
      <alignment horizontal="right" shrinkToFit="0" vertical="center" wrapText="1"/>
    </xf>
    <xf borderId="32" fillId="15" fontId="17" numFmtId="166" xfId="0" applyAlignment="1" applyBorder="1" applyFont="1" applyNumberFormat="1">
      <alignment horizontal="left" shrinkToFit="0" vertical="center" wrapText="1"/>
    </xf>
    <xf borderId="34" fillId="15" fontId="17" numFmtId="166" xfId="0" applyAlignment="1" applyBorder="1" applyFont="1" applyNumberFormat="1">
      <alignment horizontal="left" shrinkToFit="0" vertical="center" wrapText="1"/>
    </xf>
    <xf borderId="27" fillId="0" fontId="17" numFmtId="0" xfId="0" applyAlignment="1" applyBorder="1" applyFont="1">
      <alignment horizontal="left" shrinkToFit="0" vertical="center" wrapText="1"/>
    </xf>
    <xf borderId="27" fillId="0" fontId="17" numFmtId="166" xfId="0" applyAlignment="1" applyBorder="1" applyFont="1" applyNumberFormat="1">
      <alignment horizontal="right" shrinkToFit="0" vertical="center" wrapText="1"/>
    </xf>
    <xf borderId="27" fillId="0" fontId="17" numFmtId="166" xfId="0" applyAlignment="1" applyBorder="1" applyFont="1" applyNumberFormat="1">
      <alignment horizontal="left" shrinkToFit="0" vertical="center" wrapText="1"/>
    </xf>
    <xf borderId="0" fillId="0" fontId="17" numFmtId="166" xfId="0" applyAlignment="1" applyFont="1" applyNumberFormat="1">
      <alignment horizontal="right" shrinkToFit="0" vertical="center" wrapText="1"/>
    </xf>
    <xf borderId="0" fillId="0" fontId="17" numFmtId="10" xfId="0" applyAlignment="1" applyFont="1" applyNumberFormat="1">
      <alignment horizontal="right" shrinkToFit="0" vertical="bottom" wrapText="0"/>
    </xf>
    <xf borderId="0" fillId="0" fontId="17" numFmtId="166" xfId="0" applyAlignment="1" applyFont="1" applyNumberFormat="1">
      <alignment horizontal="left" shrinkToFit="0" vertical="center" wrapText="1"/>
    </xf>
    <xf borderId="29" fillId="0" fontId="17" numFmtId="10" xfId="0" applyAlignment="1" applyBorder="1" applyFont="1" applyNumberFormat="1">
      <alignment horizontal="right" shrinkToFit="0" vertical="bottom" wrapText="0"/>
    </xf>
    <xf borderId="39" fillId="0" fontId="17" numFmtId="166" xfId="0" applyAlignment="1" applyBorder="1" applyFont="1" applyNumberFormat="1">
      <alignment horizontal="left" shrinkToFit="0" vertical="center" wrapText="1"/>
    </xf>
    <xf borderId="29" fillId="0" fontId="17" numFmtId="166" xfId="0" applyAlignment="1" applyBorder="1" applyFont="1" applyNumberFormat="1">
      <alignment horizontal="left" shrinkToFit="0" vertical="center" wrapText="1"/>
    </xf>
    <xf borderId="29" fillId="0" fontId="17" numFmtId="166" xfId="0" applyAlignment="1" applyBorder="1" applyFont="1" applyNumberFormat="1">
      <alignment horizontal="right" shrinkToFit="0" vertical="bottom" wrapText="0"/>
    </xf>
    <xf borderId="29" fillId="0" fontId="17" numFmtId="166" xfId="0" applyAlignment="1" applyBorder="1" applyFont="1" applyNumberFormat="1">
      <alignment horizontal="right" shrinkToFit="0" vertical="center" wrapText="1"/>
    </xf>
    <xf borderId="13" fillId="4" fontId="17" numFmtId="10" xfId="0" applyAlignment="1" applyBorder="1" applyFont="1" applyNumberFormat="1">
      <alignment horizontal="right" shrinkToFit="0" vertical="bottom" wrapText="0"/>
    </xf>
    <xf borderId="14" fillId="4" fontId="15" numFmtId="177" xfId="0" applyAlignment="1" applyBorder="1" applyFont="1" applyNumberFormat="1">
      <alignment shrinkToFit="0" vertical="bottom" wrapText="0"/>
    </xf>
    <xf borderId="21" fillId="15" fontId="17" numFmtId="166" xfId="0" applyAlignment="1" applyBorder="1" applyFont="1" applyNumberFormat="1">
      <alignment horizontal="right" shrinkToFit="0" vertical="center" wrapText="1"/>
    </xf>
    <xf borderId="1" fillId="4" fontId="17" numFmtId="10" xfId="0" applyAlignment="1" applyBorder="1" applyFont="1" applyNumberFormat="1">
      <alignment horizontal="right" shrinkToFit="0" vertical="bottom" wrapText="0"/>
    </xf>
    <xf borderId="21" fillId="15" fontId="17" numFmtId="0" xfId="0" applyAlignment="1" applyBorder="1" applyFont="1">
      <alignment horizontal="right" shrinkToFit="0" vertical="bottom" wrapText="0"/>
    </xf>
    <xf borderId="14" fillId="15" fontId="17" numFmtId="166" xfId="0" applyAlignment="1" applyBorder="1" applyFont="1" applyNumberFormat="1">
      <alignment horizontal="right" shrinkToFit="0" vertical="center" wrapText="1"/>
    </xf>
    <xf borderId="14" fillId="15" fontId="17" numFmtId="0" xfId="0" applyAlignment="1" applyBorder="1" applyFont="1">
      <alignment horizontal="right" shrinkToFit="0" vertical="bottom" wrapText="0"/>
    </xf>
    <xf borderId="18" fillId="15" fontId="17" numFmtId="0" xfId="0" applyAlignment="1" applyBorder="1" applyFont="1">
      <alignment horizontal="right" shrinkToFit="0" vertical="bottom" wrapText="0"/>
    </xf>
    <xf borderId="32" fillId="9" fontId="17" numFmtId="0" xfId="0" applyAlignment="1" applyBorder="1" applyFont="1">
      <alignment horizontal="left" shrinkToFit="0" vertical="center" wrapText="1"/>
    </xf>
    <xf borderId="17" fillId="9" fontId="17" numFmtId="166" xfId="0" applyAlignment="1" applyBorder="1" applyFont="1" applyNumberFormat="1">
      <alignment horizontal="right" shrinkToFit="0" vertical="center" wrapText="1"/>
    </xf>
    <xf borderId="33" fillId="9" fontId="17" numFmtId="10" xfId="0" applyAlignment="1" applyBorder="1" applyFont="1" applyNumberFormat="1">
      <alignment horizontal="right" shrinkToFit="0" vertical="bottom" wrapText="0"/>
    </xf>
    <xf borderId="17" fillId="9" fontId="17" numFmtId="10" xfId="0" applyAlignment="1" applyBorder="1" applyFont="1" applyNumberFormat="1">
      <alignment horizontal="right" shrinkToFit="0" vertical="bottom" wrapText="0"/>
    </xf>
    <xf borderId="32" fillId="9" fontId="17" numFmtId="166" xfId="0" applyAlignment="1" applyBorder="1" applyFont="1" applyNumberFormat="1">
      <alignment horizontal="right" shrinkToFit="0" vertical="center" wrapText="1"/>
    </xf>
    <xf borderId="32" fillId="9" fontId="17" numFmtId="10" xfId="0" applyAlignment="1" applyBorder="1" applyFont="1" applyNumberFormat="1">
      <alignment horizontal="right" shrinkToFit="0" vertical="bottom" wrapText="0"/>
    </xf>
    <xf borderId="34" fillId="9" fontId="17" numFmtId="10" xfId="0" applyAlignment="1" applyBorder="1" applyFont="1" applyNumberFormat="1">
      <alignment horizontal="right" shrinkToFit="0" vertical="bottom" wrapText="0"/>
    </xf>
    <xf borderId="29" fillId="0" fontId="15" numFmtId="176" xfId="0" applyAlignment="1" applyBorder="1" applyFont="1" applyNumberFormat="1">
      <alignment horizontal="right" shrinkToFit="0" vertical="bottom" wrapText="0"/>
    </xf>
    <xf borderId="29" fillId="0" fontId="15" numFmtId="4" xfId="0" applyAlignment="1" applyBorder="1" applyFont="1" applyNumberFormat="1">
      <alignment horizontal="right" shrinkToFit="0" vertical="bottom" wrapText="0"/>
    </xf>
    <xf borderId="29" fillId="0" fontId="15" numFmtId="10" xfId="0" applyAlignment="1" applyBorder="1" applyFont="1" applyNumberFormat="1">
      <alignment shrinkToFit="0" vertical="bottom" wrapText="0"/>
    </xf>
    <xf borderId="21" fillId="4" fontId="15" numFmtId="0" xfId="0" applyAlignment="1" applyBorder="1" applyFont="1">
      <alignment shrinkToFit="0" vertical="bottom" wrapText="0"/>
    </xf>
    <xf borderId="28" fillId="0" fontId="15" numFmtId="176" xfId="0" applyAlignment="1" applyBorder="1" applyFont="1" applyNumberFormat="1">
      <alignment horizontal="right" shrinkToFit="0" vertical="bottom" wrapText="0"/>
    </xf>
    <xf borderId="13" fillId="0" fontId="17" numFmtId="10" xfId="0" applyAlignment="1" applyBorder="1" applyFont="1" applyNumberFormat="1">
      <alignment shrinkToFit="0" vertical="bottom" wrapText="0"/>
    </xf>
    <xf borderId="40" fillId="4" fontId="15" numFmtId="176" xfId="0" applyAlignment="1" applyBorder="1" applyFont="1" applyNumberFormat="1">
      <alignment horizontal="right" shrinkToFit="0" vertical="bottom" wrapText="0"/>
    </xf>
    <xf borderId="25" fillId="0" fontId="15" numFmtId="0" xfId="0" applyAlignment="1" applyBorder="1" applyFont="1">
      <alignment readingOrder="0" shrinkToFit="0" vertical="bottom" wrapText="0"/>
    </xf>
    <xf borderId="21" fillId="4" fontId="17" numFmtId="10" xfId="0" applyAlignment="1" applyBorder="1" applyFont="1" applyNumberFormat="1">
      <alignment shrinkToFit="0" vertical="bottom" wrapText="0"/>
    </xf>
    <xf borderId="21" fillId="4" fontId="15" numFmtId="4" xfId="0" applyAlignment="1" applyBorder="1" applyFont="1" applyNumberFormat="1">
      <alignment horizontal="right" shrinkToFit="0" vertical="bottom" wrapText="0"/>
    </xf>
    <xf borderId="21" fillId="4" fontId="15" numFmtId="176" xfId="0" applyAlignment="1" applyBorder="1" applyFont="1" applyNumberFormat="1">
      <alignment horizontal="right" shrinkToFit="0" vertical="bottom" wrapText="0"/>
    </xf>
    <xf borderId="22" fillId="0" fontId="15" numFmtId="176" xfId="0" applyAlignment="1" applyBorder="1" applyFont="1" applyNumberFormat="1">
      <alignment horizontal="right" shrinkToFit="0" vertical="bottom" wrapText="0"/>
    </xf>
    <xf borderId="23" fillId="0" fontId="15" numFmtId="176" xfId="0" applyAlignment="1" applyBorder="1" applyFont="1" applyNumberFormat="1">
      <alignment horizontal="right" shrinkToFit="0" vertical="bottom" wrapText="0"/>
    </xf>
    <xf borderId="17" fillId="4" fontId="17" numFmtId="10" xfId="0" applyAlignment="1" applyBorder="1" applyFont="1" applyNumberFormat="1">
      <alignment shrinkToFit="0" vertical="bottom" wrapText="0"/>
    </xf>
    <xf borderId="13" fillId="0" fontId="15" numFmtId="4" xfId="0" applyAlignment="1" applyBorder="1" applyFont="1" applyNumberFormat="1">
      <alignment horizontal="right" shrinkToFit="0" vertical="bottom" wrapText="0"/>
    </xf>
    <xf borderId="13" fillId="4" fontId="17" numFmtId="10" xfId="0" applyAlignment="1" applyBorder="1" applyFont="1" applyNumberFormat="1">
      <alignment shrinkToFit="0" vertical="bottom" wrapText="0"/>
    </xf>
    <xf borderId="13" fillId="0" fontId="15" numFmtId="176" xfId="0" applyAlignment="1" applyBorder="1" applyFont="1" applyNumberFormat="1">
      <alignment horizontal="right" shrinkToFit="0" vertical="bottom" wrapText="0"/>
    </xf>
    <xf borderId="32" fillId="15" fontId="17" numFmtId="176" xfId="0" applyAlignment="1" applyBorder="1" applyFont="1" applyNumberFormat="1">
      <alignment horizontal="right" shrinkToFit="0" vertical="center" wrapText="1"/>
    </xf>
    <xf borderId="17" fillId="15" fontId="17" numFmtId="10" xfId="0" applyAlignment="1" applyBorder="1" applyFont="1" applyNumberFormat="1">
      <alignment shrinkToFit="0" vertical="bottom" wrapText="0"/>
    </xf>
    <xf borderId="33" fillId="15" fontId="17" numFmtId="176" xfId="0" applyAlignment="1" applyBorder="1" applyFont="1" applyNumberFormat="1">
      <alignment horizontal="right" shrinkToFit="0" vertical="center" wrapText="1"/>
    </xf>
    <xf borderId="32" fillId="15" fontId="17" numFmtId="4" xfId="0" applyAlignment="1" applyBorder="1" applyFont="1" applyNumberFormat="1">
      <alignment horizontal="right" shrinkToFit="0" vertical="center" wrapText="1"/>
    </xf>
    <xf borderId="27" fillId="0" fontId="17" numFmtId="176" xfId="0" applyAlignment="1" applyBorder="1" applyFont="1" applyNumberFormat="1">
      <alignment horizontal="right" shrinkToFit="0" vertical="center" wrapText="1"/>
    </xf>
    <xf borderId="27" fillId="0" fontId="17" numFmtId="10" xfId="0" applyAlignment="1" applyBorder="1" applyFont="1" applyNumberFormat="1">
      <alignment shrinkToFit="0" vertical="bottom" wrapText="0"/>
    </xf>
    <xf borderId="27" fillId="0" fontId="17" numFmtId="4" xfId="0" applyAlignment="1" applyBorder="1" applyFont="1" applyNumberFormat="1">
      <alignment horizontal="right" shrinkToFit="0" vertical="center" wrapText="1"/>
    </xf>
    <xf borderId="0" fillId="0" fontId="17" numFmtId="176" xfId="0" applyAlignment="1" applyFont="1" applyNumberFormat="1">
      <alignment horizontal="right" shrinkToFit="0" vertical="center" wrapText="1"/>
    </xf>
    <xf borderId="0" fillId="0" fontId="17" numFmtId="10" xfId="0" applyAlignment="1" applyFont="1" applyNumberFormat="1">
      <alignment shrinkToFit="0" vertical="bottom" wrapText="0"/>
    </xf>
    <xf borderId="0" fillId="0" fontId="17" numFmtId="4" xfId="0" applyAlignment="1" applyFont="1" applyNumberFormat="1">
      <alignment horizontal="right" shrinkToFit="0" vertical="center" wrapText="1"/>
    </xf>
    <xf borderId="17" fillId="4" fontId="15" numFmtId="0" xfId="0" applyAlignment="1" applyBorder="1" applyFont="1">
      <alignment shrinkToFit="0" vertical="bottom" wrapText="0"/>
    </xf>
    <xf borderId="14" fillId="4" fontId="15" numFmtId="176" xfId="0" applyAlignment="1" applyBorder="1" applyFont="1" applyNumberFormat="1">
      <alignment horizontal="right" shrinkToFit="0" vertical="bottom" wrapText="0"/>
    </xf>
    <xf borderId="19" fillId="4" fontId="15" numFmtId="176" xfId="0" applyAlignment="1" applyBorder="1" applyFont="1" applyNumberFormat="1">
      <alignment horizontal="right" shrinkToFit="0" vertical="bottom" wrapText="0"/>
    </xf>
    <xf borderId="13" fillId="4" fontId="15" numFmtId="4" xfId="0" applyAlignment="1" applyBorder="1" applyFont="1" applyNumberFormat="1">
      <alignment horizontal="right" shrinkToFit="0" vertical="bottom" wrapText="0"/>
    </xf>
    <xf borderId="13" fillId="15" fontId="17" numFmtId="166" xfId="0" applyAlignment="1" applyBorder="1" applyFont="1" applyNumberFormat="1">
      <alignment horizontal="left" shrinkToFit="0" vertical="center" wrapText="1"/>
    </xf>
    <xf borderId="14" fillId="15" fontId="17" numFmtId="176" xfId="0" applyAlignment="1" applyBorder="1" applyFont="1" applyNumberFormat="1">
      <alignment horizontal="right" shrinkToFit="0" vertical="center" wrapText="1"/>
    </xf>
    <xf borderId="13" fillId="15" fontId="17" numFmtId="10" xfId="0" applyAlignment="1" applyBorder="1" applyFont="1" applyNumberFormat="1">
      <alignment shrinkToFit="0" vertical="bottom" wrapText="0"/>
    </xf>
    <xf borderId="19" fillId="15" fontId="17" numFmtId="176" xfId="0" applyAlignment="1" applyBorder="1" applyFont="1" applyNumberFormat="1">
      <alignment horizontal="right" shrinkToFit="0" vertical="center" wrapText="1"/>
    </xf>
    <xf borderId="18" fillId="15" fontId="17" numFmtId="166" xfId="0" applyAlignment="1" applyBorder="1" applyFont="1" applyNumberFormat="1">
      <alignment horizontal="left" shrinkToFit="0" vertical="center" wrapText="1"/>
    </xf>
    <xf borderId="14" fillId="15" fontId="17" numFmtId="4" xfId="0" applyAlignment="1" applyBorder="1" applyFont="1" applyNumberFormat="1">
      <alignment horizontal="right" shrinkToFit="0" vertical="center" wrapText="1"/>
    </xf>
    <xf borderId="14" fillId="15" fontId="17" numFmtId="166" xfId="0" applyAlignment="1" applyBorder="1" applyFont="1" applyNumberFormat="1">
      <alignment horizontal="left" shrinkToFit="0" vertical="center" wrapText="1"/>
    </xf>
    <xf borderId="32" fillId="9" fontId="17" numFmtId="176" xfId="0" applyAlignment="1" applyBorder="1" applyFont="1" applyNumberFormat="1">
      <alignment horizontal="right" shrinkToFit="0" vertical="center" wrapText="1"/>
    </xf>
    <xf borderId="17" fillId="9" fontId="17" numFmtId="10" xfId="0" applyAlignment="1" applyBorder="1" applyFont="1" applyNumberFormat="1">
      <alignment shrinkToFit="0" vertical="bottom" wrapText="0"/>
    </xf>
    <xf borderId="33" fillId="9" fontId="17" numFmtId="176" xfId="0" applyAlignment="1" applyBorder="1" applyFont="1" applyNumberFormat="1">
      <alignment horizontal="right" shrinkToFit="0" vertical="center" wrapText="1"/>
    </xf>
    <xf borderId="32" fillId="9" fontId="17" numFmtId="4" xfId="0" applyAlignment="1" applyBorder="1" applyFont="1" applyNumberFormat="1">
      <alignment horizontal="right" shrinkToFit="0" vertical="center" wrapText="1"/>
    </xf>
    <xf borderId="13" fillId="4" fontId="15" numFmtId="173" xfId="0" applyAlignment="1" applyBorder="1" applyFont="1" applyNumberFormat="1">
      <alignment shrinkToFit="0" vertical="bottom" wrapText="0"/>
    </xf>
    <xf borderId="34" fillId="4" fontId="17" numFmtId="10" xfId="0" applyAlignment="1" applyBorder="1" applyFont="1" applyNumberFormat="1">
      <alignment shrinkToFit="0" vertical="bottom" wrapText="0"/>
    </xf>
    <xf borderId="33" fillId="4" fontId="15" numFmtId="173" xfId="0" applyAlignment="1" applyBorder="1" applyFont="1" applyNumberFormat="1">
      <alignment shrinkToFit="0" vertical="bottom" wrapText="0"/>
    </xf>
    <xf borderId="18" fillId="4" fontId="17" numFmtId="10" xfId="0" applyAlignment="1" applyBorder="1" applyFont="1" applyNumberFormat="1">
      <alignment shrinkToFit="0" vertical="bottom" wrapText="0"/>
    </xf>
    <xf borderId="32" fillId="4" fontId="15" numFmtId="173" xfId="0" applyAlignment="1" applyBorder="1" applyFont="1" applyNumberFormat="1">
      <alignment shrinkToFit="0" vertical="bottom" wrapText="0"/>
    </xf>
    <xf borderId="18" fillId="4" fontId="15" numFmtId="4" xfId="0" applyAlignment="1" applyBorder="1" applyFont="1" applyNumberFormat="1">
      <alignment horizontal="right" shrinkToFit="0" vertical="bottom" wrapText="0"/>
    </xf>
    <xf borderId="14" fillId="4" fontId="15" numFmtId="173" xfId="0" applyAlignment="1" applyBorder="1" applyFont="1" applyNumberFormat="1">
      <alignment shrinkToFit="0" vertical="bottom" wrapText="0"/>
    </xf>
    <xf borderId="1" fillId="4" fontId="15" numFmtId="173" xfId="0" applyAlignment="1" applyBorder="1" applyFont="1" applyNumberFormat="1">
      <alignment shrinkToFit="0" vertical="bottom" wrapText="0"/>
    </xf>
    <xf borderId="26" fillId="4" fontId="15" numFmtId="173" xfId="0" applyAlignment="1" applyBorder="1" applyFont="1" applyNumberFormat="1">
      <alignment shrinkToFit="0" vertical="bottom" wrapText="0"/>
    </xf>
    <xf borderId="40" fillId="15" fontId="17" numFmtId="166" xfId="0" applyAlignment="1" applyBorder="1" applyFont="1" applyNumberFormat="1">
      <alignment horizontal="left" shrinkToFit="0" vertical="center" wrapText="1"/>
    </xf>
    <xf borderId="32" fillId="9" fontId="17" numFmtId="166" xfId="0" applyAlignment="1" applyBorder="1" applyFont="1" applyNumberFormat="1">
      <alignment horizontal="left" shrinkToFit="0" vertical="center" wrapText="1"/>
    </xf>
    <xf borderId="29" fillId="0" fontId="15" numFmtId="166" xfId="0" applyAlignment="1" applyBorder="1" applyFont="1" applyNumberFormat="1">
      <alignment shrinkToFit="0" vertical="bottom" wrapText="0"/>
    </xf>
    <xf borderId="17" fillId="4" fontId="15" numFmtId="175" xfId="0" applyAlignment="1" applyBorder="1" applyFont="1" applyNumberFormat="1">
      <alignment shrinkToFit="0" vertical="bottom" wrapText="0"/>
    </xf>
    <xf borderId="13" fillId="4" fontId="15" numFmtId="175" xfId="0" applyAlignment="1" applyBorder="1" applyFont="1" applyNumberFormat="1">
      <alignment shrinkToFit="0" vertical="bottom" wrapText="0"/>
    </xf>
    <xf borderId="1" fillId="4" fontId="15" numFmtId="10" xfId="0" applyAlignment="1" applyBorder="1" applyFont="1" applyNumberFormat="1">
      <alignment shrinkToFit="0" vertical="bottom" wrapText="0"/>
    </xf>
    <xf borderId="36" fillId="0" fontId="15" numFmtId="0" xfId="0" applyAlignment="1" applyBorder="1" applyFont="1">
      <alignment shrinkToFit="0" vertical="bottom" wrapText="0"/>
    </xf>
    <xf borderId="27" fillId="0" fontId="15" numFmtId="176" xfId="0" applyAlignment="1" applyBorder="1" applyFont="1" applyNumberFormat="1">
      <alignment horizontal="right" shrinkToFit="0" vertical="bottom" wrapText="0"/>
    </xf>
    <xf borderId="27" fillId="0" fontId="15" numFmtId="4" xfId="0" applyAlignment="1" applyBorder="1" applyFont="1" applyNumberFormat="1">
      <alignment horizontal="right" shrinkToFit="0" vertical="bottom" wrapText="0"/>
    </xf>
    <xf borderId="27" fillId="0" fontId="15" numFmtId="0" xfId="0" applyAlignment="1" applyBorder="1" applyFont="1">
      <alignment shrinkToFit="0" vertical="bottom" wrapText="0"/>
    </xf>
    <xf borderId="27" fillId="0" fontId="15" numFmtId="10" xfId="0" applyAlignment="1" applyBorder="1" applyFont="1" applyNumberFormat="1">
      <alignment shrinkToFit="0" vertical="bottom" wrapText="0"/>
    </xf>
    <xf borderId="0" fillId="0" fontId="15" numFmtId="176" xfId="0" applyAlignment="1" applyFont="1" applyNumberFormat="1">
      <alignment horizontal="right" shrinkToFit="0" vertical="bottom" wrapText="0"/>
    </xf>
    <xf borderId="0" fillId="0" fontId="15" numFmtId="4" xfId="0" applyAlignment="1" applyFont="1" applyNumberFormat="1">
      <alignment horizontal="right" shrinkToFit="0" vertical="bottom" wrapText="0"/>
    </xf>
    <xf borderId="28" fillId="0" fontId="15" numFmtId="0" xfId="0" applyAlignment="1" applyBorder="1" applyFont="1">
      <alignment shrinkToFit="0" vertical="bottom" wrapText="0"/>
    </xf>
    <xf borderId="19" fillId="4" fontId="15" numFmtId="2" xfId="0" applyAlignment="1" applyBorder="1" applyFont="1" applyNumberFormat="1">
      <alignment shrinkToFit="0" vertical="bottom" wrapText="0"/>
    </xf>
    <xf borderId="18" fillId="4" fontId="15" numFmtId="176" xfId="0" applyAlignment="1" applyBorder="1" applyFont="1" applyNumberFormat="1">
      <alignment horizontal="right" shrinkToFit="0" vertical="bottom" wrapText="0"/>
    </xf>
    <xf borderId="27" fillId="0" fontId="15" numFmtId="2" xfId="0" applyAlignment="1" applyBorder="1" applyFont="1" applyNumberFormat="1">
      <alignment shrinkToFit="0" vertical="bottom" wrapText="0"/>
    </xf>
    <xf borderId="0" fillId="0" fontId="15" numFmtId="2" xfId="0" applyAlignment="1" applyFont="1" applyNumberFormat="1">
      <alignment shrinkToFit="0" vertical="bottom" wrapText="0"/>
    </xf>
    <xf borderId="0" fillId="0" fontId="15" numFmtId="173" xfId="0" applyAlignment="1" applyFont="1" applyNumberFormat="1">
      <alignment shrinkToFit="0" vertical="bottom" wrapText="0"/>
    </xf>
    <xf borderId="14" fillId="4" fontId="15" numFmtId="166" xfId="0" applyAlignment="1" applyBorder="1" applyFont="1" applyNumberFormat="1">
      <alignment shrinkToFit="0" vertical="bottom" wrapText="0"/>
    </xf>
    <xf borderId="19" fillId="4" fontId="15" numFmtId="166" xfId="0" applyAlignment="1" applyBorder="1" applyFont="1" applyNumberFormat="1">
      <alignment shrinkToFit="0" vertical="bottom" wrapText="0"/>
    </xf>
    <xf borderId="19" fillId="9" fontId="17" numFmtId="0" xfId="0" applyAlignment="1" applyBorder="1" applyFont="1">
      <alignment horizontal="left" shrinkToFit="0" vertical="center" wrapText="1"/>
    </xf>
    <xf borderId="19" fillId="9" fontId="17" numFmtId="176" xfId="0" applyAlignment="1" applyBorder="1" applyFont="1" applyNumberFormat="1">
      <alignment horizontal="right" shrinkToFit="0" vertical="center" wrapText="1"/>
    </xf>
    <xf borderId="19" fillId="9" fontId="17" numFmtId="166" xfId="0" applyAlignment="1" applyBorder="1" applyFont="1" applyNumberFormat="1">
      <alignment horizontal="left" shrinkToFit="0" vertical="center" wrapText="1"/>
    </xf>
    <xf borderId="18" fillId="9" fontId="17" numFmtId="176" xfId="0" applyAlignment="1" applyBorder="1" applyFont="1" applyNumberFormat="1">
      <alignment horizontal="right" shrinkToFit="0" vertical="center" wrapText="1"/>
    </xf>
    <xf borderId="33" fillId="9" fontId="17" numFmtId="0" xfId="0" applyAlignment="1" applyBorder="1" applyFont="1">
      <alignment horizontal="left" shrinkToFit="0" vertical="center" wrapText="1"/>
    </xf>
    <xf borderId="33" fillId="9" fontId="17" numFmtId="166" xfId="0" applyAlignment="1" applyBorder="1" applyFont="1" applyNumberFormat="1">
      <alignment horizontal="left" shrinkToFit="0" vertical="center" wrapText="1"/>
    </xf>
    <xf borderId="34" fillId="9" fontId="17" numFmtId="176" xfId="0" applyAlignment="1" applyBorder="1" applyFont="1" applyNumberFormat="1">
      <alignment horizontal="right" shrinkToFit="0" vertical="center" wrapText="1"/>
    </xf>
    <xf borderId="0" fillId="0" fontId="17" numFmtId="3" xfId="0" applyAlignment="1" applyFont="1" applyNumberFormat="1">
      <alignment shrinkToFit="0" vertical="bottom" wrapText="0"/>
    </xf>
    <xf borderId="0" fillId="0" fontId="17" numFmtId="173" xfId="0" applyAlignment="1" applyFont="1" applyNumberFormat="1">
      <alignment shrinkToFit="0" vertical="bottom" wrapText="0"/>
    </xf>
    <xf borderId="19" fillId="4" fontId="15" numFmtId="3" xfId="0" applyAlignment="1" applyBorder="1" applyFont="1" applyNumberFormat="1">
      <alignment shrinkToFit="0" vertical="bottom" wrapText="0"/>
    </xf>
    <xf borderId="19" fillId="4" fontId="15" numFmtId="173" xfId="0" applyAlignment="1" applyBorder="1" applyFont="1" applyNumberFormat="1">
      <alignment shrinkToFit="0" vertical="bottom" wrapText="0"/>
    </xf>
    <xf borderId="18" fillId="4" fontId="15" numFmtId="173" xfId="0" applyAlignment="1" applyBorder="1" applyFont="1" applyNumberFormat="1">
      <alignment shrinkToFit="0" vertical="bottom" wrapText="0"/>
    </xf>
    <xf borderId="14" fillId="4" fontId="15" numFmtId="0" xfId="0" applyAlignment="1" applyBorder="1" applyFont="1">
      <alignment shrinkToFit="0" vertical="bottom" wrapText="1"/>
    </xf>
    <xf borderId="19" fillId="4" fontId="15" numFmtId="4" xfId="0" applyAlignment="1" applyBorder="1" applyFont="1" applyNumberFormat="1">
      <alignment shrinkToFit="0" vertical="bottom" wrapText="0"/>
    </xf>
    <xf borderId="18" fillId="4" fontId="15" numFmtId="4" xfId="0" applyAlignment="1" applyBorder="1" applyFont="1" applyNumberFormat="1">
      <alignment shrinkToFit="0" vertical="bottom" wrapText="0"/>
    </xf>
    <xf borderId="19" fillId="4" fontId="15" numFmtId="10" xfId="0" applyAlignment="1" applyBorder="1" applyFont="1" applyNumberFormat="1">
      <alignment shrinkToFit="0" vertical="bottom" wrapText="0"/>
    </xf>
    <xf borderId="0" fillId="0" fontId="17" numFmtId="4" xfId="0" applyAlignment="1" applyFont="1" applyNumberFormat="1">
      <alignment shrinkToFit="0" vertical="bottom" wrapText="0"/>
    </xf>
    <xf borderId="1" fillId="2" fontId="17" numFmtId="0" xfId="0" applyAlignment="1" applyBorder="1" applyFont="1">
      <alignment shrinkToFit="0" vertical="bottom" wrapText="0"/>
    </xf>
    <xf borderId="1" fillId="2" fontId="17" numFmtId="3" xfId="0" applyAlignment="1" applyBorder="1" applyFont="1" applyNumberFormat="1">
      <alignment shrinkToFit="0" vertical="bottom" wrapText="0"/>
    </xf>
    <xf borderId="1" fillId="2" fontId="17" numFmtId="4" xfId="0" applyAlignment="1" applyBorder="1" applyFont="1" applyNumberFormat="1">
      <alignment shrinkToFit="0" vertical="bottom" wrapText="0"/>
    </xf>
    <xf borderId="1" fillId="2" fontId="17" numFmtId="173" xfId="0" applyAlignment="1" applyBorder="1" applyFont="1" applyNumberFormat="1">
      <alignment shrinkToFit="0" vertical="bottom" wrapText="0"/>
    </xf>
    <xf borderId="13" fillId="4" fontId="17" numFmtId="181" xfId="0" applyAlignment="1" applyBorder="1" applyFont="1" applyNumberFormat="1">
      <alignment horizontal="center" shrinkToFit="0" vertical="bottom" wrapText="0"/>
    </xf>
    <xf borderId="13" fillId="4" fontId="17" numFmtId="2" xfId="0" applyAlignment="1" applyBorder="1" applyFont="1" applyNumberFormat="1">
      <alignment horizontal="center" shrinkToFit="0" vertical="bottom" wrapText="0"/>
    </xf>
    <xf borderId="0" fillId="0" fontId="17" numFmtId="181" xfId="0" applyAlignment="1" applyFont="1" applyNumberFormat="1">
      <alignment shrinkToFit="0" vertical="bottom" wrapText="0"/>
    </xf>
    <xf borderId="13" fillId="4" fontId="17" numFmtId="171" xfId="0" applyAlignment="1" applyBorder="1" applyFont="1" applyNumberFormat="1">
      <alignment horizontal="left" shrinkToFit="0" vertical="bottom" wrapText="0"/>
    </xf>
    <xf borderId="13" fillId="4" fontId="17" numFmtId="0" xfId="0" applyAlignment="1" applyBorder="1" applyFont="1">
      <alignment shrinkToFit="0" vertical="bottom" wrapText="0"/>
    </xf>
    <xf borderId="13" fillId="5" fontId="24" numFmtId="1" xfId="0" applyAlignment="1" applyBorder="1" applyFont="1" applyNumberFormat="1">
      <alignment horizontal="center" shrinkToFit="0" wrapText="1"/>
    </xf>
    <xf borderId="13" fillId="5" fontId="24" numFmtId="166" xfId="0" applyAlignment="1" applyBorder="1" applyFont="1" applyNumberFormat="1">
      <alignment horizontal="center" shrinkToFit="0" wrapText="1"/>
    </xf>
    <xf borderId="13" fillId="4" fontId="24" numFmtId="1" xfId="0" applyAlignment="1" applyBorder="1" applyFont="1" applyNumberFormat="1">
      <alignment horizontal="right" vertical="bottom"/>
    </xf>
    <xf borderId="13" fillId="0" fontId="24" numFmtId="167" xfId="0" applyAlignment="1" applyBorder="1" applyFont="1" applyNumberFormat="1">
      <alignment horizontal="right" vertical="bottom"/>
    </xf>
    <xf borderId="13" fillId="4" fontId="19" numFmtId="0" xfId="0" applyAlignment="1" applyBorder="1" applyFont="1">
      <alignment horizontal="center" shrinkToFit="0" vertical="bottom" wrapText="0"/>
    </xf>
    <xf borderId="18" fillId="4" fontId="19" numFmtId="167" xfId="0" applyAlignment="1" applyBorder="1" applyFont="1" applyNumberFormat="1">
      <alignment shrinkToFit="0" vertical="bottom" wrapText="0"/>
    </xf>
    <xf borderId="13" fillId="4" fontId="19" numFmtId="166" xfId="0" applyAlignment="1" applyBorder="1" applyFont="1" applyNumberFormat="1">
      <alignment shrinkToFit="0" vertical="bottom" wrapText="0"/>
    </xf>
    <xf borderId="13" fillId="5" fontId="17" numFmtId="0" xfId="0" applyAlignment="1" applyBorder="1" applyFont="1">
      <alignment horizontal="center" shrinkToFit="0" vertical="bottom" wrapText="0"/>
    </xf>
    <xf borderId="13" fillId="5" fontId="17" numFmtId="171" xfId="0" applyAlignment="1" applyBorder="1" applyFont="1" applyNumberFormat="1">
      <alignment horizontal="center" shrinkToFit="0" vertical="bottom" wrapText="0"/>
    </xf>
    <xf borderId="0" fillId="0" fontId="15" numFmtId="180" xfId="0" applyAlignment="1" applyFont="1" applyNumberFormat="1">
      <alignment shrinkToFit="0" vertical="bottom" wrapText="0"/>
    </xf>
    <xf borderId="13" fillId="4" fontId="17" numFmtId="171" xfId="0" applyAlignment="1" applyBorder="1" applyFont="1" applyNumberFormat="1">
      <alignment horizontal="center" shrinkToFit="0" vertical="bottom" wrapText="0"/>
    </xf>
    <xf borderId="13" fillId="4" fontId="17" numFmtId="166" xfId="0" applyAlignment="1" applyBorder="1" applyFont="1" applyNumberFormat="1">
      <alignment horizontal="center" shrinkToFit="0" vertical="bottom" wrapText="0"/>
    </xf>
    <xf borderId="0" fillId="0" fontId="15" numFmtId="182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Cantidad Vendida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Mercado!$H$17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Mercado!$H$18:$H$22</c:f>
              <c:numCache/>
            </c:numRef>
          </c:val>
          <c:smooth val="0"/>
        </c:ser>
        <c:axId val="1436500562"/>
        <c:axId val="841236791"/>
      </c:lineChart>
      <c:catAx>
        <c:axId val="1436500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41236791"/>
      </c:catAx>
      <c:valAx>
        <c:axId val="841236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6500562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Distribución del Mercado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00FF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Mercado!$I$5:$J$5</c:f>
            </c:strRef>
          </c:cat>
          <c:val>
            <c:numRef>
              <c:f>Mercado!$I$6:$J$6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000000"/>
                </a:solidFill>
                <a:latin typeface="+mn-lt"/>
              </a:defRPr>
            </a:pPr>
            <a:r>
              <a:rPr b="1" i="1" sz="1800">
                <a:solidFill>
                  <a:srgbClr val="000000"/>
                </a:solidFill>
                <a:latin typeface="+mn-lt"/>
              </a:rPr>
              <a:t>Punto de Equilibrio Económico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'Puntos de Equilibrio'!$F$13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  <a:ln cmpd="sng">
                <a:solidFill>
                  <a:srgbClr val="00FFFF"/>
                </a:solidFill>
              </a:ln>
            </c:spPr>
          </c:marker>
          <c:xVal>
            <c:numRef>
              <c:f>'Puntos de Equilibrio'!$D$14:$D$23</c:f>
            </c:numRef>
          </c:xVal>
          <c:yVal>
            <c:numRef>
              <c:f>'Puntos de Equilibrio'!$F$14:$F$23</c:f>
              <c:numCache/>
            </c:numRef>
          </c:yVal>
        </c:ser>
        <c:ser>
          <c:idx val="1"/>
          <c:order val="1"/>
          <c:tx>
            <c:strRef>
              <c:f>'Puntos de Equilibrio'!$E$13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0080"/>
              </a:solidFill>
              <a:ln cmpd="sng">
                <a:solidFill>
                  <a:srgbClr val="800080"/>
                </a:solidFill>
              </a:ln>
            </c:spPr>
          </c:marker>
          <c:xVal>
            <c:numRef>
              <c:f>'Puntos de Equilibrio'!$D$14:$D$23</c:f>
            </c:numRef>
          </c:xVal>
          <c:yVal>
            <c:numRef>
              <c:f>'Puntos de Equilibrio'!$E$14:$E$23</c:f>
              <c:numCache/>
            </c:numRef>
          </c:yVal>
        </c:ser>
        <c:ser>
          <c:idx val="2"/>
          <c:order val="2"/>
          <c:tx>
            <c:strRef>
              <c:f>'Puntos de Equilibrio'!$H$13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0000"/>
              </a:solidFill>
              <a:ln cmpd="sng">
                <a:solidFill>
                  <a:srgbClr val="800000"/>
                </a:solidFill>
              </a:ln>
            </c:spPr>
          </c:marker>
          <c:xVal>
            <c:numRef>
              <c:f>'Puntos de Equilibrio'!$D$14:$D$23</c:f>
            </c:numRef>
          </c:xVal>
          <c:yVal>
            <c:numRef>
              <c:f>'Puntos de Equilibrio'!$H$14:$H$23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249389"/>
        <c:axId val="537830227"/>
      </c:scatterChart>
      <c:valAx>
        <c:axId val="2020249389"/>
        <c:scaling>
          <c:orientation val="minMax"/>
          <c:max val="4000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7830227"/>
      </c:valAx>
      <c:valAx>
        <c:axId val="537830227"/>
        <c:scaling>
          <c:orientation val="minMax"/>
          <c:max val="5.0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Ingresos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02493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800">
                <a:solidFill>
                  <a:srgbClr val="000000"/>
                </a:solidFill>
                <a:latin typeface="+mn-lt"/>
              </a:defRPr>
            </a:pPr>
            <a:r>
              <a:rPr b="1" i="1" sz="1800">
                <a:solidFill>
                  <a:srgbClr val="000000"/>
                </a:solidFill>
                <a:latin typeface="+mn-lt"/>
              </a:rPr>
              <a:t>Punto de Equilibrio Financiero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'Puntos de Equilibrio'!$H$39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 cmpd="sng">
                <a:solidFill>
                  <a:srgbClr val="FFFF00"/>
                </a:solidFill>
              </a:ln>
            </c:spPr>
          </c:marker>
          <c:xVal>
            <c:numRef>
              <c:f>'Puntos de Equilibrio'!$D$40:$D$49</c:f>
            </c:numRef>
          </c:xVal>
          <c:yVal>
            <c:numRef>
              <c:f>'Puntos de Equilibrio'!$H$40:$H$49</c:f>
              <c:numCache/>
            </c:numRef>
          </c:yVal>
        </c:ser>
        <c:ser>
          <c:idx val="1"/>
          <c:order val="1"/>
          <c:tx>
            <c:strRef>
              <c:f>'Puntos de Equilibrio'!$F$39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  <a:ln cmpd="sng">
                <a:solidFill>
                  <a:srgbClr val="00FFFF"/>
                </a:solidFill>
              </a:ln>
            </c:spPr>
          </c:marker>
          <c:xVal>
            <c:numRef>
              <c:f>'Puntos de Equilibrio'!$D$40:$D$49</c:f>
            </c:numRef>
          </c:xVal>
          <c:yVal>
            <c:numRef>
              <c:f>'Puntos de Equilibrio'!$F$40:$F$49</c:f>
              <c:numCache/>
            </c:numRef>
          </c:yVal>
        </c:ser>
        <c:ser>
          <c:idx val="2"/>
          <c:order val="2"/>
          <c:tx>
            <c:strRef>
              <c:f>'Puntos de Equilibrio'!$E$39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0080"/>
              </a:solidFill>
              <a:ln cmpd="sng">
                <a:solidFill>
                  <a:srgbClr val="800080"/>
                </a:solidFill>
              </a:ln>
            </c:spPr>
          </c:marker>
          <c:xVal>
            <c:numRef>
              <c:f>'Puntos de Equilibrio'!$D$40:$D$49</c:f>
            </c:numRef>
          </c:xVal>
          <c:yVal>
            <c:numRef>
              <c:f>'Puntos de Equilibrio'!$E$40:$E$49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652518"/>
        <c:axId val="512866141"/>
      </c:scatterChart>
      <c:valAx>
        <c:axId val="547652518"/>
        <c:scaling>
          <c:orientation val="minMax"/>
          <c:max val="4000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12866141"/>
      </c:valAx>
      <c:valAx>
        <c:axId val="512866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Ingresos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765251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838200</xdr:colOff>
      <xdr:row>1</xdr:row>
      <xdr:rowOff>114300</xdr:rowOff>
    </xdr:from>
    <xdr:ext cx="2143125" cy="790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40</xdr:row>
      <xdr:rowOff>28575</xdr:rowOff>
    </xdr:from>
    <xdr:ext cx="5219700" cy="270510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257175</xdr:colOff>
      <xdr:row>40</xdr:row>
      <xdr:rowOff>19050</xdr:rowOff>
    </xdr:from>
    <xdr:ext cx="5553075" cy="2705100"/>
    <xdr:graphicFrame>
      <xdr:nvGraphicFramePr>
        <xdr:cNvPr descr="Chart 1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133350</xdr:rowOff>
    </xdr:from>
    <xdr:ext cx="2600325" cy="276225"/>
    <xdr:sp>
      <xdr:nvSpPr>
        <xdr:cNvPr id="3" name="Shape 3"/>
        <xdr:cNvSpPr/>
      </xdr:nvSpPr>
      <xdr:spPr>
        <a:xfrm>
          <a:off x="4050600" y="3646650"/>
          <a:ext cx="2590800" cy="2667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Seleccionar tipo de energia utilizada</a:t>
          </a:r>
          <a:endParaRPr sz="1400"/>
        </a:p>
      </xdr:txBody>
    </xdr:sp>
    <xdr:clientData fLocksWithSheet="0"/>
  </xdr:oneCellAnchor>
  <xdr:oneCellAnchor>
    <xdr:from>
      <xdr:col>11</xdr:col>
      <xdr:colOff>390525</xdr:colOff>
      <xdr:row>3</xdr:row>
      <xdr:rowOff>66675</xdr:rowOff>
    </xdr:from>
    <xdr:ext cx="209550" cy="361950"/>
    <xdr:grpSp>
      <xdr:nvGrpSpPr>
        <xdr:cNvPr id="2" name="Shape 2"/>
        <xdr:cNvGrpSpPr/>
      </xdr:nvGrpSpPr>
      <xdr:grpSpPr>
        <a:xfrm>
          <a:off x="5241225" y="3599025"/>
          <a:ext cx="209550" cy="361950"/>
          <a:chOff x="5241225" y="3599025"/>
          <a:chExt cx="209550" cy="361950"/>
        </a:xfrm>
      </xdr:grpSpPr>
      <xdr:grpSp>
        <xdr:nvGrpSpPr>
          <xdr:cNvPr id="4" name="Shape 4"/>
          <xdr:cNvGrpSpPr/>
        </xdr:nvGrpSpPr>
        <xdr:grpSpPr>
          <a:xfrm>
            <a:off x="5241225" y="3599025"/>
            <a:ext cx="209550" cy="361950"/>
            <a:chOff x="5245988" y="3603788"/>
            <a:chExt cx="200025" cy="352425"/>
          </a:xfrm>
        </xdr:grpSpPr>
        <xdr:sp>
          <xdr:nvSpPr>
            <xdr:cNvPr id="5" name="Shape 5"/>
            <xdr:cNvSpPr/>
          </xdr:nvSpPr>
          <xdr:spPr>
            <a:xfrm>
              <a:off x="5245988" y="3603788"/>
              <a:ext cx="2000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" name="Shape 6"/>
            <xdr:cNvCxnSpPr/>
          </xdr:nvCxnSpPr>
          <xdr:spPr>
            <a:xfrm>
              <a:off x="5245988" y="3603788"/>
              <a:ext cx="200025" cy="352425"/>
            </a:xfrm>
            <a:prstGeom prst="bentConnector2">
              <a:avLst/>
            </a:prstGeom>
            <a:noFill/>
            <a:ln cap="flat" cmpd="sng" w="9525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3057525" cy="276225"/>
    <xdr:sp>
      <xdr:nvSpPr>
        <xdr:cNvPr id="7" name="Shape 7"/>
        <xdr:cNvSpPr/>
      </xdr:nvSpPr>
      <xdr:spPr>
        <a:xfrm>
          <a:off x="3822000" y="3646650"/>
          <a:ext cx="3048000" cy="2667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Definir el sistema de amortizacion a utilizar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1200150</xdr:colOff>
      <xdr:row>17</xdr:row>
      <xdr:rowOff>0</xdr:rowOff>
    </xdr:from>
    <xdr:ext cx="3067050" cy="276225"/>
    <xdr:sp>
      <xdr:nvSpPr>
        <xdr:cNvPr id="8" name="Shape 8"/>
        <xdr:cNvSpPr/>
      </xdr:nvSpPr>
      <xdr:spPr>
        <a:xfrm>
          <a:off x="3817238" y="3646650"/>
          <a:ext cx="3057525" cy="2667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Definir el sistema de amortizacion a utilizar</a:t>
          </a:r>
          <a:endParaRPr sz="1400"/>
        </a:p>
      </xdr:txBody>
    </xdr:sp>
    <xdr:clientData fLocksWithSheet="0"/>
  </xdr:oneCellAnchor>
  <xdr:oneCellAnchor>
    <xdr:from>
      <xdr:col>4</xdr:col>
      <xdr:colOff>419100</xdr:colOff>
      <xdr:row>15</xdr:row>
      <xdr:rowOff>19050</xdr:rowOff>
    </xdr:from>
    <xdr:ext cx="38100" cy="342900"/>
    <xdr:grpSp>
      <xdr:nvGrpSpPr>
        <xdr:cNvPr id="2" name="Shape 2"/>
        <xdr:cNvGrpSpPr/>
      </xdr:nvGrpSpPr>
      <xdr:grpSpPr>
        <a:xfrm>
          <a:off x="5326950" y="3608550"/>
          <a:ext cx="38100" cy="342900"/>
          <a:chOff x="5326950" y="3608550"/>
          <a:chExt cx="38100" cy="342900"/>
        </a:xfrm>
      </xdr:grpSpPr>
      <xdr:grpSp>
        <xdr:nvGrpSpPr>
          <xdr:cNvPr id="9" name="Shape 9"/>
          <xdr:cNvGrpSpPr/>
        </xdr:nvGrpSpPr>
        <xdr:grpSpPr>
          <a:xfrm>
            <a:off x="5326950" y="3608550"/>
            <a:ext cx="38100" cy="342900"/>
            <a:chOff x="5331713" y="3608550"/>
            <a:chExt cx="28575" cy="342900"/>
          </a:xfrm>
        </xdr:grpSpPr>
        <xdr:sp>
          <xdr:nvSpPr>
            <xdr:cNvPr id="5" name="Shape 5"/>
            <xdr:cNvSpPr/>
          </xdr:nvSpPr>
          <xdr:spPr>
            <a:xfrm>
              <a:off x="5331713" y="3608550"/>
              <a:ext cx="28575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" name="Shape 10"/>
            <xdr:cNvCxnSpPr/>
          </xdr:nvCxnSpPr>
          <xdr:spPr>
            <a:xfrm flipH="1" rot="10800000">
              <a:off x="5331713" y="3608550"/>
              <a:ext cx="28575" cy="342900"/>
            </a:xfrm>
            <a:prstGeom prst="straightConnector1">
              <a:avLst/>
            </a:prstGeom>
            <a:noFill/>
            <a:ln cap="flat" cmpd="sng" w="9525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1171575</xdr:colOff>
      <xdr:row>14</xdr:row>
      <xdr:rowOff>133350</xdr:rowOff>
    </xdr:from>
    <xdr:ext cx="3067050" cy="285750"/>
    <xdr:sp>
      <xdr:nvSpPr>
        <xdr:cNvPr id="11" name="Shape 11"/>
        <xdr:cNvSpPr/>
      </xdr:nvSpPr>
      <xdr:spPr>
        <a:xfrm>
          <a:off x="3817238" y="3641888"/>
          <a:ext cx="3057525" cy="276225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Definir el sistema de amortizacion a utilizar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3048000" cy="276225"/>
    <xdr:sp>
      <xdr:nvSpPr>
        <xdr:cNvPr id="12" name="Shape 12"/>
        <xdr:cNvSpPr/>
      </xdr:nvSpPr>
      <xdr:spPr>
        <a:xfrm>
          <a:off x="3826763" y="3646650"/>
          <a:ext cx="3038475" cy="266700"/>
        </a:xfrm>
        <a:prstGeom prst="rect">
          <a:avLst/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i="0" lang="en-US" sz="110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Definir el sistema de amortizacion a utilizar</a:t>
          </a:r>
          <a:endParaRPr sz="1400"/>
        </a:p>
      </xdr:txBody>
    </xdr:sp>
    <xdr:clientData fLocksWithSheet="0"/>
  </xdr:oneCellAnchor>
  <xdr:oneCellAnchor>
    <xdr:from>
      <xdr:col>4</xdr:col>
      <xdr:colOff>400050</xdr:colOff>
      <xdr:row>15</xdr:row>
      <xdr:rowOff>0</xdr:rowOff>
    </xdr:from>
    <xdr:ext cx="38100" cy="542925"/>
    <xdr:grpSp>
      <xdr:nvGrpSpPr>
        <xdr:cNvPr id="2" name="Shape 2"/>
        <xdr:cNvGrpSpPr/>
      </xdr:nvGrpSpPr>
      <xdr:grpSpPr>
        <a:xfrm>
          <a:off x="5326950" y="3508538"/>
          <a:ext cx="38100" cy="542925"/>
          <a:chOff x="5326950" y="3508538"/>
          <a:chExt cx="38100" cy="542925"/>
        </a:xfrm>
      </xdr:grpSpPr>
      <xdr:grpSp>
        <xdr:nvGrpSpPr>
          <xdr:cNvPr id="13" name="Shape 13"/>
          <xdr:cNvGrpSpPr/>
        </xdr:nvGrpSpPr>
        <xdr:grpSpPr>
          <a:xfrm>
            <a:off x="5326950" y="3508538"/>
            <a:ext cx="38100" cy="542925"/>
            <a:chOff x="5336475" y="3508538"/>
            <a:chExt cx="19050" cy="542925"/>
          </a:xfrm>
        </xdr:grpSpPr>
        <xdr:sp>
          <xdr:nvSpPr>
            <xdr:cNvPr id="5" name="Shape 5"/>
            <xdr:cNvSpPr/>
          </xdr:nvSpPr>
          <xdr:spPr>
            <a:xfrm>
              <a:off x="5336475" y="3508538"/>
              <a:ext cx="19050" cy="542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" name="Shape 14"/>
            <xdr:cNvCxnSpPr/>
          </xdr:nvCxnSpPr>
          <xdr:spPr>
            <a:xfrm flipH="1" rot="10800000">
              <a:off x="5336475" y="3508538"/>
              <a:ext cx="19050" cy="542925"/>
            </a:xfrm>
            <a:prstGeom prst="straightConnector1">
              <a:avLst/>
            </a:prstGeom>
            <a:noFill/>
            <a:ln cap="flat" cmpd="sng" w="9525">
              <a:solidFill>
                <a:srgbClr val="FF0000"/>
              </a:solidFill>
              <a:prstDash val="solid"/>
              <a:miter lim="800000"/>
              <a:headEnd len="sm" w="sm" type="none"/>
              <a:tailEnd len="med" w="med" type="stealth"/>
            </a:ln>
          </xdr:spPr>
        </xdr:cxnSp>
      </xdr:grpSp>
    </xdr:grp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5</xdr:row>
      <xdr:rowOff>133350</xdr:rowOff>
    </xdr:from>
    <xdr:ext cx="7419975" cy="3228975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38100</xdr:colOff>
      <xdr:row>31</xdr:row>
      <xdr:rowOff>38100</xdr:rowOff>
    </xdr:from>
    <xdr:ext cx="7200900" cy="3219450"/>
    <xdr:graphicFrame>
      <xdr:nvGraphicFramePr>
        <xdr:cNvPr descr="Chart 1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5.63"/>
    <col customWidth="1" min="3" max="3" width="2.25"/>
    <col customWidth="1" min="4" max="4" width="24.75"/>
    <col customWidth="1" min="5" max="5" width="43.13"/>
    <col customWidth="1" min="6" max="6" width="35.0"/>
    <col customWidth="1" min="7" max="7" width="11.38"/>
    <col customWidth="1" min="8" max="8" width="3.25"/>
    <col customWidth="1" min="9" max="26" width="10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"/>
      <c r="C5" s="2"/>
      <c r="D5" s="2"/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"/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"/>
      <c r="C8" s="2"/>
      <c r="D8" s="3" t="s">
        <v>0</v>
      </c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2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3.75" customHeight="1">
      <c r="A10" s="1"/>
      <c r="B10" s="2"/>
      <c r="C10" s="2"/>
      <c r="D10" s="4" t="s">
        <v>1</v>
      </c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3.75" customHeight="1">
      <c r="A11" s="1"/>
      <c r="B11" s="2"/>
      <c r="C11" s="2"/>
      <c r="D11" s="5" t="s">
        <v>2</v>
      </c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75" customHeight="1">
      <c r="A12" s="1"/>
      <c r="B12" s="2"/>
      <c r="C12" s="2"/>
      <c r="D12" s="6" t="s">
        <v>3</v>
      </c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2"/>
      <c r="C13" s="2"/>
      <c r="D13" s="7" t="s">
        <v>4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5.5" customHeight="1">
      <c r="A14" s="1"/>
      <c r="B14" s="2"/>
      <c r="C14" s="2"/>
      <c r="D14" s="8"/>
      <c r="E14" s="8"/>
      <c r="F14" s="8"/>
      <c r="G14" s="8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"/>
      <c r="B15" s="2"/>
      <c r="C15" s="2"/>
      <c r="D15" s="9" t="s">
        <v>5</v>
      </c>
      <c r="E15" s="9" t="s">
        <v>6</v>
      </c>
      <c r="F15" s="9" t="s">
        <v>7</v>
      </c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1"/>
      <c r="B16" s="10"/>
      <c r="C16" s="2"/>
      <c r="D16" s="2"/>
      <c r="E16" s="2"/>
      <c r="F16" s="10"/>
      <c r="G16" s="10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"/>
      <c r="B17" s="10" t="s">
        <v>8</v>
      </c>
      <c r="C17" s="11">
        <v>1.0</v>
      </c>
      <c r="D17" s="12">
        <v>2036563.0</v>
      </c>
      <c r="E17" s="13" t="s">
        <v>9</v>
      </c>
      <c r="F17" s="14" t="s">
        <v>10</v>
      </c>
      <c r="G17" s="10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10" t="s">
        <v>8</v>
      </c>
      <c r="C18" s="11">
        <v>2.0</v>
      </c>
      <c r="D18" s="15">
        <v>2139303.0</v>
      </c>
      <c r="E18" s="16" t="s">
        <v>11</v>
      </c>
      <c r="F18" s="17" t="s">
        <v>12</v>
      </c>
      <c r="G18" s="10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10" t="s">
        <v>8</v>
      </c>
      <c r="C19" s="11">
        <v>3.0</v>
      </c>
      <c r="D19" s="18"/>
      <c r="E19" s="19"/>
      <c r="F19" s="14"/>
      <c r="G19" s="10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10"/>
      <c r="C20" s="11">
        <v>4.0</v>
      </c>
      <c r="D20" s="20"/>
      <c r="E20" s="21"/>
      <c r="F20" s="22"/>
      <c r="G20" s="10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10"/>
      <c r="C21" s="2"/>
      <c r="D21" s="2"/>
      <c r="E21" s="2"/>
      <c r="F21" s="2"/>
      <c r="G21" s="10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2"/>
      <c r="C22" s="2"/>
      <c r="D22" s="23" t="s">
        <v>13</v>
      </c>
      <c r="E22" s="24">
        <v>4.0</v>
      </c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2"/>
      <c r="C23" s="2"/>
      <c r="D23" s="25" t="s">
        <v>14</v>
      </c>
      <c r="E23" s="26" t="s">
        <v>15</v>
      </c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2"/>
      <c r="C24" s="2"/>
      <c r="D24" s="25" t="s">
        <v>16</v>
      </c>
      <c r="E24" s="26" t="s">
        <v>17</v>
      </c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2"/>
      <c r="C25" s="2"/>
      <c r="D25" s="25" t="s">
        <v>18</v>
      </c>
      <c r="E25" s="26" t="s">
        <v>19</v>
      </c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2"/>
      <c r="C26" s="2"/>
      <c r="D26" s="27" t="s">
        <v>20</v>
      </c>
      <c r="E26" s="28" t="s">
        <v>21</v>
      </c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">
    <mergeCell ref="D10:G10"/>
    <mergeCell ref="D11:G11"/>
    <mergeCell ref="D12:G12"/>
    <mergeCell ref="D13:G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10.88"/>
    <col customWidth="1" min="3" max="3" width="32.63"/>
    <col customWidth="1" min="4" max="4" width="7.75"/>
    <col customWidth="1" min="5" max="6" width="11.38"/>
    <col customWidth="1" min="7" max="26" width="10.0"/>
  </cols>
  <sheetData>
    <row r="1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75" customHeight="1">
      <c r="A2" s="29"/>
      <c r="B2" s="30"/>
      <c r="C2" s="30"/>
      <c r="D2" s="30"/>
      <c r="E2" s="3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75" customHeight="1">
      <c r="A3" s="29"/>
      <c r="B3" s="30"/>
      <c r="C3" s="31" t="s">
        <v>22</v>
      </c>
      <c r="D3" s="30"/>
      <c r="E3" s="30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2.75" customHeight="1">
      <c r="A4" s="29"/>
      <c r="B4" s="30"/>
      <c r="C4" s="30"/>
      <c r="D4" s="30"/>
      <c r="E4" s="30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2.75" customHeight="1">
      <c r="A5" s="29"/>
      <c r="B5" s="30"/>
      <c r="C5" s="32" t="s">
        <v>23</v>
      </c>
      <c r="D5" s="33">
        <v>0.45</v>
      </c>
      <c r="E5" s="30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2.75" customHeight="1">
      <c r="A6" s="29"/>
      <c r="B6" s="30"/>
      <c r="C6" s="32" t="s">
        <v>24</v>
      </c>
      <c r="D6" s="33">
        <v>0.65</v>
      </c>
      <c r="E6" s="3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2.75" customHeight="1">
      <c r="A7" s="29"/>
      <c r="B7" s="30"/>
      <c r="C7" s="34" t="s">
        <v>25</v>
      </c>
      <c r="D7" s="35">
        <v>22.0</v>
      </c>
      <c r="E7" s="30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>
      <c r="A8" s="29"/>
      <c r="B8" s="30"/>
      <c r="C8" s="34" t="s">
        <v>26</v>
      </c>
      <c r="D8" s="35">
        <v>22.0</v>
      </c>
      <c r="E8" s="30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29"/>
      <c r="B9" s="30"/>
      <c r="C9" s="34" t="s">
        <v>27</v>
      </c>
      <c r="D9" s="36">
        <v>12.0</v>
      </c>
      <c r="E9" s="30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29"/>
      <c r="B10" s="30"/>
      <c r="C10" s="34" t="s">
        <v>28</v>
      </c>
      <c r="D10" s="36">
        <v>365.0</v>
      </c>
      <c r="E10" s="3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2.75" customHeight="1">
      <c r="A11" s="29"/>
      <c r="B11" s="30"/>
      <c r="C11" s="32" t="s">
        <v>29</v>
      </c>
      <c r="D11" s="35">
        <v>8.0</v>
      </c>
      <c r="E11" s="30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2.75" customHeight="1">
      <c r="A12" s="29"/>
      <c r="B12" s="30"/>
      <c r="C12" s="32" t="s">
        <v>30</v>
      </c>
      <c r="D12" s="35">
        <v>8.0</v>
      </c>
      <c r="E12" s="30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2.75" customHeight="1">
      <c r="A13" s="29"/>
      <c r="B13" s="30"/>
      <c r="C13" s="37" t="s">
        <v>31</v>
      </c>
      <c r="D13" s="38">
        <v>1200.0</v>
      </c>
      <c r="E13" s="30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2.75" customHeight="1">
      <c r="A14" s="29"/>
      <c r="B14" s="30"/>
      <c r="C14" s="37" t="s">
        <v>32</v>
      </c>
      <c r="D14" s="39">
        <v>0.0</v>
      </c>
      <c r="E14" s="30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2.75" customHeight="1">
      <c r="A15" s="29"/>
      <c r="B15" s="30"/>
      <c r="C15" s="37" t="s">
        <v>33</v>
      </c>
      <c r="D15" s="39">
        <v>0.21</v>
      </c>
      <c r="E15" s="30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2.75" customHeight="1">
      <c r="A16" s="29"/>
      <c r="B16" s="30"/>
      <c r="C16" s="37" t="s">
        <v>34</v>
      </c>
      <c r="D16" s="39">
        <v>0.35</v>
      </c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29"/>
      <c r="B17" s="30"/>
      <c r="C17" s="37" t="s">
        <v>35</v>
      </c>
      <c r="D17" s="39">
        <v>0.6</v>
      </c>
      <c r="E17" s="30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2.75" customHeight="1">
      <c r="A18" s="29"/>
      <c r="B18" s="30"/>
      <c r="C18" s="40"/>
      <c r="D18" s="41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2.75" customHeight="1">
      <c r="A19" s="29"/>
      <c r="B19" s="30"/>
      <c r="C19" s="40"/>
      <c r="D19" s="4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2.75" customHeight="1">
      <c r="A20" s="29"/>
      <c r="B20" s="30"/>
      <c r="C20" s="42" t="s">
        <v>36</v>
      </c>
      <c r="D20" s="43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2.75" customHeight="1">
      <c r="A21" s="29"/>
      <c r="B21" s="30"/>
      <c r="C21" s="42" t="s">
        <v>37</v>
      </c>
      <c r="D21" s="42"/>
      <c r="E21" s="30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29"/>
      <c r="B22" s="30"/>
      <c r="C22" s="30"/>
      <c r="D22" s="30"/>
      <c r="E22" s="30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2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2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2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2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2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2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2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2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2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2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2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2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2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2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2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2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2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2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2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2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2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2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2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2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2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2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2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2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2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2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2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2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2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2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2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2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2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2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2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2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2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2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2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2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2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2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2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2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2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2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2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2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2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2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2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2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2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2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2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2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2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2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2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2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2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2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2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2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2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2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2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2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2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2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2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2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2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2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2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2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2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2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2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2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2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2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2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2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2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2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2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2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2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2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2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2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2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2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2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2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2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2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2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2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2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2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2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2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2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2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2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2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2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2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2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2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2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2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2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2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2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2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2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2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2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2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2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2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2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2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2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2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2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2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2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2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2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2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2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2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2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2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2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2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2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2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2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2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2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2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2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2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2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2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2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2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2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2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2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2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2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2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2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2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2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2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2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2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2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2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2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2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2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2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2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2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2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2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2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2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2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2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2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2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2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2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2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2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2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2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2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2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2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2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2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2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2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2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2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2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2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2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2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2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2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2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2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2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2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2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2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2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2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2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2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2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2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2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2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2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2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2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2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2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2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2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2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2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2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2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2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2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2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2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2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2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2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2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2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2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2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2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2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2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2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2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2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2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2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2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2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2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2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2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2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2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2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2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2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2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2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2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2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2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2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2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2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2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2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2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2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2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2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2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2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2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2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2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2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2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2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2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2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2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2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2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2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2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2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2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2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2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2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2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2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2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2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2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2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2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2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2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2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2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2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2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2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2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2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2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2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2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2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2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2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2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2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2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2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2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2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2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2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2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2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2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2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2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2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2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2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2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2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2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2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2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2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2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2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2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2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2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2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2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2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2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2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2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2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2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2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2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2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2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2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2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2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2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2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2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2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2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2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2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2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2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2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2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2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2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2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2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2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2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2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2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2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2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2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2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2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2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2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2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2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2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2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2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2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2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2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2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2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2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2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2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2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2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2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2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2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2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2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2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2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2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2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2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2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2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2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2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2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2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2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2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2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2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2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2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2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2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2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2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2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2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2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2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2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2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2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2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2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2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2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2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2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2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2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2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2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2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2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2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2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2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2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2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2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2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2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2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2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2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2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2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2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2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2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2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2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2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2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2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2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2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2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2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2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2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2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2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2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2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2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2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2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2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2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2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2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2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2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2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2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2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2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2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2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2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2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2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2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2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2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2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2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2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2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2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2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2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2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2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2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2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2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2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2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2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2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2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2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2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2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2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2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2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2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2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2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2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2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2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2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2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2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2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2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2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2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2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2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2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2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2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2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2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2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2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2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2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2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2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2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2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2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2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2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2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2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2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2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2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2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2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2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2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2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2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2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2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2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2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2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2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2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2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2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2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2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2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2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2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2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2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2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2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2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2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2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2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2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2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2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2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2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2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2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2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2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2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2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2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2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2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2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2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2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2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2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2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2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2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2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2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2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2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2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2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2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2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2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2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2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2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2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2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2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2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2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2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2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2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2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2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2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2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2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2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2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2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2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2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2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2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2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2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2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2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2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2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2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2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2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2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2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2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2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2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2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2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2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2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2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2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2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2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2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2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2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2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2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2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2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2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2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2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2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2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2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2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2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2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2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2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2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2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2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2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2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2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2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2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2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2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2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2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2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2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2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2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2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2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2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2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2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2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2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2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2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2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2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2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2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2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2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2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2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2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2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2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2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2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2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2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2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2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2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2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2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2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2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2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2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2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2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2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2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2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2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2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2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2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2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2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2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2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2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2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2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2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2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2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2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2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2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2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2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2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2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2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2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2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2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2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2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2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2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2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2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2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2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2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2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2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2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2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2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2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2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2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2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2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2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3.38"/>
    <col customWidth="1" min="3" max="3" width="36.75"/>
    <col customWidth="1" min="4" max="4" width="13.75"/>
    <col customWidth="1" min="5" max="5" width="12.13"/>
    <col customWidth="1" min="6" max="6" width="14.63"/>
    <col customWidth="1" min="7" max="7" width="10.13"/>
    <col customWidth="1" min="8" max="8" width="1.75"/>
    <col customWidth="1" min="9" max="9" width="30.88"/>
    <col customWidth="1" min="10" max="10" width="10.13"/>
    <col customWidth="1" min="11" max="11" width="14.88"/>
    <col customWidth="1" min="12" max="12" width="18.13"/>
    <col customWidth="1" min="13" max="13" width="11.75"/>
    <col customWidth="1" min="14" max="23" width="11.25"/>
    <col customWidth="1" min="24" max="26" width="10.0"/>
  </cols>
  <sheetData>
    <row r="1" ht="5.2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4.25" customHeight="1">
      <c r="A2" s="29"/>
      <c r="B2" s="3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4"/>
      <c r="O2" s="44"/>
      <c r="P2" s="44"/>
      <c r="Q2" s="44"/>
      <c r="R2" s="44"/>
      <c r="S2" s="44"/>
      <c r="T2" s="44"/>
      <c r="U2" s="44"/>
      <c r="V2" s="44"/>
      <c r="W2" s="44"/>
      <c r="X2" s="29"/>
      <c r="Y2" s="29"/>
      <c r="Z2" s="29"/>
    </row>
    <row r="3" ht="18.75" customHeight="1">
      <c r="A3" s="29"/>
      <c r="B3" s="30"/>
      <c r="C3" s="45" t="s">
        <v>38</v>
      </c>
      <c r="D3" s="30"/>
      <c r="E3" s="40"/>
      <c r="F3" s="40"/>
      <c r="G3" s="40"/>
      <c r="H3" s="40"/>
      <c r="I3" s="40"/>
      <c r="J3" s="40"/>
      <c r="K3" s="40"/>
      <c r="L3" s="40"/>
      <c r="M3" s="40"/>
      <c r="N3" s="44"/>
      <c r="O3" s="44"/>
      <c r="P3" s="44"/>
      <c r="Q3" s="44"/>
      <c r="R3" s="44"/>
      <c r="S3" s="44"/>
      <c r="T3" s="44"/>
      <c r="U3" s="44"/>
      <c r="V3" s="44"/>
      <c r="W3" s="44"/>
      <c r="X3" s="29"/>
      <c r="Y3" s="29"/>
      <c r="Z3" s="29"/>
    </row>
    <row r="4" ht="18.75" customHeight="1">
      <c r="A4" s="29"/>
      <c r="B4" s="30"/>
      <c r="C4" s="45"/>
      <c r="D4" s="30"/>
      <c r="E4" s="40"/>
      <c r="F4" s="40"/>
      <c r="G4" s="40"/>
      <c r="H4" s="40"/>
      <c r="I4" s="40"/>
      <c r="J4" s="40"/>
      <c r="K4" s="40"/>
      <c r="L4" s="40"/>
      <c r="M4" s="46"/>
      <c r="N4" s="44"/>
      <c r="O4" s="44"/>
      <c r="P4" s="44"/>
      <c r="Q4" s="44"/>
      <c r="R4" s="44"/>
      <c r="S4" s="44"/>
      <c r="T4" s="44"/>
      <c r="U4" s="44"/>
      <c r="V4" s="44"/>
      <c r="W4" s="44"/>
      <c r="X4" s="29"/>
      <c r="Y4" s="29"/>
      <c r="Z4" s="29"/>
    </row>
    <row r="5" ht="14.25" customHeight="1">
      <c r="A5" s="29"/>
      <c r="B5" s="30"/>
      <c r="C5" s="47" t="s">
        <v>39</v>
      </c>
      <c r="D5" s="48"/>
      <c r="E5" s="40"/>
      <c r="F5" s="40"/>
      <c r="G5" s="40"/>
      <c r="H5" s="40"/>
      <c r="I5" s="47" t="s">
        <v>40</v>
      </c>
      <c r="J5" s="40"/>
      <c r="K5" s="40"/>
      <c r="L5" s="40"/>
      <c r="M5" s="40"/>
      <c r="N5" s="44"/>
      <c r="O5" s="44"/>
      <c r="P5" s="44"/>
      <c r="Q5" s="44"/>
      <c r="R5" s="44"/>
      <c r="S5" s="44"/>
      <c r="T5" s="44"/>
      <c r="U5" s="44"/>
      <c r="V5" s="44"/>
      <c r="W5" s="44"/>
      <c r="X5" s="29"/>
      <c r="Y5" s="29"/>
      <c r="Z5" s="29"/>
    </row>
    <row r="6" ht="22.5" customHeight="1">
      <c r="A6" s="29"/>
      <c r="B6" s="30"/>
      <c r="C6" s="49" t="s">
        <v>41</v>
      </c>
      <c r="D6" s="49" t="s">
        <v>42</v>
      </c>
      <c r="E6" s="49" t="s">
        <v>43</v>
      </c>
      <c r="F6" s="49" t="s">
        <v>44</v>
      </c>
      <c r="G6" s="40"/>
      <c r="H6" s="40"/>
      <c r="I6" s="50" t="s">
        <v>45</v>
      </c>
      <c r="J6" s="49" t="s">
        <v>46</v>
      </c>
      <c r="K6" s="49" t="s">
        <v>47</v>
      </c>
      <c r="L6" s="40"/>
      <c r="M6" s="40"/>
      <c r="N6" s="44"/>
      <c r="O6" s="44"/>
      <c r="P6" s="44"/>
      <c r="Q6" s="44"/>
      <c r="R6" s="44"/>
      <c r="S6" s="44"/>
      <c r="T6" s="44"/>
      <c r="U6" s="44"/>
      <c r="V6" s="44"/>
      <c r="W6" s="44"/>
      <c r="X6" s="29"/>
      <c r="Y6" s="29"/>
      <c r="Z6" s="29"/>
    </row>
    <row r="7" ht="13.5" customHeight="1">
      <c r="A7" s="29"/>
      <c r="B7" s="30"/>
      <c r="C7" s="51" t="s">
        <v>48</v>
      </c>
      <c r="D7" s="52">
        <v>600000.0</v>
      </c>
      <c r="E7" s="53">
        <v>5.0</v>
      </c>
      <c r="F7" s="54">
        <f t="shared" ref="F7:F11" si="1">D7*E7</f>
        <v>3000000</v>
      </c>
      <c r="G7" s="40"/>
      <c r="H7" s="40"/>
      <c r="I7" s="51" t="s">
        <v>49</v>
      </c>
      <c r="J7" s="55">
        <v>5000.0</v>
      </c>
      <c r="K7" s="55" t="s">
        <v>50</v>
      </c>
      <c r="L7" s="40"/>
      <c r="M7" s="46"/>
      <c r="N7" s="44"/>
      <c r="O7" s="44"/>
      <c r="P7" s="44"/>
      <c r="Q7" s="44"/>
      <c r="R7" s="44"/>
      <c r="S7" s="44"/>
      <c r="T7" s="44"/>
      <c r="U7" s="44"/>
      <c r="V7" s="44"/>
      <c r="W7" s="44"/>
      <c r="X7" s="29"/>
      <c r="Y7" s="29"/>
      <c r="Z7" s="29"/>
    </row>
    <row r="8" ht="13.5" customHeight="1">
      <c r="A8" s="29"/>
      <c r="B8" s="30"/>
      <c r="C8" s="51" t="s">
        <v>51</v>
      </c>
      <c r="D8" s="52">
        <v>1000000.0</v>
      </c>
      <c r="E8" s="53">
        <v>1.0</v>
      </c>
      <c r="F8" s="54">
        <f t="shared" si="1"/>
        <v>1000000</v>
      </c>
      <c r="G8" s="40"/>
      <c r="H8" s="40"/>
      <c r="I8" s="51" t="s">
        <v>52</v>
      </c>
      <c r="J8" s="55">
        <v>10000.0</v>
      </c>
      <c r="K8" s="55" t="s">
        <v>53</v>
      </c>
      <c r="L8" s="40"/>
      <c r="M8" s="56"/>
      <c r="N8" s="44"/>
      <c r="O8" s="44"/>
      <c r="P8" s="44"/>
      <c r="Q8" s="44"/>
      <c r="R8" s="44"/>
      <c r="S8" s="44"/>
      <c r="T8" s="44"/>
      <c r="U8" s="44"/>
      <c r="V8" s="44"/>
      <c r="W8" s="44"/>
      <c r="X8" s="29"/>
      <c r="Y8" s="29"/>
      <c r="Z8" s="29"/>
    </row>
    <row r="9" ht="13.5" customHeight="1">
      <c r="A9" s="29"/>
      <c r="B9" s="30"/>
      <c r="C9" s="57"/>
      <c r="D9" s="58"/>
      <c r="E9" s="42"/>
      <c r="F9" s="54">
        <f t="shared" si="1"/>
        <v>0</v>
      </c>
      <c r="G9" s="40"/>
      <c r="H9" s="40"/>
      <c r="I9" s="51" t="s">
        <v>54</v>
      </c>
      <c r="J9" s="55">
        <v>2300.0</v>
      </c>
      <c r="K9" s="55" t="s">
        <v>50</v>
      </c>
      <c r="L9" s="40"/>
      <c r="M9" s="59"/>
      <c r="N9" s="44"/>
      <c r="O9" s="44"/>
      <c r="P9" s="44"/>
      <c r="Q9" s="44"/>
      <c r="R9" s="44"/>
      <c r="S9" s="44"/>
      <c r="T9" s="44"/>
      <c r="U9" s="44"/>
      <c r="V9" s="44"/>
      <c r="W9" s="44"/>
      <c r="X9" s="29"/>
      <c r="Y9" s="29"/>
      <c r="Z9" s="29"/>
    </row>
    <row r="10" ht="13.5" customHeight="1">
      <c r="A10" s="29"/>
      <c r="B10" s="30"/>
      <c r="C10" s="60"/>
      <c r="D10" s="58"/>
      <c r="E10" s="42"/>
      <c r="F10" s="54">
        <f t="shared" si="1"/>
        <v>0</v>
      </c>
      <c r="G10" s="40"/>
      <c r="H10" s="40"/>
      <c r="I10" s="51" t="s">
        <v>55</v>
      </c>
      <c r="J10" s="55">
        <v>15000.0</v>
      </c>
      <c r="K10" s="55" t="s">
        <v>53</v>
      </c>
      <c r="L10" s="40"/>
      <c r="M10" s="40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29"/>
      <c r="Y10" s="29"/>
      <c r="Z10" s="29"/>
    </row>
    <row r="11" ht="13.5" customHeight="1">
      <c r="A11" s="29"/>
      <c r="B11" s="30"/>
      <c r="C11" s="60"/>
      <c r="D11" s="61"/>
      <c r="E11" s="62"/>
      <c r="F11" s="63">
        <f t="shared" si="1"/>
        <v>0</v>
      </c>
      <c r="G11" s="40"/>
      <c r="H11" s="40"/>
      <c r="I11" s="51"/>
      <c r="J11" s="55"/>
      <c r="K11" s="55"/>
      <c r="L11" s="40"/>
      <c r="M11" s="40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29"/>
      <c r="Y11" s="29"/>
      <c r="Z11" s="29"/>
    </row>
    <row r="12" ht="13.5" customHeight="1">
      <c r="A12" s="29"/>
      <c r="B12" s="30"/>
      <c r="C12" s="64" t="s">
        <v>56</v>
      </c>
      <c r="D12" s="65"/>
      <c r="E12" s="66">
        <f t="shared" ref="E12:F12" si="2">SUM(E7:E11)</f>
        <v>6</v>
      </c>
      <c r="F12" s="67">
        <f t="shared" si="2"/>
        <v>4000000</v>
      </c>
      <c r="G12" s="40"/>
      <c r="H12" s="40"/>
      <c r="I12" s="40"/>
      <c r="J12" s="40"/>
      <c r="K12" s="40"/>
      <c r="L12" s="40"/>
      <c r="M12" s="40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29"/>
      <c r="Y12" s="29"/>
      <c r="Z12" s="29"/>
    </row>
    <row r="13" ht="13.5" customHeight="1">
      <c r="A13" s="29"/>
      <c r="B13" s="30"/>
      <c r="C13" s="64" t="s">
        <v>57</v>
      </c>
      <c r="D13" s="68"/>
      <c r="E13" s="69"/>
      <c r="F13" s="70">
        <f>12*F12</f>
        <v>48000000</v>
      </c>
      <c r="G13" s="40"/>
      <c r="H13" s="40"/>
      <c r="I13" s="30"/>
      <c r="J13" s="40"/>
      <c r="K13" s="40"/>
      <c r="L13" s="40"/>
      <c r="M13" s="40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29"/>
      <c r="Y13" s="29"/>
      <c r="Z13" s="29"/>
    </row>
    <row r="14" ht="25.5" customHeight="1">
      <c r="A14" s="29"/>
      <c r="B14" s="30"/>
      <c r="C14" s="40"/>
      <c r="D14" s="40"/>
      <c r="E14" s="40"/>
      <c r="F14" s="40"/>
      <c r="G14" s="40"/>
      <c r="H14" s="40"/>
      <c r="I14" s="47" t="s">
        <v>58</v>
      </c>
      <c r="J14" s="49" t="s">
        <v>59</v>
      </c>
      <c r="K14" s="49" t="s">
        <v>46</v>
      </c>
      <c r="L14" s="49" t="s">
        <v>60</v>
      </c>
      <c r="M14" s="40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29"/>
      <c r="Y14" s="29"/>
      <c r="Z14" s="29"/>
    </row>
    <row r="15" ht="12.75" customHeight="1">
      <c r="A15" s="29"/>
      <c r="B15" s="30"/>
      <c r="C15" s="71" t="s">
        <v>61</v>
      </c>
      <c r="D15" s="72"/>
      <c r="E15" s="73"/>
      <c r="F15" s="74">
        <f>F12</f>
        <v>4000000</v>
      </c>
      <c r="G15" s="40"/>
      <c r="H15" s="40"/>
      <c r="I15" s="75" t="str">
        <f t="shared" ref="I15:I19" si="3">IF(I7="","",I7)</f>
        <v>Cierre Cadena</v>
      </c>
      <c r="J15" s="76">
        <v>1.0</v>
      </c>
      <c r="K15" s="77">
        <f t="shared" ref="K15:K19" si="4">+J7</f>
        <v>5000</v>
      </c>
      <c r="L15" s="77">
        <f t="shared" ref="L15:L19" si="5">J15*K15</f>
        <v>5000</v>
      </c>
      <c r="M15" s="40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29"/>
      <c r="Y15" s="29"/>
      <c r="Z15" s="29"/>
    </row>
    <row r="16" ht="13.5" customHeight="1">
      <c r="A16" s="29"/>
      <c r="B16" s="30"/>
      <c r="C16" s="40"/>
      <c r="D16" s="40"/>
      <c r="E16" s="40"/>
      <c r="F16" s="40"/>
      <c r="G16" s="40"/>
      <c r="H16" s="40"/>
      <c r="I16" s="75" t="str">
        <f t="shared" si="3"/>
        <v>Deslizador</v>
      </c>
      <c r="J16" s="53">
        <v>1.0</v>
      </c>
      <c r="K16" s="77">
        <f t="shared" si="4"/>
        <v>10000</v>
      </c>
      <c r="L16" s="78">
        <f t="shared" si="5"/>
        <v>10000</v>
      </c>
      <c r="M16" s="40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29"/>
      <c r="Y16" s="29"/>
      <c r="Z16" s="29"/>
    </row>
    <row r="17" ht="13.5" customHeight="1">
      <c r="A17" s="29"/>
      <c r="B17" s="30"/>
      <c r="C17" s="71" t="s">
        <v>62</v>
      </c>
      <c r="D17" s="72"/>
      <c r="E17" s="79"/>
      <c r="F17" s="74">
        <f>Consideraciones!$D$17*(F13+F15)</f>
        <v>31200000</v>
      </c>
      <c r="G17" s="40"/>
      <c r="H17" s="40"/>
      <c r="I17" s="75" t="str">
        <f t="shared" si="3"/>
        <v>Tela Cordura Negra</v>
      </c>
      <c r="J17" s="80">
        <v>1.0</v>
      </c>
      <c r="K17" s="77">
        <f t="shared" si="4"/>
        <v>2300</v>
      </c>
      <c r="L17" s="78">
        <f t="shared" si="5"/>
        <v>2300</v>
      </c>
      <c r="M17" s="40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29"/>
      <c r="Y17" s="29"/>
      <c r="Z17" s="29"/>
    </row>
    <row r="18" ht="13.5" customHeight="1">
      <c r="A18" s="29"/>
      <c r="B18" s="30"/>
      <c r="C18" s="40"/>
      <c r="D18" s="40"/>
      <c r="E18" s="40"/>
      <c r="F18" s="40"/>
      <c r="G18" s="40"/>
      <c r="H18" s="40"/>
      <c r="I18" s="75" t="str">
        <f t="shared" si="3"/>
        <v>Escaleras de plastico</v>
      </c>
      <c r="J18" s="53">
        <v>1.0</v>
      </c>
      <c r="K18" s="77">
        <f t="shared" si="4"/>
        <v>15000</v>
      </c>
      <c r="L18" s="78">
        <f t="shared" si="5"/>
        <v>15000</v>
      </c>
      <c r="M18" s="40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29"/>
      <c r="Y18" s="29"/>
      <c r="Z18" s="29"/>
    </row>
    <row r="19" ht="13.5" customHeight="1">
      <c r="A19" s="29"/>
      <c r="B19" s="30"/>
      <c r="C19" s="47" t="s">
        <v>63</v>
      </c>
      <c r="D19" s="40"/>
      <c r="E19" s="40"/>
      <c r="F19" s="40"/>
      <c r="G19" s="40"/>
      <c r="H19" s="40"/>
      <c r="I19" s="75" t="str">
        <f t="shared" si="3"/>
        <v/>
      </c>
      <c r="J19" s="53">
        <v>1.0</v>
      </c>
      <c r="K19" s="77" t="str">
        <f t="shared" si="4"/>
        <v/>
      </c>
      <c r="L19" s="78">
        <f t="shared" si="5"/>
        <v>0</v>
      </c>
      <c r="M19" s="40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29"/>
      <c r="Y19" s="29"/>
      <c r="Z19" s="29"/>
    </row>
    <row r="20" ht="13.5" customHeight="1">
      <c r="A20" s="29"/>
      <c r="B20" s="30"/>
      <c r="C20" s="81" t="s">
        <v>64</v>
      </c>
      <c r="D20" s="82"/>
      <c r="E20" s="83"/>
      <c r="F20" s="38">
        <v>0.0</v>
      </c>
      <c r="G20" s="40"/>
      <c r="H20" s="40"/>
      <c r="I20" s="40"/>
      <c r="J20" s="40"/>
      <c r="K20" s="40"/>
      <c r="L20" s="40"/>
      <c r="M20" s="40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29"/>
      <c r="Y20" s="29"/>
      <c r="Z20" s="29"/>
    </row>
    <row r="21" ht="13.5" customHeight="1">
      <c r="A21" s="29"/>
      <c r="B21" s="30"/>
      <c r="C21" s="81" t="s">
        <v>65</v>
      </c>
      <c r="D21" s="82"/>
      <c r="E21" s="83"/>
      <c r="F21" s="84">
        <f>+E12</f>
        <v>6</v>
      </c>
      <c r="G21" s="85" t="s">
        <v>66</v>
      </c>
      <c r="H21" s="85"/>
      <c r="I21" s="71" t="s">
        <v>67</v>
      </c>
      <c r="J21" s="72"/>
      <c r="K21" s="73"/>
      <c r="L21" s="74">
        <f>SUM(L15:L19)</f>
        <v>32300</v>
      </c>
      <c r="M21" s="85" t="s">
        <v>68</v>
      </c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29"/>
      <c r="Y21" s="29"/>
      <c r="Z21" s="29"/>
    </row>
    <row r="22" ht="13.5" customHeight="1">
      <c r="A22" s="29"/>
      <c r="B22" s="30"/>
      <c r="C22" s="81" t="s">
        <v>69</v>
      </c>
      <c r="D22" s="82"/>
      <c r="E22" s="83"/>
      <c r="F22" s="84">
        <f>+Consideraciones!D7</f>
        <v>22</v>
      </c>
      <c r="G22" s="85" t="s">
        <v>70</v>
      </c>
      <c r="H22" s="85"/>
      <c r="I22" s="71" t="s">
        <v>71</v>
      </c>
      <c r="J22" s="72"/>
      <c r="K22" s="86"/>
      <c r="L22" s="87">
        <f>+Mercado!H22</f>
        <v>3600</v>
      </c>
      <c r="M22" s="85" t="s">
        <v>72</v>
      </c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29"/>
      <c r="Y22" s="29"/>
      <c r="Z22" s="29"/>
    </row>
    <row r="23" ht="13.5" customHeight="1">
      <c r="A23" s="29"/>
      <c r="B23" s="30"/>
      <c r="C23" s="81" t="s">
        <v>27</v>
      </c>
      <c r="D23" s="82"/>
      <c r="E23" s="83"/>
      <c r="F23" s="84">
        <f>+Consideraciones!D9</f>
        <v>12</v>
      </c>
      <c r="G23" s="85" t="s">
        <v>73</v>
      </c>
      <c r="H23" s="85"/>
      <c r="I23" s="71" t="s">
        <v>74</v>
      </c>
      <c r="J23" s="72"/>
      <c r="K23" s="73"/>
      <c r="L23" s="74">
        <f>+L22*L21</f>
        <v>116280000</v>
      </c>
      <c r="M23" s="40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29"/>
      <c r="Y23" s="29"/>
      <c r="Z23" s="29"/>
    </row>
    <row r="24" ht="13.5" customHeight="1">
      <c r="A24" s="29"/>
      <c r="B24" s="30"/>
      <c r="C24" s="71" t="s">
        <v>75</v>
      </c>
      <c r="D24" s="72"/>
      <c r="E24" s="73"/>
      <c r="F24" s="74">
        <f>+F20*F21*F22*F23</f>
        <v>0</v>
      </c>
      <c r="G24" s="40"/>
      <c r="H24" s="40"/>
      <c r="I24" s="40"/>
      <c r="J24" s="88"/>
      <c r="K24" s="88"/>
      <c r="L24" s="88"/>
      <c r="M24" s="40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29"/>
      <c r="Y24" s="29"/>
      <c r="Z24" s="29"/>
    </row>
    <row r="25" ht="13.5" customHeight="1">
      <c r="A25" s="29"/>
      <c r="B25" s="30"/>
      <c r="C25" s="40"/>
      <c r="D25" s="40"/>
      <c r="E25" s="40"/>
      <c r="F25" s="40"/>
      <c r="G25" s="40"/>
      <c r="H25" s="40"/>
      <c r="I25" s="89" t="s">
        <v>76</v>
      </c>
      <c r="J25" s="90"/>
      <c r="K25" s="91"/>
      <c r="L25" s="92">
        <f>+L23+F26</f>
        <v>199480000</v>
      </c>
      <c r="M25" s="40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29"/>
      <c r="Y25" s="29"/>
      <c r="Z25" s="29"/>
    </row>
    <row r="26" ht="13.5" customHeight="1">
      <c r="A26" s="29"/>
      <c r="B26" s="30"/>
      <c r="C26" s="71" t="s">
        <v>77</v>
      </c>
      <c r="D26" s="72"/>
      <c r="E26" s="73"/>
      <c r="F26" s="74">
        <f>+F24+F17+F15+F13</f>
        <v>83200000</v>
      </c>
      <c r="G26" s="40"/>
      <c r="H26" s="40"/>
      <c r="I26" s="89" t="s">
        <v>78</v>
      </c>
      <c r="J26" s="90"/>
      <c r="K26" s="91"/>
      <c r="L26" s="92">
        <f>+L21+F27</f>
        <v>55411.11111</v>
      </c>
      <c r="M26" s="85" t="s">
        <v>68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29"/>
      <c r="Y26" s="29"/>
      <c r="Z26" s="29"/>
    </row>
    <row r="27" ht="13.5" customHeight="1">
      <c r="A27" s="29"/>
      <c r="B27" s="30"/>
      <c r="C27" s="71" t="s">
        <v>79</v>
      </c>
      <c r="D27" s="72"/>
      <c r="E27" s="73"/>
      <c r="F27" s="74">
        <f>F26/Mercado!H22</f>
        <v>23111.11111</v>
      </c>
      <c r="G27" s="85" t="s">
        <v>80</v>
      </c>
      <c r="H27" s="85"/>
      <c r="I27" s="89" t="s">
        <v>81</v>
      </c>
      <c r="J27" s="90"/>
      <c r="K27" s="91"/>
      <c r="L27" s="93">
        <f>+L26/Mercado!F18</f>
        <v>0.6926388889</v>
      </c>
      <c r="M27" s="40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29"/>
      <c r="Y27" s="29"/>
      <c r="Z27" s="29"/>
    </row>
    <row r="28" ht="13.5" customHeight="1">
      <c r="A28" s="29"/>
      <c r="B28" s="30"/>
      <c r="C28" s="40"/>
      <c r="D28" s="40"/>
      <c r="E28" s="40"/>
      <c r="F28" s="40"/>
      <c r="G28" s="40"/>
      <c r="H28" s="40"/>
      <c r="I28" s="30"/>
      <c r="J28" s="30"/>
      <c r="K28" s="30"/>
      <c r="L28" s="30"/>
      <c r="M28" s="40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9"/>
      <c r="Y28" s="29"/>
      <c r="Z28" s="29"/>
    </row>
    <row r="29" ht="13.5" customHeight="1">
      <c r="A29" s="29"/>
      <c r="B29" s="29"/>
      <c r="C29" s="29"/>
      <c r="D29" s="29"/>
      <c r="E29" s="29"/>
      <c r="F29" s="29"/>
      <c r="G29" s="44"/>
      <c r="H29" s="44"/>
      <c r="I29" s="29"/>
      <c r="J29" s="29"/>
      <c r="K29" s="29"/>
      <c r="L29" s="29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29"/>
      <c r="Y29" s="29"/>
      <c r="Z29" s="29"/>
    </row>
    <row r="30" ht="13.5" customHeight="1">
      <c r="A30" s="29"/>
      <c r="B30" s="29"/>
      <c r="C30" s="29"/>
      <c r="D30" s="29"/>
      <c r="E30" s="29"/>
      <c r="F30" s="29"/>
      <c r="G30" s="44"/>
      <c r="H30" s="44"/>
      <c r="I30" s="44"/>
      <c r="J30" s="44"/>
      <c r="K30" s="44"/>
      <c r="L30" s="9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29"/>
      <c r="Y30" s="29"/>
      <c r="Z30" s="29"/>
    </row>
    <row r="31" ht="13.5" customHeight="1">
      <c r="A31" s="29"/>
      <c r="B31" s="29"/>
      <c r="C31" s="29"/>
      <c r="D31" s="29"/>
      <c r="E31" s="29"/>
      <c r="F31" s="29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29"/>
      <c r="Y31" s="29"/>
      <c r="Z31" s="29"/>
    </row>
    <row r="32" ht="13.5" customHeight="1">
      <c r="A32" s="29"/>
      <c r="B32" s="29"/>
      <c r="C32" s="29"/>
      <c r="D32" s="29"/>
      <c r="E32" s="29"/>
      <c r="F32" s="29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29"/>
      <c r="Y32" s="29"/>
      <c r="Z32" s="29"/>
    </row>
    <row r="33" ht="13.5" customHeight="1">
      <c r="A33" s="29"/>
      <c r="B33" s="29"/>
      <c r="C33" s="29"/>
      <c r="D33" s="29"/>
      <c r="E33" s="29"/>
      <c r="F33" s="29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29"/>
      <c r="Y33" s="29"/>
      <c r="Z33" s="29"/>
    </row>
    <row r="34" ht="13.5" customHeight="1">
      <c r="A34" s="29"/>
      <c r="B34" s="29"/>
      <c r="C34" s="29"/>
      <c r="D34" s="29"/>
      <c r="E34" s="29"/>
      <c r="F34" s="29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29"/>
      <c r="Y34" s="29"/>
      <c r="Z34" s="29"/>
    </row>
    <row r="35" ht="13.5" customHeight="1">
      <c r="A35" s="29"/>
      <c r="B35" s="29"/>
      <c r="C35" s="29"/>
      <c r="D35" s="29"/>
      <c r="E35" s="29"/>
      <c r="F35" s="29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29"/>
      <c r="Y35" s="29"/>
      <c r="Z35" s="29"/>
    </row>
    <row r="36" ht="14.25" customHeight="1">
      <c r="A36" s="29"/>
      <c r="B36" s="29"/>
      <c r="C36" s="29"/>
      <c r="D36" s="29"/>
      <c r="E36" s="29"/>
      <c r="F36" s="29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29"/>
      <c r="Y36" s="29"/>
      <c r="Z36" s="29"/>
    </row>
    <row r="37" ht="13.5" customHeight="1">
      <c r="A37" s="29"/>
      <c r="B37" s="29"/>
      <c r="C37" s="29"/>
      <c r="D37" s="29"/>
      <c r="E37" s="29"/>
      <c r="F37" s="29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29"/>
      <c r="Y37" s="29"/>
      <c r="Z37" s="29"/>
    </row>
    <row r="38" ht="13.5" customHeight="1">
      <c r="A38" s="29"/>
      <c r="B38" s="29"/>
      <c r="C38" s="29"/>
      <c r="D38" s="29"/>
      <c r="E38" s="29"/>
      <c r="F38" s="29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29"/>
      <c r="Y38" s="29"/>
      <c r="Z38" s="29"/>
    </row>
    <row r="39" ht="13.5" customHeight="1">
      <c r="A39" s="29"/>
      <c r="B39" s="29"/>
      <c r="C39" s="29"/>
      <c r="D39" s="29"/>
      <c r="E39" s="29"/>
      <c r="F39" s="29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29"/>
      <c r="Y39" s="29"/>
      <c r="Z39" s="29"/>
    </row>
    <row r="40" ht="13.5" customHeight="1">
      <c r="A40" s="29"/>
      <c r="B40" s="29"/>
      <c r="C40" s="29"/>
      <c r="D40" s="29"/>
      <c r="E40" s="29"/>
      <c r="F40" s="29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29"/>
      <c r="Y40" s="29"/>
      <c r="Z40" s="29"/>
    </row>
    <row r="41" ht="13.5" customHeight="1">
      <c r="A41" s="29"/>
      <c r="B41" s="29"/>
      <c r="C41" s="29"/>
      <c r="D41" s="29"/>
      <c r="E41" s="29"/>
      <c r="F41" s="29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29"/>
      <c r="Y41" s="29"/>
      <c r="Z41" s="29"/>
    </row>
    <row r="42" ht="13.5" customHeight="1">
      <c r="A42" s="29"/>
      <c r="B42" s="29"/>
      <c r="C42" s="29"/>
      <c r="D42" s="29"/>
      <c r="E42" s="29"/>
      <c r="F42" s="29"/>
      <c r="G42" s="95"/>
      <c r="H42" s="95"/>
      <c r="I42" s="95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29"/>
      <c r="Y42" s="29"/>
      <c r="Z42" s="29"/>
    </row>
    <row r="43" ht="13.5" customHeight="1">
      <c r="A43" s="29"/>
      <c r="B43" s="29"/>
      <c r="C43" s="29"/>
      <c r="D43" s="29"/>
      <c r="E43" s="29"/>
      <c r="F43" s="29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29"/>
      <c r="Y43" s="29"/>
      <c r="Z43" s="29"/>
    </row>
    <row r="44" ht="13.5" customHeight="1">
      <c r="A44" s="29"/>
      <c r="B44" s="29"/>
      <c r="C44" s="29"/>
      <c r="D44" s="29"/>
      <c r="E44" s="29"/>
      <c r="F44" s="29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29"/>
      <c r="Y44" s="29"/>
      <c r="Z44" s="29"/>
    </row>
    <row r="45" ht="13.5" customHeight="1">
      <c r="A45" s="29"/>
      <c r="B45" s="29"/>
      <c r="C45" s="29"/>
      <c r="D45" s="29"/>
      <c r="E45" s="29"/>
      <c r="F45" s="29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29"/>
      <c r="Y45" s="29"/>
      <c r="Z45" s="29"/>
    </row>
    <row r="46" ht="13.5" customHeight="1">
      <c r="A46" s="29"/>
      <c r="B46" s="29"/>
      <c r="C46" s="29"/>
      <c r="D46" s="29"/>
      <c r="E46" s="29"/>
      <c r="F46" s="29"/>
      <c r="G46" s="96"/>
      <c r="H46" s="9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29"/>
      <c r="Y46" s="29"/>
      <c r="Z46" s="29"/>
    </row>
    <row r="47" ht="13.5" customHeight="1">
      <c r="A47" s="29"/>
      <c r="B47" s="29"/>
      <c r="C47" s="29"/>
      <c r="D47" s="29"/>
      <c r="E47" s="29"/>
      <c r="F47" s="29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29"/>
      <c r="Y47" s="29"/>
      <c r="Z47" s="29"/>
    </row>
    <row r="48" ht="13.5" customHeight="1">
      <c r="A48" s="29"/>
      <c r="B48" s="29"/>
      <c r="C48" s="29"/>
      <c r="D48" s="29"/>
      <c r="E48" s="29"/>
      <c r="F48" s="29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29"/>
      <c r="Y48" s="29"/>
      <c r="Z48" s="29"/>
    </row>
    <row r="49" ht="13.5" customHeight="1">
      <c r="A49" s="29"/>
      <c r="B49" s="29"/>
      <c r="C49" s="29"/>
      <c r="D49" s="29"/>
      <c r="E49" s="29"/>
      <c r="F49" s="29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29"/>
      <c r="Y49" s="29"/>
      <c r="Z49" s="29"/>
    </row>
    <row r="50" ht="13.5" customHeight="1">
      <c r="A50" s="29"/>
      <c r="B50" s="29"/>
      <c r="C50" s="29"/>
      <c r="D50" s="29"/>
      <c r="E50" s="29"/>
      <c r="F50" s="29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29"/>
      <c r="Y50" s="29"/>
      <c r="Z50" s="29"/>
    </row>
    <row r="51" ht="13.5" customHeight="1">
      <c r="A51" s="29"/>
      <c r="B51" s="29"/>
      <c r="C51" s="29"/>
      <c r="D51" s="29"/>
      <c r="E51" s="29"/>
      <c r="F51" s="29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97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99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63"/>
    <col customWidth="1" min="3" max="3" width="12.38"/>
    <col customWidth="1" min="4" max="4" width="17.25"/>
    <col customWidth="1" min="5" max="5" width="16.63"/>
    <col customWidth="1" min="6" max="6" width="20.88"/>
    <col customWidth="1" min="7" max="7" width="15.0"/>
    <col customWidth="1" min="8" max="8" width="14.13"/>
    <col customWidth="1" min="9" max="9" width="17.38"/>
    <col customWidth="1" min="10" max="10" width="19.0"/>
    <col customWidth="1" min="11" max="11" width="18.5"/>
    <col customWidth="1" min="12" max="12" width="17.25"/>
    <col customWidth="1" min="13" max="13" width="4.13"/>
    <col customWidth="1" min="14" max="31" width="17.25"/>
  </cols>
  <sheetData>
    <row r="1" ht="15.75" customHeight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</row>
    <row r="2" ht="15.75" customHeight="1">
      <c r="A2" s="98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</row>
    <row r="3" ht="15.75" customHeight="1">
      <c r="A3" s="98"/>
      <c r="B3" s="99"/>
      <c r="C3" s="100" t="s">
        <v>82</v>
      </c>
      <c r="D3" s="99"/>
      <c r="E3" s="99"/>
      <c r="F3" s="99"/>
      <c r="G3" s="99"/>
      <c r="H3" s="99"/>
      <c r="I3" s="99"/>
      <c r="J3" s="99"/>
      <c r="K3" s="99"/>
      <c r="L3" s="99"/>
      <c r="M3" s="99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</row>
    <row r="4" ht="12.75" customHeight="1">
      <c r="A4" s="98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</row>
    <row r="5">
      <c r="A5" s="98"/>
      <c r="B5" s="99"/>
      <c r="C5" s="101" t="s">
        <v>83</v>
      </c>
      <c r="D5" s="102"/>
      <c r="E5" s="103" t="s">
        <v>84</v>
      </c>
      <c r="F5" s="103" t="s">
        <v>85</v>
      </c>
      <c r="G5" s="103" t="s">
        <v>86</v>
      </c>
      <c r="H5" s="99"/>
      <c r="I5" s="103" t="s">
        <v>87</v>
      </c>
      <c r="J5" s="103" t="s">
        <v>88</v>
      </c>
      <c r="K5" s="103" t="s">
        <v>89</v>
      </c>
      <c r="L5" s="99"/>
      <c r="M5" s="99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</row>
    <row r="6" ht="12.75" customHeight="1">
      <c r="A6" s="98"/>
      <c r="B6" s="99"/>
      <c r="C6" s="104" t="s">
        <v>90</v>
      </c>
      <c r="D6" s="102"/>
      <c r="E6" s="105">
        <f>500*12*4</f>
        <v>24000</v>
      </c>
      <c r="F6" s="106">
        <v>0.15</v>
      </c>
      <c r="G6" s="107">
        <f>E6*F6</f>
        <v>3600</v>
      </c>
      <c r="H6" s="99"/>
      <c r="I6" s="106">
        <v>1.0</v>
      </c>
      <c r="J6" s="108">
        <v>0.0</v>
      </c>
      <c r="K6" s="109">
        <v>1.0</v>
      </c>
      <c r="L6" s="99"/>
      <c r="M6" s="99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</row>
    <row r="7" ht="12.75" customHeight="1">
      <c r="A7" s="98"/>
      <c r="B7" s="99"/>
      <c r="C7" s="99"/>
      <c r="D7" s="99"/>
      <c r="E7" s="99"/>
      <c r="F7" s="99"/>
      <c r="G7" s="99"/>
      <c r="H7" s="99"/>
      <c r="I7" s="110"/>
      <c r="J7" s="99"/>
      <c r="K7" s="99"/>
      <c r="L7" s="99"/>
      <c r="M7" s="99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</row>
    <row r="8" ht="12.75" customHeight="1">
      <c r="A8" s="98"/>
      <c r="B8" s="99"/>
      <c r="C8" s="99"/>
      <c r="D8" s="99"/>
      <c r="E8" s="99"/>
      <c r="F8" s="99"/>
      <c r="G8" s="99"/>
      <c r="H8" s="99"/>
      <c r="I8" s="110"/>
      <c r="J8" s="99"/>
      <c r="K8" s="99"/>
      <c r="L8" s="99"/>
      <c r="M8" s="99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</row>
    <row r="9" ht="12.75" customHeight="1">
      <c r="A9" s="98"/>
      <c r="B9" s="99"/>
      <c r="C9" s="111" t="s">
        <v>91</v>
      </c>
      <c r="D9" s="99"/>
      <c r="E9" s="99"/>
      <c r="F9" s="99"/>
      <c r="G9" s="99"/>
      <c r="H9" s="99"/>
      <c r="I9" s="110"/>
      <c r="J9" s="99"/>
      <c r="K9" s="99"/>
      <c r="L9" s="99"/>
      <c r="M9" s="99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</row>
    <row r="10">
      <c r="A10" s="98"/>
      <c r="B10" s="99"/>
      <c r="C10" s="101" t="s">
        <v>92</v>
      </c>
      <c r="D10" s="102"/>
      <c r="E10" s="103" t="s">
        <v>93</v>
      </c>
      <c r="F10" s="103" t="s">
        <v>94</v>
      </c>
      <c r="G10" s="103" t="s">
        <v>95</v>
      </c>
      <c r="H10" s="103" t="s">
        <v>96</v>
      </c>
      <c r="I10" s="110"/>
      <c r="J10" s="99"/>
      <c r="K10" s="99"/>
      <c r="L10" s="99"/>
      <c r="M10" s="99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</row>
    <row r="11" ht="12.75" customHeight="1">
      <c r="A11" s="98"/>
      <c r="B11" s="99"/>
      <c r="C11" s="112" t="s">
        <v>97</v>
      </c>
      <c r="D11" s="102"/>
      <c r="E11" s="113">
        <f>G6</f>
        <v>3600</v>
      </c>
      <c r="F11" s="114">
        <v>0.0</v>
      </c>
      <c r="G11" s="114">
        <v>80000.0</v>
      </c>
      <c r="H11" s="115">
        <f t="shared" ref="H11:H13" si="1">+E11/$E$14</f>
        <v>1</v>
      </c>
      <c r="I11" s="110"/>
      <c r="J11" s="99"/>
      <c r="K11" s="99"/>
      <c r="L11" s="99"/>
      <c r="M11" s="99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</row>
    <row r="12" ht="12.75" customHeight="1">
      <c r="A12" s="98"/>
      <c r="B12" s="99"/>
      <c r="C12" s="116"/>
      <c r="D12" s="102"/>
      <c r="E12" s="117"/>
      <c r="F12" s="118"/>
      <c r="G12" s="118"/>
      <c r="H12" s="115">
        <f t="shared" si="1"/>
        <v>0</v>
      </c>
      <c r="I12" s="110"/>
      <c r="J12" s="99"/>
      <c r="K12" s="99"/>
      <c r="L12" s="99"/>
      <c r="M12" s="99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</row>
    <row r="13" ht="12.75" customHeight="1">
      <c r="A13" s="98"/>
      <c r="B13" s="99"/>
      <c r="C13" s="116"/>
      <c r="D13" s="102"/>
      <c r="E13" s="117"/>
      <c r="F13" s="118"/>
      <c r="G13" s="118"/>
      <c r="H13" s="115">
        <f t="shared" si="1"/>
        <v>0</v>
      </c>
      <c r="I13" s="110"/>
      <c r="J13" s="99"/>
      <c r="K13" s="99"/>
      <c r="L13" s="99"/>
      <c r="M13" s="99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</row>
    <row r="14" ht="12.75" customHeight="1">
      <c r="A14" s="98"/>
      <c r="B14" s="99"/>
      <c r="C14" s="99"/>
      <c r="D14" s="99"/>
      <c r="E14" s="119">
        <f>+SUM(E11:E13)</f>
        <v>3600</v>
      </c>
      <c r="F14" s="120">
        <f t="shared" ref="F14:G14" si="2">+AVERAGE(F11:F13)</f>
        <v>0</v>
      </c>
      <c r="G14" s="120">
        <f t="shared" si="2"/>
        <v>80000</v>
      </c>
      <c r="H14" s="121" t="str">
        <f>+IF(G6-E14&lt;&gt;0,"La cantidad vendida debe ser igual a la cantidad de mercado meta","")</f>
        <v/>
      </c>
      <c r="I14" s="110"/>
      <c r="J14" s="99"/>
      <c r="K14" s="99"/>
      <c r="L14" s="99"/>
      <c r="M14" s="99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</row>
    <row r="15" ht="12.75" customHeight="1">
      <c r="A15" s="98"/>
      <c r="B15" s="99"/>
      <c r="C15" s="99"/>
      <c r="D15" s="99"/>
      <c r="E15" s="99"/>
      <c r="F15" s="122" t="s">
        <v>98</v>
      </c>
      <c r="G15" s="99"/>
      <c r="H15" s="99"/>
      <c r="I15" s="110"/>
      <c r="J15" s="99"/>
      <c r="K15" s="99"/>
      <c r="L15" s="99"/>
      <c r="M15" s="99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</row>
    <row r="16" ht="12.75" customHeight="1">
      <c r="A16" s="98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</row>
    <row r="17" ht="48.0" customHeight="1">
      <c r="A17" s="98"/>
      <c r="B17" s="99"/>
      <c r="C17" s="103" t="s">
        <v>99</v>
      </c>
      <c r="D17" s="103" t="s">
        <v>95</v>
      </c>
      <c r="E17" s="103" t="s">
        <v>94</v>
      </c>
      <c r="F17" s="103" t="s">
        <v>100</v>
      </c>
      <c r="G17" s="103" t="s">
        <v>101</v>
      </c>
      <c r="H17" s="103" t="s">
        <v>93</v>
      </c>
      <c r="I17" s="103" t="s">
        <v>102</v>
      </c>
      <c r="J17" s="99"/>
      <c r="K17" s="99"/>
      <c r="L17" s="99"/>
      <c r="M17" s="99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</row>
    <row r="18" ht="12.75" customHeight="1">
      <c r="A18" s="98"/>
      <c r="B18" s="99"/>
      <c r="C18" s="123">
        <v>1.0</v>
      </c>
      <c r="D18" s="120">
        <f>+G14</f>
        <v>80000</v>
      </c>
      <c r="E18" s="120">
        <f>+F14</f>
        <v>0</v>
      </c>
      <c r="F18" s="124">
        <f t="shared" ref="F18:F22" si="3">+D18*$I$6+E18*$J$6</f>
        <v>80000</v>
      </c>
      <c r="G18" s="125">
        <v>0.3</v>
      </c>
      <c r="H18" s="126">
        <f>+E14/4</f>
        <v>900</v>
      </c>
      <c r="I18" s="109">
        <f t="shared" ref="I18:I22" si="4">+H18/$G$6</f>
        <v>0.25</v>
      </c>
      <c r="J18" s="110"/>
      <c r="K18" s="127"/>
      <c r="L18" s="99"/>
      <c r="M18" s="99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</row>
    <row r="19" ht="12.75" customHeight="1">
      <c r="A19" s="98"/>
      <c r="B19" s="99"/>
      <c r="C19" s="123">
        <v>2.0</v>
      </c>
      <c r="D19" s="120">
        <f>+D18*(1+Consideraciones!$D$14)</f>
        <v>80000</v>
      </c>
      <c r="E19" s="120">
        <f>+E18*(1+Consideraciones!$D$14)</f>
        <v>0</v>
      </c>
      <c r="F19" s="124">
        <f t="shared" si="3"/>
        <v>80000</v>
      </c>
      <c r="G19" s="128">
        <v>0.4</v>
      </c>
      <c r="H19" s="129">
        <f t="shared" ref="H19:H21" si="5">+H18*(1+G19)</f>
        <v>1260</v>
      </c>
      <c r="I19" s="109">
        <f t="shared" si="4"/>
        <v>0.35</v>
      </c>
      <c r="J19" s="99"/>
      <c r="K19" s="99"/>
      <c r="L19" s="99"/>
      <c r="M19" s="99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</row>
    <row r="20" ht="12.75" customHeight="1">
      <c r="A20" s="98"/>
      <c r="B20" s="99"/>
      <c r="C20" s="123">
        <v>3.0</v>
      </c>
      <c r="D20" s="120">
        <f>+D19*(1+Consideraciones!$D$14)</f>
        <v>80000</v>
      </c>
      <c r="E20" s="120">
        <f>+E19*(1+Consideraciones!$D$14)</f>
        <v>0</v>
      </c>
      <c r="F20" s="124">
        <f t="shared" si="3"/>
        <v>80000</v>
      </c>
      <c r="G20" s="128">
        <v>0.4</v>
      </c>
      <c r="H20" s="129">
        <f t="shared" si="5"/>
        <v>1764</v>
      </c>
      <c r="I20" s="109">
        <f t="shared" si="4"/>
        <v>0.49</v>
      </c>
      <c r="J20" s="99"/>
      <c r="K20" s="99"/>
      <c r="L20" s="99"/>
      <c r="M20" s="99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</row>
    <row r="21" ht="12.75" customHeight="1">
      <c r="A21" s="98"/>
      <c r="B21" s="99"/>
      <c r="C21" s="123">
        <v>4.0</v>
      </c>
      <c r="D21" s="120">
        <f>+D20*(1+Consideraciones!$D$14)</f>
        <v>80000</v>
      </c>
      <c r="E21" s="120">
        <f>+E20*(1+Consideraciones!$D$14)</f>
        <v>0</v>
      </c>
      <c r="F21" s="124">
        <f t="shared" si="3"/>
        <v>80000</v>
      </c>
      <c r="G21" s="128">
        <v>0.4</v>
      </c>
      <c r="H21" s="129">
        <f t="shared" si="5"/>
        <v>2469.6</v>
      </c>
      <c r="I21" s="109">
        <f t="shared" si="4"/>
        <v>0.686</v>
      </c>
      <c r="J21" s="130"/>
      <c r="K21" s="99"/>
      <c r="L21" s="99"/>
      <c r="M21" s="99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</row>
    <row r="22" ht="12.75" customHeight="1">
      <c r="A22" s="98"/>
      <c r="B22" s="99"/>
      <c r="C22" s="123">
        <v>5.0</v>
      </c>
      <c r="D22" s="120">
        <f>+D21*(1+Consideraciones!$D$14)</f>
        <v>80000</v>
      </c>
      <c r="E22" s="120">
        <f>+E21*(1+Consideraciones!$D$14)</f>
        <v>0</v>
      </c>
      <c r="F22" s="124">
        <f t="shared" si="3"/>
        <v>80000</v>
      </c>
      <c r="G22" s="131">
        <f>+H22/H21-1</f>
        <v>0.4577259475</v>
      </c>
      <c r="H22" s="129">
        <f>+G6</f>
        <v>3600</v>
      </c>
      <c r="I22" s="109">
        <f t="shared" si="4"/>
        <v>1</v>
      </c>
      <c r="J22" s="99"/>
      <c r="K22" s="99"/>
      <c r="L22" s="99"/>
      <c r="M22" s="99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</row>
    <row r="23" ht="15.75" customHeight="1">
      <c r="A23" s="98"/>
      <c r="B23" s="99"/>
      <c r="C23" s="99"/>
      <c r="D23" s="132"/>
      <c r="E23" s="132"/>
      <c r="F23" s="99"/>
      <c r="G23" s="133"/>
      <c r="H23" s="99" t="str">
        <f>+IF(H22&gt;G6,"Cantidad a vender mayor al mercado meta","")</f>
        <v/>
      </c>
      <c r="I23" s="133"/>
      <c r="J23" s="99"/>
      <c r="K23" s="99"/>
      <c r="L23" s="99"/>
      <c r="M23" s="99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</row>
    <row r="24" ht="15.75" customHeight="1">
      <c r="A24" s="98"/>
      <c r="B24" s="99"/>
      <c r="C24" s="99"/>
      <c r="D24" s="132"/>
      <c r="E24" s="132"/>
      <c r="F24" s="99"/>
      <c r="G24" s="133"/>
      <c r="H24" s="99"/>
      <c r="I24" s="133"/>
      <c r="J24" s="99"/>
      <c r="K24" s="99"/>
      <c r="L24" s="99"/>
      <c r="M24" s="99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</row>
    <row r="25" ht="21.75" customHeight="1">
      <c r="A25" s="98"/>
      <c r="B25" s="99"/>
      <c r="C25" s="134" t="s">
        <v>103</v>
      </c>
      <c r="D25" s="132"/>
      <c r="E25" s="132"/>
      <c r="F25" s="99"/>
      <c r="G25" s="133"/>
      <c r="H25" s="99"/>
      <c r="I25" s="133"/>
      <c r="J25" s="99"/>
      <c r="K25" s="99"/>
      <c r="L25" s="99"/>
      <c r="M25" s="99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</row>
    <row r="26" ht="15.75" customHeight="1">
      <c r="A26" s="98"/>
      <c r="B26" s="99"/>
      <c r="C26" s="135" t="s">
        <v>104</v>
      </c>
      <c r="D26" s="136"/>
      <c r="E26" s="136"/>
      <c r="F26" s="136"/>
      <c r="G26" s="137"/>
      <c r="H26" s="136"/>
      <c r="I26" s="137"/>
      <c r="J26" s="136"/>
      <c r="K26" s="136"/>
      <c r="L26" s="136"/>
      <c r="M26" s="99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</row>
    <row r="27" ht="15.75" customHeight="1">
      <c r="A27" s="98"/>
      <c r="B27" s="99"/>
      <c r="C27" s="138" t="s">
        <v>20</v>
      </c>
      <c r="D27" s="138" t="s">
        <v>105</v>
      </c>
      <c r="E27" s="138" t="s">
        <v>106</v>
      </c>
      <c r="F27" s="139" t="s">
        <v>107</v>
      </c>
      <c r="G27" s="140" t="s">
        <v>108</v>
      </c>
      <c r="H27" s="138" t="s">
        <v>109</v>
      </c>
      <c r="I27" s="140" t="s">
        <v>110</v>
      </c>
      <c r="J27" s="138" t="s">
        <v>111</v>
      </c>
      <c r="K27" s="138" t="s">
        <v>112</v>
      </c>
      <c r="L27" s="138" t="s">
        <v>113</v>
      </c>
      <c r="M27" s="99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</row>
    <row r="28" ht="15.75" customHeight="1">
      <c r="A28" s="98"/>
      <c r="B28" s="99"/>
      <c r="C28" s="141">
        <v>1.0</v>
      </c>
      <c r="D28" s="141" t="s">
        <v>114</v>
      </c>
      <c r="E28" s="141">
        <v>50.0</v>
      </c>
      <c r="F28" s="142" t="s">
        <v>115</v>
      </c>
      <c r="G28" s="143">
        <v>35.0</v>
      </c>
      <c r="H28" s="141" t="s">
        <v>116</v>
      </c>
      <c r="I28" s="143">
        <v>15.0</v>
      </c>
      <c r="J28" s="141" t="s">
        <v>117</v>
      </c>
      <c r="K28" s="141" t="s">
        <v>118</v>
      </c>
      <c r="L28" s="141" t="s">
        <v>119</v>
      </c>
      <c r="M28" s="99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</row>
    <row r="29" ht="15.75" customHeight="1">
      <c r="A29" s="98"/>
      <c r="B29" s="99"/>
      <c r="C29" s="141">
        <v>1.0</v>
      </c>
      <c r="D29" s="141" t="s">
        <v>120</v>
      </c>
      <c r="E29" s="141">
        <v>62.0</v>
      </c>
      <c r="F29" s="144" t="s">
        <v>121</v>
      </c>
      <c r="G29" s="143">
        <v>43.0</v>
      </c>
      <c r="H29" s="141" t="s">
        <v>122</v>
      </c>
      <c r="I29" s="143">
        <v>19.0</v>
      </c>
      <c r="J29" s="141" t="s">
        <v>123</v>
      </c>
      <c r="K29" s="141" t="s">
        <v>124</v>
      </c>
      <c r="L29" s="141" t="s">
        <v>125</v>
      </c>
      <c r="M29" s="99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</row>
    <row r="30" ht="15.75" customHeight="1">
      <c r="A30" s="98"/>
      <c r="B30" s="99"/>
      <c r="C30" s="141">
        <v>1.0</v>
      </c>
      <c r="D30" s="141" t="s">
        <v>126</v>
      </c>
      <c r="E30" s="141">
        <v>78.0</v>
      </c>
      <c r="F30" s="144" t="s">
        <v>127</v>
      </c>
      <c r="G30" s="143">
        <v>55.0</v>
      </c>
      <c r="H30" s="141" t="s">
        <v>128</v>
      </c>
      <c r="I30" s="143">
        <v>23.0</v>
      </c>
      <c r="J30" s="141" t="s">
        <v>129</v>
      </c>
      <c r="K30" s="141" t="s">
        <v>130</v>
      </c>
      <c r="L30" s="141" t="s">
        <v>131</v>
      </c>
      <c r="M30" s="99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</row>
    <row r="31" ht="15.75" customHeight="1">
      <c r="A31" s="98"/>
      <c r="B31" s="99"/>
      <c r="C31" s="141">
        <v>1.0</v>
      </c>
      <c r="D31" s="141" t="s">
        <v>132</v>
      </c>
      <c r="E31" s="141">
        <v>100.0</v>
      </c>
      <c r="F31" s="144" t="s">
        <v>133</v>
      </c>
      <c r="G31" s="143">
        <v>70.0</v>
      </c>
      <c r="H31" s="141" t="s">
        <v>134</v>
      </c>
      <c r="I31" s="143">
        <v>30.0</v>
      </c>
      <c r="J31" s="141" t="s">
        <v>135</v>
      </c>
      <c r="K31" s="141" t="s">
        <v>136</v>
      </c>
      <c r="L31" s="141" t="s">
        <v>137</v>
      </c>
      <c r="M31" s="99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</row>
    <row r="32" ht="15.75" customHeight="1">
      <c r="A32" s="98"/>
      <c r="B32" s="99"/>
      <c r="C32" s="135" t="s">
        <v>138</v>
      </c>
      <c r="D32" s="136"/>
      <c r="E32" s="136"/>
      <c r="F32" s="136"/>
      <c r="G32" s="137"/>
      <c r="H32" s="136"/>
      <c r="I32" s="137"/>
      <c r="J32" s="136"/>
      <c r="K32" s="136"/>
      <c r="L32" s="136"/>
      <c r="M32" s="99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</row>
    <row r="33" ht="15.75" customHeight="1">
      <c r="A33" s="98"/>
      <c r="B33" s="99"/>
      <c r="C33" s="141">
        <v>2.0</v>
      </c>
      <c r="D33" s="141" t="s">
        <v>139</v>
      </c>
      <c r="E33" s="141">
        <v>150.0</v>
      </c>
      <c r="F33" s="144" t="s">
        <v>133</v>
      </c>
      <c r="G33" s="143">
        <v>105.0</v>
      </c>
      <c r="H33" s="141" t="s">
        <v>134</v>
      </c>
      <c r="I33" s="143">
        <v>45.0</v>
      </c>
      <c r="J33" s="141" t="s">
        <v>140</v>
      </c>
      <c r="K33" s="141" t="s">
        <v>141</v>
      </c>
      <c r="L33" s="141" t="s">
        <v>142</v>
      </c>
      <c r="M33" s="99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</row>
    <row r="34" ht="15.75" customHeight="1">
      <c r="A34" s="98"/>
      <c r="B34" s="99"/>
      <c r="C34" s="141">
        <v>2.0</v>
      </c>
      <c r="D34" s="141" t="s">
        <v>143</v>
      </c>
      <c r="E34" s="141">
        <v>225.0</v>
      </c>
      <c r="F34" s="144" t="s">
        <v>144</v>
      </c>
      <c r="G34" s="143">
        <v>158.0</v>
      </c>
      <c r="H34" s="141" t="s">
        <v>145</v>
      </c>
      <c r="I34" s="143">
        <v>67.0</v>
      </c>
      <c r="J34" s="141" t="s">
        <v>146</v>
      </c>
      <c r="K34" s="141" t="s">
        <v>147</v>
      </c>
      <c r="L34" s="141" t="s">
        <v>148</v>
      </c>
      <c r="M34" s="99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</row>
    <row r="35" ht="12.75" customHeight="1">
      <c r="A35" s="98"/>
      <c r="B35" s="99"/>
      <c r="C35" s="135" t="s">
        <v>149</v>
      </c>
      <c r="D35" s="136"/>
      <c r="E35" s="136"/>
      <c r="F35" s="136"/>
      <c r="G35" s="136"/>
      <c r="H35" s="136"/>
      <c r="I35" s="136"/>
      <c r="J35" s="136"/>
      <c r="K35" s="136"/>
      <c r="L35" s="136"/>
      <c r="M35" s="99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</row>
    <row r="36" ht="12.75" customHeight="1">
      <c r="A36" s="98"/>
      <c r="B36" s="99"/>
      <c r="C36" s="141" t="s">
        <v>150</v>
      </c>
      <c r="D36" s="141" t="s">
        <v>151</v>
      </c>
      <c r="E36" s="141">
        <v>300.0</v>
      </c>
      <c r="F36" s="144" t="s">
        <v>133</v>
      </c>
      <c r="G36" s="141">
        <v>210.0</v>
      </c>
      <c r="H36" s="141" t="s">
        <v>152</v>
      </c>
      <c r="I36" s="141">
        <v>90.0</v>
      </c>
      <c r="J36" s="141" t="s">
        <v>153</v>
      </c>
      <c r="K36" s="141" t="s">
        <v>154</v>
      </c>
      <c r="L36" s="141" t="s">
        <v>155</v>
      </c>
      <c r="M36" s="99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</row>
    <row r="37" ht="12.75" customHeight="1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</row>
    <row r="38" ht="12.75" customHeight="1">
      <c r="A38" s="98"/>
      <c r="B38" s="99"/>
      <c r="C38" s="122" t="s">
        <v>156</v>
      </c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</row>
    <row r="39" ht="12.75" customHeight="1">
      <c r="A39" s="98"/>
      <c r="B39" s="99"/>
      <c r="C39" s="122" t="s">
        <v>157</v>
      </c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</row>
    <row r="40" ht="12.75" customHeight="1">
      <c r="A40" s="98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</row>
    <row r="41" ht="12.75" customHeight="1">
      <c r="A41" s="98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</row>
    <row r="42" ht="18.0" customHeight="1">
      <c r="A42" s="98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</row>
    <row r="43" ht="18.0" customHeight="1">
      <c r="A43" s="98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</row>
    <row r="44" ht="18.0" customHeight="1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</row>
    <row r="45" ht="18.0" customHeight="1">
      <c r="A45" s="9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</row>
    <row r="46" ht="18.0" customHeight="1">
      <c r="A46" s="98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</row>
    <row r="47" ht="18.0" customHeight="1">
      <c r="A47" s="98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</row>
    <row r="48" ht="18.0" customHeight="1">
      <c r="A48" s="98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</row>
    <row r="49" ht="18.0" customHeight="1">
      <c r="A49" s="98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</row>
    <row r="50" ht="15.75" customHeight="1">
      <c r="A50" s="98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</row>
    <row r="51" ht="15.75" customHeight="1">
      <c r="A51" s="98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</row>
    <row r="52" ht="15.75" customHeight="1">
      <c r="A52" s="98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</row>
    <row r="53" ht="15.75" customHeight="1">
      <c r="A53" s="98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</row>
    <row r="54" ht="15.75" customHeight="1">
      <c r="A54" s="98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</row>
    <row r="55" ht="15.75" customHeight="1">
      <c r="A55" s="98"/>
      <c r="B55" s="98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</row>
    <row r="56" ht="15.75" customHeight="1">
      <c r="A56" s="98"/>
      <c r="B56" s="98"/>
      <c r="C56" s="98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</row>
    <row r="57" ht="15.75" customHeight="1">
      <c r="A57" s="98"/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</row>
    <row r="58" ht="15.75" customHeight="1">
      <c r="A58" s="98"/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</row>
    <row r="59" ht="15.75" customHeight="1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</row>
    <row r="60" ht="15.75" customHeight="1">
      <c r="A60" s="98"/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</row>
    <row r="61" ht="15.75" customHeight="1">
      <c r="A61" s="98"/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</row>
    <row r="62" ht="15.75" customHeight="1">
      <c r="A62" s="98"/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</row>
    <row r="63" ht="15.75" customHeight="1">
      <c r="A63" s="98"/>
      <c r="B63" s="98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</row>
    <row r="64" ht="15.75" customHeight="1">
      <c r="A64" s="98"/>
      <c r="B64" s="98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</row>
    <row r="65" ht="15.75" customHeight="1">
      <c r="A65" s="98"/>
      <c r="B65" s="98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</row>
    <row r="66" ht="15.75" customHeight="1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</row>
    <row r="67" ht="15.75" customHeight="1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</row>
    <row r="68" ht="15.75" customHeight="1">
      <c r="A68" s="98"/>
      <c r="B68" s="98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</row>
    <row r="69" ht="15.75" customHeight="1">
      <c r="A69" s="98"/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</row>
    <row r="70" ht="15.75" customHeight="1">
      <c r="A70" s="98"/>
      <c r="B70" s="98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</row>
    <row r="71" ht="15.75" customHeight="1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</row>
    <row r="72" ht="15.75" customHeight="1">
      <c r="A72" s="98"/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</row>
    <row r="73" ht="15.75" customHeight="1">
      <c r="A73" s="98"/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</row>
    <row r="74" ht="15.75" customHeight="1">
      <c r="A74" s="98"/>
      <c r="B74" s="98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</row>
    <row r="75" ht="15.75" customHeight="1">
      <c r="A75" s="98"/>
      <c r="B75" s="98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</row>
    <row r="76" ht="15.75" customHeight="1">
      <c r="A76" s="98"/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</row>
    <row r="77" ht="15.75" customHeight="1">
      <c r="A77" s="98"/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</row>
    <row r="78" ht="15.75" customHeight="1">
      <c r="A78" s="98"/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</row>
    <row r="79" ht="15.75" customHeight="1">
      <c r="A79" s="98"/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</row>
    <row r="80" ht="15.75" customHeight="1">
      <c r="A80" s="98"/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</row>
    <row r="81" ht="15.75" customHeight="1">
      <c r="A81" s="98"/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</row>
    <row r="82" ht="15.75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</row>
    <row r="83" ht="15.75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</row>
    <row r="84" ht="15.75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</row>
    <row r="85" ht="15.75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</row>
    <row r="86" ht="15.75" customHeight="1">
      <c r="A86" s="98"/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</row>
    <row r="87" ht="15.75" customHeight="1">
      <c r="A87" s="98"/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</row>
    <row r="88" ht="15.75" customHeight="1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</row>
    <row r="89" ht="15.75" customHeight="1">
      <c r="A89" s="98"/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</row>
    <row r="90" ht="15.75" customHeight="1">
      <c r="A90" s="98"/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</row>
    <row r="91" ht="15.75" customHeight="1">
      <c r="A91" s="9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</row>
    <row r="92" ht="15.75" customHeight="1">
      <c r="A92" s="98"/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</row>
    <row r="93" ht="15.75" customHeight="1">
      <c r="A93" s="98"/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</row>
    <row r="94" ht="15.75" customHeight="1">
      <c r="A94" s="98"/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</row>
    <row r="95" ht="15.75" customHeight="1">
      <c r="A95" s="98"/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</row>
    <row r="96" ht="15.75" customHeight="1">
      <c r="A96" s="98"/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</row>
    <row r="97" ht="15.75" customHeight="1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</row>
    <row r="98" ht="15.75" customHeight="1">
      <c r="A98" s="9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</row>
    <row r="99" ht="15.75" customHeight="1">
      <c r="A99" s="9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</row>
    <row r="100" ht="15.75" customHeight="1">
      <c r="A100" s="9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</row>
    <row r="101" ht="15.75" customHeight="1">
      <c r="A101" s="98"/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</row>
    <row r="102" ht="15.75" customHeight="1">
      <c r="A102" s="98"/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</row>
    <row r="103" ht="15.75" customHeight="1">
      <c r="A103" s="98"/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</row>
    <row r="104" ht="15.75" customHeight="1">
      <c r="A104" s="98"/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</row>
    <row r="105" ht="15.75" customHeight="1">
      <c r="A105" s="98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</row>
    <row r="106" ht="15.75" customHeight="1">
      <c r="A106" s="98"/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</row>
    <row r="107" ht="15.75" customHeight="1">
      <c r="A107" s="98"/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</row>
    <row r="108" ht="15.75" customHeight="1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</row>
    <row r="109" ht="15.75" customHeight="1">
      <c r="A109" s="98"/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</row>
    <row r="110" ht="15.75" customHeight="1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</row>
    <row r="111" ht="15.75" customHeight="1">
      <c r="A111" s="98"/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</row>
    <row r="112" ht="15.75" customHeight="1">
      <c r="A112" s="98"/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</row>
    <row r="113" ht="15.75" customHeight="1">
      <c r="A113" s="98"/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</row>
    <row r="114" ht="15.75" customHeight="1">
      <c r="A114" s="98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</row>
    <row r="115" ht="15.75" customHeight="1">
      <c r="A115" s="98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</row>
    <row r="116" ht="15.75" customHeight="1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</row>
    <row r="117" ht="15.75" customHeight="1">
      <c r="A117" s="98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</row>
    <row r="118" ht="15.75" customHeight="1">
      <c r="A118" s="98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</row>
    <row r="119" ht="15.75" customHeight="1">
      <c r="A119" s="98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</row>
    <row r="120" ht="15.75" customHeight="1">
      <c r="A120" s="98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</row>
    <row r="121" ht="15.75" customHeight="1">
      <c r="A121" s="98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</row>
    <row r="122" ht="15.75" customHeight="1">
      <c r="A122" s="98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</row>
    <row r="123" ht="15.75" customHeight="1">
      <c r="A123" s="98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</row>
    <row r="124" ht="15.75" customHeight="1">
      <c r="A124" s="98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</row>
    <row r="125" ht="15.75" customHeight="1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</row>
    <row r="126" ht="15.75" customHeight="1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</row>
    <row r="127" ht="15.75" customHeight="1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</row>
    <row r="128" ht="15.75" customHeight="1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</row>
    <row r="129" ht="15.75" customHeight="1">
      <c r="A129" s="98"/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</row>
    <row r="130" ht="15.75" customHeight="1">
      <c r="A130" s="98"/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</row>
    <row r="131" ht="15.75" customHeight="1">
      <c r="A131" s="98"/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</row>
    <row r="132" ht="15.75" customHeight="1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</row>
    <row r="133" ht="15.75" customHeight="1">
      <c r="A133" s="98"/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</row>
    <row r="134" ht="15.75" customHeight="1">
      <c r="A134" s="98"/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</row>
    <row r="135" ht="15.75" customHeight="1">
      <c r="A135" s="98"/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</row>
    <row r="136" ht="15.75" customHeight="1">
      <c r="A136" s="98"/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</row>
    <row r="137" ht="15.75" customHeight="1">
      <c r="A137" s="98"/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</row>
    <row r="138" ht="15.75" customHeight="1">
      <c r="A138" s="98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</row>
    <row r="139" ht="15.75" customHeight="1">
      <c r="A139" s="98"/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</row>
    <row r="140" ht="15.75" customHeight="1">
      <c r="A140" s="98"/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</row>
    <row r="141" ht="15.75" customHeight="1">
      <c r="A141" s="98"/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</row>
    <row r="142" ht="15.75" customHeight="1">
      <c r="A142" s="98"/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</row>
    <row r="143" ht="15.75" customHeight="1">
      <c r="A143" s="98"/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</row>
    <row r="144" ht="15.75" customHeight="1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</row>
    <row r="145" ht="15.75" customHeight="1">
      <c r="A145" s="98"/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</row>
    <row r="146" ht="15.75" customHeight="1">
      <c r="A146" s="98"/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</row>
    <row r="147" ht="15.75" customHeight="1">
      <c r="A147" s="98"/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</row>
    <row r="148" ht="15.75" customHeight="1">
      <c r="A148" s="98"/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</row>
    <row r="149" ht="15.75" customHeight="1">
      <c r="A149" s="98"/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</row>
    <row r="150" ht="15.75" customHeight="1">
      <c r="A150" s="98"/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</row>
    <row r="151" ht="15.75" customHeight="1">
      <c r="A151" s="98"/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</row>
    <row r="152" ht="15.75" customHeight="1">
      <c r="A152" s="98"/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</row>
    <row r="153" ht="15.75" customHeight="1">
      <c r="A153" s="98"/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</row>
    <row r="154" ht="15.75" customHeight="1">
      <c r="A154" s="98"/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</row>
    <row r="155" ht="15.75" customHeight="1">
      <c r="A155" s="98"/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</row>
    <row r="156" ht="15.75" customHeight="1">
      <c r="A156" s="98"/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</row>
    <row r="157" ht="15.75" customHeight="1">
      <c r="A157" s="98"/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</row>
    <row r="158" ht="15.75" customHeight="1">
      <c r="A158" s="98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</row>
    <row r="159" ht="15.75" customHeight="1">
      <c r="A159" s="98"/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</row>
    <row r="160" ht="15.75" customHeight="1">
      <c r="A160" s="98"/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</row>
    <row r="161" ht="15.75" customHeight="1">
      <c r="A161" s="98"/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</row>
    <row r="162" ht="15.75" customHeight="1">
      <c r="A162" s="98"/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</row>
    <row r="163" ht="15.75" customHeight="1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</row>
    <row r="164" ht="15.75" customHeight="1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</row>
    <row r="165" ht="15.75" customHeight="1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</row>
    <row r="166" ht="15.75" customHeight="1">
      <c r="A166" s="98"/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</row>
    <row r="167" ht="15.75" customHeight="1">
      <c r="A167" s="98"/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</row>
    <row r="168" ht="15.75" customHeight="1">
      <c r="A168" s="98"/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</row>
    <row r="169" ht="15.75" customHeight="1">
      <c r="A169" s="98"/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</row>
    <row r="170" ht="15.75" customHeight="1">
      <c r="A170" s="98"/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</row>
    <row r="171" ht="15.75" customHeight="1">
      <c r="A171" s="98"/>
      <c r="B171" s="98"/>
      <c r="C171" s="98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</row>
    <row r="172" ht="15.75" customHeight="1">
      <c r="A172" s="98"/>
      <c r="B172" s="98"/>
      <c r="C172" s="98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</row>
    <row r="173" ht="15.75" customHeight="1">
      <c r="A173" s="98"/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</row>
    <row r="174" ht="15.75" customHeight="1">
      <c r="A174" s="98"/>
      <c r="B174" s="98"/>
      <c r="C174" s="98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</row>
    <row r="175" ht="15.75" customHeight="1">
      <c r="A175" s="98"/>
      <c r="B175" s="98"/>
      <c r="C175" s="98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</row>
    <row r="176" ht="15.75" customHeight="1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</row>
    <row r="177" ht="15.75" customHeight="1">
      <c r="A177" s="98"/>
      <c r="B177" s="98"/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</row>
    <row r="178" ht="15.75" customHeight="1">
      <c r="A178" s="98"/>
      <c r="B178" s="98"/>
      <c r="C178" s="98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</row>
    <row r="179" ht="15.75" customHeight="1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</row>
    <row r="180" ht="15.75" customHeight="1">
      <c r="A180" s="98"/>
      <c r="B180" s="98"/>
      <c r="C180" s="98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</row>
    <row r="181" ht="15.75" customHeight="1">
      <c r="A181" s="98"/>
      <c r="B181" s="98"/>
      <c r="C181" s="98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</row>
    <row r="182" ht="15.75" customHeight="1">
      <c r="A182" s="98"/>
      <c r="B182" s="98"/>
      <c r="C182" s="98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</row>
    <row r="183" ht="15.75" customHeight="1">
      <c r="A183" s="98"/>
      <c r="B183" s="98"/>
      <c r="C183" s="98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</row>
    <row r="184" ht="15.75" customHeight="1">
      <c r="A184" s="98"/>
      <c r="B184" s="98"/>
      <c r="C184" s="98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</row>
    <row r="185" ht="15.75" customHeight="1">
      <c r="A185" s="98"/>
      <c r="B185" s="98"/>
      <c r="C185" s="98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</row>
    <row r="186" ht="15.75" customHeight="1">
      <c r="A186" s="98"/>
      <c r="B186" s="98"/>
      <c r="C186" s="98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</row>
    <row r="187" ht="15.75" customHeight="1">
      <c r="A187" s="98"/>
      <c r="B187" s="98"/>
      <c r="C187" s="98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</row>
    <row r="188" ht="15.75" customHeight="1">
      <c r="A188" s="98"/>
      <c r="B188" s="98"/>
      <c r="C188" s="98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</row>
    <row r="189" ht="15.75" customHeight="1">
      <c r="A189" s="98"/>
      <c r="B189" s="98"/>
      <c r="C189" s="98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</row>
    <row r="190" ht="15.75" customHeight="1">
      <c r="A190" s="98"/>
      <c r="B190" s="98"/>
      <c r="C190" s="98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</row>
    <row r="191" ht="15.75" customHeight="1">
      <c r="A191" s="98"/>
      <c r="B191" s="98"/>
      <c r="C191" s="98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</row>
    <row r="192" ht="15.75" customHeight="1">
      <c r="A192" s="98"/>
      <c r="B192" s="98"/>
      <c r="C192" s="98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</row>
    <row r="193" ht="15.75" customHeight="1">
      <c r="A193" s="98"/>
      <c r="B193" s="98"/>
      <c r="C193" s="98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</row>
    <row r="194" ht="15.75" customHeight="1">
      <c r="A194" s="98"/>
      <c r="B194" s="98"/>
      <c r="C194" s="98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</row>
    <row r="195" ht="15.75" customHeight="1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</row>
    <row r="196" ht="15.75" customHeight="1">
      <c r="A196" s="98"/>
      <c r="B196" s="98"/>
      <c r="C196" s="98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</row>
    <row r="197" ht="15.75" customHeight="1">
      <c r="A197" s="98"/>
      <c r="B197" s="98"/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</row>
    <row r="198" ht="15.75" customHeight="1">
      <c r="A198" s="98"/>
      <c r="B198" s="98"/>
      <c r="C198" s="98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</row>
    <row r="199" ht="15.75" customHeight="1">
      <c r="A199" s="98"/>
      <c r="B199" s="98"/>
      <c r="C199" s="98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</row>
    <row r="200" ht="15.75" customHeight="1">
      <c r="A200" s="98"/>
      <c r="B200" s="98"/>
      <c r="C200" s="98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</row>
    <row r="201" ht="15.75" customHeight="1">
      <c r="A201" s="98"/>
      <c r="B201" s="98"/>
      <c r="C201" s="98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</row>
    <row r="202" ht="15.75" customHeight="1">
      <c r="A202" s="98"/>
      <c r="B202" s="98"/>
      <c r="C202" s="98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</row>
    <row r="203" ht="15.75" customHeight="1">
      <c r="A203" s="98"/>
      <c r="B203" s="98"/>
      <c r="C203" s="98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</row>
    <row r="204" ht="15.75" customHeight="1">
      <c r="A204" s="98"/>
      <c r="B204" s="98"/>
      <c r="C204" s="98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</row>
    <row r="205" ht="15.75" customHeight="1">
      <c r="A205" s="98"/>
      <c r="B205" s="98"/>
      <c r="C205" s="98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</row>
    <row r="206" ht="15.75" customHeight="1">
      <c r="A206" s="98"/>
      <c r="B206" s="98"/>
      <c r="C206" s="98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</row>
    <row r="207" ht="15.75" customHeight="1">
      <c r="A207" s="98"/>
      <c r="B207" s="98"/>
      <c r="C207" s="98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</row>
    <row r="208" ht="15.75" customHeight="1">
      <c r="A208" s="98"/>
      <c r="B208" s="98"/>
      <c r="C208" s="98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</row>
    <row r="209" ht="15.75" customHeight="1">
      <c r="A209" s="98"/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</row>
    <row r="210" ht="15.75" customHeight="1">
      <c r="A210" s="98"/>
      <c r="B210" s="98"/>
      <c r="C210" s="98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</row>
    <row r="211" ht="15.75" customHeight="1">
      <c r="A211" s="98"/>
      <c r="B211" s="98"/>
      <c r="C211" s="98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</row>
    <row r="212" ht="15.75" customHeight="1">
      <c r="A212" s="98"/>
      <c r="B212" s="98"/>
      <c r="C212" s="98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</row>
    <row r="213" ht="15.75" customHeight="1">
      <c r="A213" s="98"/>
      <c r="B213" s="98"/>
      <c r="C213" s="98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</row>
    <row r="214" ht="15.75" customHeight="1">
      <c r="A214" s="98"/>
      <c r="B214" s="98"/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</row>
    <row r="215" ht="15.75" customHeight="1">
      <c r="A215" s="98"/>
      <c r="B215" s="98"/>
      <c r="C215" s="98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</row>
    <row r="216" ht="15.75" customHeight="1">
      <c r="A216" s="98"/>
      <c r="B216" s="98"/>
      <c r="C216" s="98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</row>
    <row r="217" ht="15.75" customHeight="1">
      <c r="A217" s="98"/>
      <c r="B217" s="98"/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</row>
    <row r="218" ht="15.75" customHeight="1">
      <c r="A218" s="98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</row>
    <row r="219" ht="15.75" customHeight="1">
      <c r="A219" s="98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</row>
    <row r="220" ht="15.75" customHeight="1">
      <c r="A220" s="98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</row>
    <row r="221" ht="15.75" customHeight="1">
      <c r="A221" s="98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</row>
    <row r="222" ht="15.75" customHeight="1">
      <c r="A222" s="98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</row>
    <row r="223" ht="15.75" customHeight="1">
      <c r="A223" s="98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</row>
    <row r="224" ht="15.75" customHeight="1">
      <c r="A224" s="98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</row>
    <row r="225" ht="15.75" customHeight="1">
      <c r="A225" s="98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</row>
    <row r="226" ht="15.75" customHeight="1">
      <c r="A226" s="98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</row>
    <row r="227" ht="15.75" customHeight="1">
      <c r="A227" s="98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</row>
    <row r="228" ht="15.75" customHeight="1">
      <c r="A228" s="98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</row>
    <row r="229" ht="15.75" customHeight="1">
      <c r="A229" s="98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</row>
    <row r="230" ht="15.75" customHeight="1">
      <c r="A230" s="98"/>
      <c r="B230" s="98"/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</row>
    <row r="231" ht="15.75" customHeight="1">
      <c r="A231" s="98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</row>
    <row r="232" ht="15.75" customHeight="1">
      <c r="A232" s="98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</row>
    <row r="233" ht="15.75" customHeight="1">
      <c r="A233" s="98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</row>
    <row r="234" ht="15.75" customHeight="1">
      <c r="A234" s="98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</row>
    <row r="235" ht="15.75" customHeight="1">
      <c r="A235" s="98"/>
      <c r="B235" s="98"/>
      <c r="C235" s="98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</row>
    <row r="236" ht="15.75" customHeight="1">
      <c r="A236" s="98"/>
      <c r="B236" s="98"/>
      <c r="C236" s="98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</row>
    <row r="237" ht="15.75" customHeight="1">
      <c r="A237" s="98"/>
      <c r="B237" s="98"/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</row>
    <row r="238" ht="15.75" customHeight="1">
      <c r="A238" s="98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</row>
    <row r="239" ht="15.75" customHeight="1">
      <c r="A239" s="98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</row>
    <row r="240" ht="15.75" customHeight="1">
      <c r="A240" s="98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</row>
    <row r="241" ht="15.75" customHeight="1">
      <c r="A241" s="98"/>
      <c r="B241" s="98"/>
      <c r="C241" s="98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</row>
    <row r="242" ht="15.75" customHeight="1">
      <c r="A242" s="98"/>
      <c r="B242" s="98"/>
      <c r="C242" s="98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</row>
    <row r="243" ht="15.75" customHeight="1">
      <c r="A243" s="98"/>
      <c r="B243" s="98"/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</row>
    <row r="244" ht="15.75" customHeight="1">
      <c r="A244" s="98"/>
      <c r="B244" s="98"/>
      <c r="C244" s="98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</row>
    <row r="245" ht="15.75" customHeight="1">
      <c r="A245" s="98"/>
      <c r="B245" s="98"/>
      <c r="C245" s="98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</row>
    <row r="246" ht="15.75" customHeight="1">
      <c r="A246" s="98"/>
      <c r="B246" s="98"/>
      <c r="C246" s="98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</row>
    <row r="247" ht="15.75" customHeight="1">
      <c r="A247" s="98"/>
      <c r="B247" s="98"/>
      <c r="C247" s="98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</row>
    <row r="248" ht="15.75" customHeight="1">
      <c r="A248" s="98"/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</row>
    <row r="249" ht="15.75" customHeight="1">
      <c r="A249" s="98"/>
      <c r="B249" s="98"/>
      <c r="C249" s="98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</row>
    <row r="250" ht="15.75" customHeight="1">
      <c r="A250" s="98"/>
      <c r="B250" s="98"/>
      <c r="C250" s="98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</row>
    <row r="251" ht="15.75" customHeight="1">
      <c r="A251" s="98"/>
      <c r="B251" s="98"/>
      <c r="C251" s="98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</row>
    <row r="252" ht="15.75" customHeight="1">
      <c r="A252" s="98"/>
      <c r="B252" s="98"/>
      <c r="C252" s="98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</row>
    <row r="253" ht="15.75" customHeight="1">
      <c r="A253" s="98"/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</row>
    <row r="254" ht="15.75" customHeight="1">
      <c r="A254" s="98"/>
      <c r="B254" s="98"/>
      <c r="C254" s="98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</row>
    <row r="255" ht="15.75" customHeight="1">
      <c r="A255" s="98"/>
      <c r="B255" s="98"/>
      <c r="C255" s="98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</row>
    <row r="256" ht="15.75" customHeight="1">
      <c r="A256" s="98"/>
      <c r="B256" s="98"/>
      <c r="C256" s="98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</row>
    <row r="257" ht="15.75" customHeight="1">
      <c r="A257" s="98"/>
      <c r="B257" s="98"/>
      <c r="C257" s="98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</row>
    <row r="258" ht="15.75" customHeight="1">
      <c r="A258" s="98"/>
      <c r="B258" s="98"/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</row>
    <row r="259" ht="15.75" customHeight="1">
      <c r="A259" s="98"/>
      <c r="B259" s="98"/>
      <c r="C259" s="98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</row>
    <row r="260" ht="15.75" customHeight="1">
      <c r="A260" s="98"/>
      <c r="B260" s="98"/>
      <c r="C260" s="98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</row>
    <row r="261" ht="15.75" customHeight="1">
      <c r="A261" s="98"/>
      <c r="B261" s="98"/>
      <c r="C261" s="98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</row>
    <row r="262" ht="15.75" customHeight="1">
      <c r="A262" s="98"/>
      <c r="B262" s="98"/>
      <c r="C262" s="98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</row>
    <row r="263" ht="15.75" customHeight="1">
      <c r="A263" s="98"/>
      <c r="B263" s="98"/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</row>
    <row r="264" ht="15.75" customHeight="1">
      <c r="A264" s="98"/>
      <c r="B264" s="98"/>
      <c r="C264" s="98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</row>
    <row r="265" ht="15.75" customHeight="1">
      <c r="A265" s="98"/>
      <c r="B265" s="98"/>
      <c r="C265" s="98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</row>
    <row r="266" ht="15.75" customHeight="1">
      <c r="A266" s="98"/>
      <c r="B266" s="98"/>
      <c r="C266" s="98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</row>
    <row r="267" ht="15.75" customHeight="1">
      <c r="A267" s="98"/>
      <c r="B267" s="98"/>
      <c r="C267" s="98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</row>
    <row r="268" ht="15.75" customHeight="1">
      <c r="A268" s="98"/>
      <c r="B268" s="98"/>
      <c r="C268" s="98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</row>
    <row r="269" ht="15.75" customHeight="1">
      <c r="A269" s="98"/>
      <c r="B269" s="98"/>
      <c r="C269" s="98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</row>
    <row r="270" ht="15.75" customHeight="1">
      <c r="A270" s="98"/>
      <c r="B270" s="98"/>
      <c r="C270" s="98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</row>
    <row r="271" ht="15.75" customHeight="1">
      <c r="A271" s="98"/>
      <c r="B271" s="98"/>
      <c r="C271" s="98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</row>
    <row r="272" ht="15.75" customHeight="1">
      <c r="A272" s="98"/>
      <c r="B272" s="98"/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</row>
    <row r="273" ht="15.75" customHeight="1">
      <c r="A273" s="98"/>
      <c r="B273" s="98"/>
      <c r="C273" s="98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</row>
    <row r="274" ht="15.75" customHeight="1">
      <c r="A274" s="98"/>
      <c r="B274" s="98"/>
      <c r="C274" s="98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</row>
    <row r="275" ht="15.75" customHeight="1">
      <c r="A275" s="98"/>
      <c r="B275" s="98"/>
      <c r="C275" s="98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</row>
    <row r="276" ht="15.75" customHeight="1">
      <c r="A276" s="98"/>
      <c r="B276" s="98"/>
      <c r="C276" s="98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</row>
    <row r="277" ht="15.75" customHeight="1">
      <c r="A277" s="98"/>
      <c r="B277" s="98"/>
      <c r="C277" s="98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</row>
    <row r="278" ht="15.75" customHeight="1">
      <c r="A278" s="98"/>
      <c r="B278" s="98"/>
      <c r="C278" s="98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</row>
    <row r="279" ht="15.75" customHeight="1">
      <c r="A279" s="98"/>
      <c r="B279" s="98"/>
      <c r="C279" s="98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</row>
    <row r="280" ht="15.75" customHeight="1">
      <c r="A280" s="98"/>
      <c r="B280" s="98"/>
      <c r="C280" s="98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</row>
    <row r="281" ht="15.75" customHeight="1">
      <c r="A281" s="98"/>
      <c r="B281" s="98"/>
      <c r="C281" s="98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</row>
    <row r="282" ht="15.75" customHeight="1">
      <c r="A282" s="98"/>
      <c r="B282" s="98"/>
      <c r="C282" s="98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</row>
    <row r="283" ht="15.75" customHeight="1">
      <c r="A283" s="98"/>
      <c r="B283" s="98"/>
      <c r="C283" s="98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</row>
    <row r="284" ht="15.75" customHeight="1">
      <c r="A284" s="98"/>
      <c r="B284" s="98"/>
      <c r="C284" s="98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</row>
    <row r="285" ht="15.75" customHeight="1">
      <c r="A285" s="98"/>
      <c r="B285" s="98"/>
      <c r="C285" s="98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</row>
    <row r="286" ht="15.75" customHeight="1">
      <c r="A286" s="98"/>
      <c r="B286" s="98"/>
      <c r="C286" s="98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</row>
    <row r="287" ht="15.75" customHeight="1">
      <c r="A287" s="98"/>
      <c r="B287" s="98"/>
      <c r="C287" s="98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</row>
    <row r="288" ht="15.75" customHeight="1">
      <c r="A288" s="98"/>
      <c r="B288" s="98"/>
      <c r="C288" s="98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</row>
    <row r="289" ht="15.75" customHeight="1">
      <c r="A289" s="98"/>
      <c r="B289" s="98"/>
      <c r="C289" s="98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</row>
    <row r="290" ht="15.75" customHeight="1">
      <c r="A290" s="98"/>
      <c r="B290" s="98"/>
      <c r="C290" s="98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</row>
    <row r="291" ht="15.75" customHeight="1">
      <c r="A291" s="98"/>
      <c r="B291" s="98"/>
      <c r="C291" s="98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</row>
    <row r="292" ht="15.75" customHeight="1">
      <c r="A292" s="98"/>
      <c r="B292" s="98"/>
      <c r="C292" s="98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</row>
    <row r="293" ht="15.75" customHeight="1">
      <c r="A293" s="98"/>
      <c r="B293" s="98"/>
      <c r="C293" s="98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</row>
    <row r="294" ht="15.75" customHeight="1">
      <c r="A294" s="98"/>
      <c r="B294" s="98"/>
      <c r="C294" s="98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</row>
    <row r="295" ht="15.75" customHeight="1">
      <c r="A295" s="98"/>
      <c r="B295" s="98"/>
      <c r="C295" s="98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</row>
    <row r="296" ht="15.75" customHeight="1">
      <c r="A296" s="98"/>
      <c r="B296" s="98"/>
      <c r="C296" s="98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</row>
    <row r="297" ht="15.75" customHeight="1">
      <c r="A297" s="98"/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</row>
    <row r="298" ht="15.75" customHeight="1">
      <c r="A298" s="98"/>
      <c r="B298" s="98"/>
      <c r="C298" s="98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</row>
    <row r="299" ht="15.75" customHeight="1">
      <c r="A299" s="98"/>
      <c r="B299" s="98"/>
      <c r="C299" s="98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</row>
    <row r="300" ht="15.75" customHeight="1">
      <c r="A300" s="98"/>
      <c r="B300" s="98"/>
      <c r="C300" s="98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</row>
    <row r="301" ht="15.75" customHeight="1">
      <c r="A301" s="98"/>
      <c r="B301" s="98"/>
      <c r="C301" s="98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</row>
    <row r="302" ht="15.75" customHeight="1">
      <c r="A302" s="98"/>
      <c r="B302" s="98"/>
      <c r="C302" s="98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</row>
    <row r="303" ht="15.75" customHeight="1">
      <c r="A303" s="98"/>
      <c r="B303" s="98"/>
      <c r="C303" s="98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</row>
    <row r="304" ht="15.75" customHeight="1">
      <c r="A304" s="98"/>
      <c r="B304" s="98"/>
      <c r="C304" s="98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</row>
    <row r="305" ht="15.75" customHeight="1">
      <c r="A305" s="98"/>
      <c r="B305" s="98"/>
      <c r="C305" s="98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</row>
    <row r="306" ht="15.75" customHeight="1">
      <c r="A306" s="98"/>
      <c r="B306" s="98"/>
      <c r="C306" s="98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</row>
    <row r="307" ht="15.75" customHeight="1">
      <c r="A307" s="98"/>
      <c r="B307" s="98"/>
      <c r="C307" s="98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</row>
    <row r="308" ht="15.75" customHeight="1">
      <c r="A308" s="98"/>
      <c r="B308" s="98"/>
      <c r="C308" s="98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</row>
    <row r="309" ht="15.75" customHeight="1">
      <c r="A309" s="98"/>
      <c r="B309" s="98"/>
      <c r="C309" s="98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</row>
    <row r="310" ht="15.75" customHeight="1">
      <c r="A310" s="98"/>
      <c r="B310" s="98"/>
      <c r="C310" s="98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</row>
    <row r="311" ht="15.75" customHeight="1">
      <c r="A311" s="98"/>
      <c r="B311" s="98"/>
      <c r="C311" s="98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</row>
    <row r="312" ht="15.75" customHeight="1">
      <c r="A312" s="98"/>
      <c r="B312" s="98"/>
      <c r="C312" s="98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</row>
    <row r="313" ht="15.75" customHeight="1">
      <c r="A313" s="98"/>
      <c r="B313" s="98"/>
      <c r="C313" s="98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</row>
    <row r="314" ht="15.75" customHeight="1">
      <c r="A314" s="98"/>
      <c r="B314" s="98"/>
      <c r="C314" s="98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</row>
    <row r="315" ht="15.75" customHeight="1">
      <c r="A315" s="98"/>
      <c r="B315" s="98"/>
      <c r="C315" s="98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</row>
    <row r="316" ht="15.75" customHeight="1">
      <c r="A316" s="98"/>
      <c r="B316" s="98"/>
      <c r="C316" s="98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</row>
    <row r="317" ht="15.75" customHeight="1">
      <c r="A317" s="98"/>
      <c r="B317" s="98"/>
      <c r="C317" s="98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</row>
    <row r="318" ht="15.75" customHeight="1">
      <c r="A318" s="98"/>
      <c r="B318" s="98"/>
      <c r="C318" s="98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</row>
    <row r="319" ht="15.75" customHeight="1">
      <c r="A319" s="98"/>
      <c r="B319" s="98"/>
      <c r="C319" s="98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</row>
    <row r="320" ht="15.75" customHeight="1">
      <c r="A320" s="98"/>
      <c r="B320" s="98"/>
      <c r="C320" s="98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</row>
    <row r="321" ht="15.75" customHeight="1">
      <c r="A321" s="98"/>
      <c r="B321" s="98"/>
      <c r="C321" s="98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</row>
    <row r="322" ht="15.75" customHeight="1">
      <c r="A322" s="98"/>
      <c r="B322" s="98"/>
      <c r="C322" s="98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</row>
    <row r="323" ht="15.75" customHeight="1">
      <c r="A323" s="98"/>
      <c r="B323" s="98"/>
      <c r="C323" s="98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</row>
    <row r="324" ht="15.75" customHeight="1">
      <c r="A324" s="98"/>
      <c r="B324" s="98"/>
      <c r="C324" s="98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</row>
    <row r="325" ht="15.75" customHeight="1">
      <c r="A325" s="98"/>
      <c r="B325" s="98"/>
      <c r="C325" s="98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</row>
    <row r="326" ht="15.75" customHeight="1">
      <c r="A326" s="98"/>
      <c r="B326" s="98"/>
      <c r="C326" s="98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</row>
    <row r="327" ht="15.75" customHeight="1">
      <c r="A327" s="98"/>
      <c r="B327" s="98"/>
      <c r="C327" s="98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</row>
    <row r="328" ht="15.75" customHeight="1">
      <c r="A328" s="98"/>
      <c r="B328" s="98"/>
      <c r="C328" s="98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</row>
    <row r="329" ht="15.75" customHeight="1">
      <c r="A329" s="98"/>
      <c r="B329" s="98"/>
      <c r="C329" s="98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</row>
    <row r="330" ht="15.75" customHeight="1">
      <c r="A330" s="98"/>
      <c r="B330" s="98"/>
      <c r="C330" s="98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</row>
    <row r="331" ht="15.75" customHeight="1">
      <c r="A331" s="98"/>
      <c r="B331" s="98"/>
      <c r="C331" s="98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</row>
    <row r="332" ht="15.75" customHeight="1">
      <c r="A332" s="98"/>
      <c r="B332" s="98"/>
      <c r="C332" s="98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</row>
    <row r="333" ht="15.75" customHeight="1">
      <c r="A333" s="98"/>
      <c r="B333" s="98"/>
      <c r="C333" s="98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</row>
    <row r="334" ht="15.75" customHeight="1">
      <c r="A334" s="98"/>
      <c r="B334" s="98"/>
      <c r="C334" s="98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</row>
    <row r="335" ht="15.75" customHeight="1">
      <c r="A335" s="98"/>
      <c r="B335" s="98"/>
      <c r="C335" s="98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</row>
    <row r="336" ht="15.75" customHeight="1">
      <c r="A336" s="98"/>
      <c r="B336" s="98"/>
      <c r="C336" s="98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</row>
    <row r="337" ht="15.75" customHeight="1">
      <c r="A337" s="98"/>
      <c r="B337" s="98"/>
      <c r="C337" s="98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</row>
    <row r="338" ht="15.75" customHeight="1">
      <c r="A338" s="98"/>
      <c r="B338" s="98"/>
      <c r="C338" s="98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</row>
    <row r="339" ht="15.75" customHeight="1">
      <c r="A339" s="98"/>
      <c r="B339" s="98"/>
      <c r="C339" s="98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</row>
    <row r="340" ht="15.75" customHeight="1">
      <c r="A340" s="98"/>
      <c r="B340" s="98"/>
      <c r="C340" s="98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</row>
    <row r="341" ht="15.75" customHeight="1">
      <c r="A341" s="98"/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</row>
    <row r="342" ht="15.75" customHeight="1">
      <c r="A342" s="98"/>
      <c r="B342" s="98"/>
      <c r="C342" s="98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</row>
    <row r="343" ht="15.75" customHeight="1">
      <c r="A343" s="98"/>
      <c r="B343" s="98"/>
      <c r="C343" s="98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</row>
    <row r="344" ht="15.75" customHeight="1">
      <c r="A344" s="98"/>
      <c r="B344" s="98"/>
      <c r="C344" s="98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</row>
    <row r="345" ht="15.75" customHeight="1">
      <c r="A345" s="98"/>
      <c r="B345" s="98"/>
      <c r="C345" s="98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</row>
    <row r="346" ht="15.75" customHeight="1">
      <c r="A346" s="98"/>
      <c r="B346" s="98"/>
      <c r="C346" s="98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</row>
    <row r="347" ht="15.75" customHeight="1">
      <c r="A347" s="98"/>
      <c r="B347" s="98"/>
      <c r="C347" s="98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</row>
    <row r="348" ht="15.75" customHeight="1">
      <c r="A348" s="98"/>
      <c r="B348" s="98"/>
      <c r="C348" s="98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</row>
    <row r="349" ht="15.75" customHeight="1">
      <c r="A349" s="98"/>
      <c r="B349" s="98"/>
      <c r="C349" s="98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</row>
    <row r="350" ht="15.75" customHeight="1">
      <c r="A350" s="98"/>
      <c r="B350" s="98"/>
      <c r="C350" s="98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</row>
    <row r="351" ht="15.75" customHeight="1">
      <c r="A351" s="98"/>
      <c r="B351" s="98"/>
      <c r="C351" s="98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</row>
    <row r="352" ht="15.75" customHeight="1">
      <c r="A352" s="98"/>
      <c r="B352" s="98"/>
      <c r="C352" s="98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</row>
    <row r="353" ht="15.75" customHeight="1">
      <c r="A353" s="98"/>
      <c r="B353" s="98"/>
      <c r="C353" s="98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</row>
    <row r="354" ht="15.75" customHeight="1">
      <c r="A354" s="98"/>
      <c r="B354" s="98"/>
      <c r="C354" s="98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</row>
    <row r="355" ht="15.75" customHeight="1">
      <c r="A355" s="98"/>
      <c r="B355" s="98"/>
      <c r="C355" s="98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</row>
    <row r="356" ht="15.75" customHeight="1">
      <c r="A356" s="98"/>
      <c r="B356" s="98"/>
      <c r="C356" s="98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</row>
    <row r="357" ht="15.75" customHeight="1">
      <c r="A357" s="98"/>
      <c r="B357" s="98"/>
      <c r="C357" s="98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</row>
    <row r="358" ht="15.75" customHeight="1">
      <c r="A358" s="98"/>
      <c r="B358" s="98"/>
      <c r="C358" s="98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</row>
    <row r="359" ht="15.75" customHeight="1">
      <c r="A359" s="98"/>
      <c r="B359" s="98"/>
      <c r="C359" s="98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</row>
    <row r="360" ht="15.75" customHeight="1">
      <c r="A360" s="98"/>
      <c r="B360" s="98"/>
      <c r="C360" s="98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</row>
    <row r="361" ht="15.75" customHeight="1">
      <c r="A361" s="98"/>
      <c r="B361" s="98"/>
      <c r="C361" s="98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</row>
    <row r="362" ht="15.75" customHeight="1">
      <c r="A362" s="98"/>
      <c r="B362" s="98"/>
      <c r="C362" s="98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</row>
    <row r="363" ht="15.75" customHeight="1">
      <c r="A363" s="98"/>
      <c r="B363" s="98"/>
      <c r="C363" s="98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</row>
    <row r="364" ht="15.75" customHeight="1">
      <c r="A364" s="98"/>
      <c r="B364" s="98"/>
      <c r="C364" s="98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</row>
    <row r="365" ht="15.75" customHeight="1">
      <c r="A365" s="98"/>
      <c r="B365" s="98"/>
      <c r="C365" s="98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</row>
    <row r="366" ht="15.75" customHeight="1">
      <c r="A366" s="98"/>
      <c r="B366" s="98"/>
      <c r="C366" s="98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</row>
    <row r="367" ht="15.75" customHeight="1">
      <c r="A367" s="98"/>
      <c r="B367" s="98"/>
      <c r="C367" s="98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</row>
    <row r="368" ht="15.75" customHeight="1">
      <c r="A368" s="98"/>
      <c r="B368" s="98"/>
      <c r="C368" s="98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</row>
    <row r="369" ht="15.75" customHeight="1">
      <c r="A369" s="98"/>
      <c r="B369" s="98"/>
      <c r="C369" s="98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</row>
    <row r="370" ht="15.75" customHeight="1">
      <c r="A370" s="98"/>
      <c r="B370" s="98"/>
      <c r="C370" s="98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</row>
    <row r="371" ht="15.75" customHeight="1">
      <c r="A371" s="98"/>
      <c r="B371" s="98"/>
      <c r="C371" s="98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</row>
    <row r="372" ht="15.75" customHeight="1">
      <c r="A372" s="98"/>
      <c r="B372" s="98"/>
      <c r="C372" s="98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</row>
    <row r="373" ht="15.75" customHeight="1">
      <c r="A373" s="98"/>
      <c r="B373" s="98"/>
      <c r="C373" s="98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</row>
    <row r="374" ht="15.75" customHeight="1">
      <c r="A374" s="98"/>
      <c r="B374" s="98"/>
      <c r="C374" s="98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</row>
    <row r="375" ht="15.75" customHeight="1">
      <c r="A375" s="98"/>
      <c r="B375" s="98"/>
      <c r="C375" s="98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</row>
    <row r="376" ht="15.75" customHeight="1">
      <c r="A376" s="98"/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</row>
    <row r="377" ht="15.75" customHeight="1">
      <c r="A377" s="98"/>
      <c r="B377" s="98"/>
      <c r="C377" s="98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</row>
    <row r="378" ht="15.75" customHeight="1">
      <c r="A378" s="98"/>
      <c r="B378" s="98"/>
      <c r="C378" s="98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</row>
    <row r="379" ht="15.75" customHeight="1">
      <c r="A379" s="98"/>
      <c r="B379" s="98"/>
      <c r="C379" s="98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</row>
    <row r="380" ht="15.75" customHeight="1">
      <c r="A380" s="98"/>
      <c r="B380" s="98"/>
      <c r="C380" s="98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</row>
    <row r="381" ht="15.75" customHeight="1">
      <c r="A381" s="98"/>
      <c r="B381" s="98"/>
      <c r="C381" s="98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</row>
    <row r="382" ht="15.75" customHeight="1">
      <c r="A382" s="98"/>
      <c r="B382" s="98"/>
      <c r="C382" s="98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</row>
    <row r="383" ht="15.75" customHeight="1">
      <c r="A383" s="98"/>
      <c r="B383" s="98"/>
      <c r="C383" s="98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</row>
    <row r="384" ht="15.75" customHeight="1">
      <c r="A384" s="98"/>
      <c r="B384" s="98"/>
      <c r="C384" s="98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</row>
    <row r="385" ht="15.75" customHeight="1">
      <c r="A385" s="98"/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</row>
    <row r="386" ht="15.75" customHeight="1">
      <c r="A386" s="98"/>
      <c r="B386" s="98"/>
      <c r="C386" s="98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</row>
    <row r="387" ht="15.75" customHeight="1">
      <c r="A387" s="98"/>
      <c r="B387" s="98"/>
      <c r="C387" s="98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</row>
    <row r="388" ht="15.75" customHeight="1">
      <c r="A388" s="98"/>
      <c r="B388" s="98"/>
      <c r="C388" s="98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</row>
    <row r="389" ht="15.75" customHeight="1">
      <c r="A389" s="98"/>
      <c r="B389" s="98"/>
      <c r="C389" s="98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</row>
    <row r="390" ht="15.75" customHeight="1">
      <c r="A390" s="98"/>
      <c r="B390" s="98"/>
      <c r="C390" s="98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</row>
    <row r="391" ht="15.75" customHeight="1">
      <c r="A391" s="98"/>
      <c r="B391" s="98"/>
      <c r="C391" s="98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</row>
    <row r="392" ht="15.75" customHeight="1">
      <c r="A392" s="98"/>
      <c r="B392" s="98"/>
      <c r="C392" s="98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</row>
    <row r="393" ht="15.75" customHeight="1">
      <c r="A393" s="98"/>
      <c r="B393" s="98"/>
      <c r="C393" s="98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</row>
    <row r="394" ht="15.75" customHeight="1">
      <c r="A394" s="98"/>
      <c r="B394" s="98"/>
      <c r="C394" s="98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</row>
    <row r="395" ht="15.75" customHeight="1">
      <c r="A395" s="98"/>
      <c r="B395" s="98"/>
      <c r="C395" s="98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</row>
    <row r="396" ht="15.75" customHeight="1">
      <c r="A396" s="98"/>
      <c r="B396" s="98"/>
      <c r="C396" s="98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</row>
    <row r="397" ht="15.75" customHeight="1">
      <c r="A397" s="98"/>
      <c r="B397" s="98"/>
      <c r="C397" s="98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</row>
    <row r="398" ht="15.75" customHeight="1">
      <c r="A398" s="98"/>
      <c r="B398" s="98"/>
      <c r="C398" s="98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</row>
    <row r="399" ht="15.75" customHeight="1">
      <c r="A399" s="98"/>
      <c r="B399" s="98"/>
      <c r="C399" s="98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</row>
    <row r="400" ht="15.75" customHeight="1">
      <c r="A400" s="98"/>
      <c r="B400" s="98"/>
      <c r="C400" s="98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</row>
    <row r="401" ht="15.75" customHeight="1">
      <c r="A401" s="98"/>
      <c r="B401" s="98"/>
      <c r="C401" s="98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</row>
    <row r="402" ht="15.75" customHeight="1">
      <c r="A402" s="98"/>
      <c r="B402" s="98"/>
      <c r="C402" s="98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</row>
    <row r="403" ht="15.75" customHeight="1">
      <c r="A403" s="98"/>
      <c r="B403" s="98"/>
      <c r="C403" s="98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</row>
    <row r="404" ht="15.75" customHeight="1">
      <c r="A404" s="98"/>
      <c r="B404" s="98"/>
      <c r="C404" s="98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</row>
    <row r="405" ht="15.75" customHeight="1">
      <c r="A405" s="98"/>
      <c r="B405" s="98"/>
      <c r="C405" s="98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</row>
    <row r="406" ht="15.75" customHeight="1">
      <c r="A406" s="98"/>
      <c r="B406" s="98"/>
      <c r="C406" s="98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</row>
    <row r="407" ht="15.75" customHeight="1">
      <c r="A407" s="98"/>
      <c r="B407" s="98"/>
      <c r="C407" s="98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</row>
    <row r="408" ht="15.75" customHeight="1">
      <c r="A408" s="98"/>
      <c r="B408" s="98"/>
      <c r="C408" s="98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</row>
    <row r="409" ht="15.75" customHeight="1">
      <c r="A409" s="98"/>
      <c r="B409" s="98"/>
      <c r="C409" s="98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</row>
    <row r="410" ht="15.75" customHeight="1">
      <c r="A410" s="98"/>
      <c r="B410" s="98"/>
      <c r="C410" s="98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</row>
    <row r="411" ht="15.75" customHeight="1">
      <c r="A411" s="98"/>
      <c r="B411" s="98"/>
      <c r="C411" s="98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</row>
    <row r="412" ht="15.75" customHeight="1">
      <c r="A412" s="98"/>
      <c r="B412" s="98"/>
      <c r="C412" s="98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</row>
    <row r="413" ht="15.75" customHeight="1">
      <c r="A413" s="98"/>
      <c r="B413" s="98"/>
      <c r="C413" s="98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</row>
    <row r="414" ht="15.75" customHeight="1">
      <c r="A414" s="98"/>
      <c r="B414" s="98"/>
      <c r="C414" s="98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</row>
    <row r="415" ht="15.75" customHeight="1">
      <c r="A415" s="98"/>
      <c r="B415" s="98"/>
      <c r="C415" s="98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</row>
    <row r="416" ht="15.75" customHeight="1">
      <c r="A416" s="98"/>
      <c r="B416" s="98"/>
      <c r="C416" s="98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</row>
    <row r="417" ht="15.75" customHeight="1">
      <c r="A417" s="98"/>
      <c r="B417" s="98"/>
      <c r="C417" s="98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</row>
    <row r="418" ht="15.75" customHeight="1">
      <c r="A418" s="98"/>
      <c r="B418" s="98"/>
      <c r="C418" s="98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</row>
    <row r="419" ht="15.75" customHeight="1">
      <c r="A419" s="98"/>
      <c r="B419" s="98"/>
      <c r="C419" s="98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</row>
    <row r="420" ht="15.75" customHeight="1">
      <c r="A420" s="98"/>
      <c r="B420" s="98"/>
      <c r="C420" s="98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</row>
    <row r="421" ht="15.75" customHeight="1">
      <c r="A421" s="98"/>
      <c r="B421" s="98"/>
      <c r="C421" s="98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</row>
    <row r="422" ht="15.75" customHeight="1">
      <c r="A422" s="98"/>
      <c r="B422" s="98"/>
      <c r="C422" s="98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</row>
    <row r="423" ht="15.75" customHeight="1">
      <c r="A423" s="98"/>
      <c r="B423" s="98"/>
      <c r="C423" s="98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</row>
    <row r="424" ht="15.75" customHeight="1">
      <c r="A424" s="98"/>
      <c r="B424" s="98"/>
      <c r="C424" s="98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</row>
    <row r="425" ht="15.75" customHeight="1">
      <c r="A425" s="98"/>
      <c r="B425" s="98"/>
      <c r="C425" s="98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</row>
    <row r="426" ht="15.75" customHeight="1">
      <c r="A426" s="98"/>
      <c r="B426" s="98"/>
      <c r="C426" s="98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</row>
    <row r="427" ht="15.75" customHeight="1">
      <c r="A427" s="98"/>
      <c r="B427" s="98"/>
      <c r="C427" s="98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</row>
    <row r="428" ht="15.75" customHeight="1">
      <c r="A428" s="98"/>
      <c r="B428" s="98"/>
      <c r="C428" s="98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</row>
    <row r="429" ht="15.75" customHeight="1">
      <c r="A429" s="98"/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</row>
    <row r="430" ht="15.75" customHeight="1">
      <c r="A430" s="98"/>
      <c r="B430" s="98"/>
      <c r="C430" s="98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</row>
    <row r="431" ht="15.75" customHeight="1">
      <c r="A431" s="98"/>
      <c r="B431" s="98"/>
      <c r="C431" s="98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</row>
    <row r="432" ht="15.75" customHeight="1">
      <c r="A432" s="98"/>
      <c r="B432" s="98"/>
      <c r="C432" s="98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</row>
    <row r="433" ht="15.75" customHeight="1">
      <c r="A433" s="98"/>
      <c r="B433" s="98"/>
      <c r="C433" s="98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</row>
    <row r="434" ht="15.75" customHeight="1">
      <c r="A434" s="98"/>
      <c r="B434" s="98"/>
      <c r="C434" s="98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</row>
    <row r="435" ht="15.75" customHeight="1">
      <c r="A435" s="98"/>
      <c r="B435" s="98"/>
      <c r="C435" s="98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</row>
    <row r="436" ht="15.75" customHeight="1">
      <c r="A436" s="98"/>
      <c r="B436" s="98"/>
      <c r="C436" s="98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</row>
    <row r="437" ht="15.75" customHeight="1">
      <c r="A437" s="98"/>
      <c r="B437" s="98"/>
      <c r="C437" s="98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</row>
    <row r="438" ht="15.75" customHeight="1">
      <c r="A438" s="98"/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</row>
    <row r="439" ht="15.75" customHeight="1">
      <c r="A439" s="98"/>
      <c r="B439" s="98"/>
      <c r="C439" s="98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</row>
    <row r="440" ht="15.75" customHeight="1">
      <c r="A440" s="98"/>
      <c r="B440" s="98"/>
      <c r="C440" s="98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</row>
    <row r="441" ht="15.75" customHeight="1">
      <c r="A441" s="98"/>
      <c r="B441" s="98"/>
      <c r="C441" s="98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</row>
    <row r="442" ht="15.75" customHeight="1">
      <c r="A442" s="98"/>
      <c r="B442" s="98"/>
      <c r="C442" s="98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</row>
    <row r="443" ht="15.75" customHeight="1">
      <c r="A443" s="98"/>
      <c r="B443" s="98"/>
      <c r="C443" s="98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</row>
    <row r="444" ht="15.75" customHeight="1">
      <c r="A444" s="98"/>
      <c r="B444" s="98"/>
      <c r="C444" s="98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</row>
    <row r="445" ht="15.75" customHeight="1">
      <c r="A445" s="98"/>
      <c r="B445" s="98"/>
      <c r="C445" s="98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</row>
    <row r="446" ht="15.75" customHeight="1">
      <c r="A446" s="98"/>
      <c r="B446" s="98"/>
      <c r="C446" s="98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</row>
    <row r="447" ht="15.75" customHeight="1">
      <c r="A447" s="98"/>
      <c r="B447" s="98"/>
      <c r="C447" s="98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</row>
    <row r="448" ht="15.75" customHeight="1">
      <c r="A448" s="98"/>
      <c r="B448" s="98"/>
      <c r="C448" s="98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</row>
    <row r="449" ht="15.75" customHeight="1">
      <c r="A449" s="98"/>
      <c r="B449" s="98"/>
      <c r="C449" s="98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</row>
    <row r="450" ht="15.75" customHeight="1">
      <c r="A450" s="98"/>
      <c r="B450" s="98"/>
      <c r="C450" s="98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</row>
    <row r="451" ht="15.75" customHeight="1">
      <c r="A451" s="98"/>
      <c r="B451" s="98"/>
      <c r="C451" s="98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</row>
    <row r="452" ht="15.75" customHeight="1">
      <c r="A452" s="98"/>
      <c r="B452" s="98"/>
      <c r="C452" s="98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</row>
    <row r="453" ht="15.75" customHeight="1">
      <c r="A453" s="98"/>
      <c r="B453" s="98"/>
      <c r="C453" s="98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</row>
    <row r="454" ht="15.75" customHeight="1">
      <c r="A454" s="98"/>
      <c r="B454" s="98"/>
      <c r="C454" s="98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</row>
    <row r="455" ht="15.75" customHeight="1">
      <c r="A455" s="98"/>
      <c r="B455" s="98"/>
      <c r="C455" s="98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</row>
    <row r="456" ht="15.75" customHeight="1">
      <c r="A456" s="98"/>
      <c r="B456" s="98"/>
      <c r="C456" s="98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</row>
    <row r="457" ht="15.75" customHeight="1">
      <c r="A457" s="98"/>
      <c r="B457" s="98"/>
      <c r="C457" s="98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</row>
    <row r="458" ht="15.75" customHeight="1">
      <c r="A458" s="98"/>
      <c r="B458" s="98"/>
      <c r="C458" s="98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</row>
    <row r="459" ht="15.75" customHeight="1">
      <c r="A459" s="98"/>
      <c r="B459" s="98"/>
      <c r="C459" s="98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</row>
    <row r="460" ht="15.75" customHeight="1">
      <c r="A460" s="98"/>
      <c r="B460" s="98"/>
      <c r="C460" s="98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</row>
    <row r="461" ht="15.75" customHeight="1">
      <c r="A461" s="98"/>
      <c r="B461" s="98"/>
      <c r="C461" s="98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</row>
    <row r="462" ht="15.75" customHeight="1">
      <c r="A462" s="98"/>
      <c r="B462" s="98"/>
      <c r="C462" s="98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</row>
    <row r="463" ht="15.75" customHeight="1">
      <c r="A463" s="98"/>
      <c r="B463" s="98"/>
      <c r="C463" s="98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</row>
    <row r="464" ht="15.75" customHeight="1">
      <c r="A464" s="98"/>
      <c r="B464" s="98"/>
      <c r="C464" s="98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</row>
    <row r="465" ht="15.75" customHeight="1">
      <c r="A465" s="98"/>
      <c r="B465" s="98"/>
      <c r="C465" s="98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</row>
    <row r="466" ht="15.75" customHeight="1">
      <c r="A466" s="98"/>
      <c r="B466" s="98"/>
      <c r="C466" s="98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</row>
    <row r="467" ht="15.75" customHeight="1">
      <c r="A467" s="98"/>
      <c r="B467" s="98"/>
      <c r="C467" s="98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</row>
    <row r="468" ht="15.75" customHeight="1">
      <c r="A468" s="98"/>
      <c r="B468" s="98"/>
      <c r="C468" s="98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</row>
    <row r="469" ht="15.75" customHeight="1">
      <c r="A469" s="98"/>
      <c r="B469" s="98"/>
      <c r="C469" s="98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</row>
    <row r="470" ht="15.75" customHeight="1">
      <c r="A470" s="98"/>
      <c r="B470" s="98"/>
      <c r="C470" s="98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</row>
    <row r="471" ht="15.75" customHeight="1">
      <c r="A471" s="98"/>
      <c r="B471" s="98"/>
      <c r="C471" s="98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</row>
    <row r="472" ht="15.75" customHeight="1">
      <c r="A472" s="98"/>
      <c r="B472" s="98"/>
      <c r="C472" s="98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</row>
    <row r="473" ht="15.75" customHeight="1">
      <c r="A473" s="98"/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</row>
    <row r="474" ht="15.75" customHeight="1">
      <c r="A474" s="98"/>
      <c r="B474" s="98"/>
      <c r="C474" s="98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</row>
    <row r="475" ht="15.75" customHeight="1">
      <c r="A475" s="98"/>
      <c r="B475" s="98"/>
      <c r="C475" s="98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</row>
    <row r="476" ht="15.75" customHeight="1">
      <c r="A476" s="98"/>
      <c r="B476" s="98"/>
      <c r="C476" s="98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</row>
    <row r="477" ht="15.75" customHeight="1">
      <c r="A477" s="98"/>
      <c r="B477" s="98"/>
      <c r="C477" s="98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</row>
    <row r="478" ht="15.75" customHeight="1">
      <c r="A478" s="98"/>
      <c r="B478" s="98"/>
      <c r="C478" s="98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</row>
    <row r="479" ht="15.75" customHeight="1">
      <c r="A479" s="98"/>
      <c r="B479" s="98"/>
      <c r="C479" s="98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</row>
    <row r="480" ht="15.75" customHeight="1">
      <c r="A480" s="98"/>
      <c r="B480" s="98"/>
      <c r="C480" s="98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</row>
    <row r="481" ht="15.75" customHeight="1">
      <c r="A481" s="98"/>
      <c r="B481" s="98"/>
      <c r="C481" s="98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</row>
    <row r="482" ht="15.75" customHeight="1">
      <c r="A482" s="98"/>
      <c r="B482" s="98"/>
      <c r="C482" s="98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</row>
    <row r="483" ht="15.75" customHeight="1">
      <c r="A483" s="98"/>
      <c r="B483" s="98"/>
      <c r="C483" s="98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</row>
    <row r="484" ht="15.75" customHeight="1">
      <c r="A484" s="98"/>
      <c r="B484" s="98"/>
      <c r="C484" s="98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</row>
    <row r="485" ht="15.75" customHeight="1">
      <c r="A485" s="98"/>
      <c r="B485" s="98"/>
      <c r="C485" s="98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</row>
    <row r="486" ht="15.75" customHeight="1">
      <c r="A486" s="98"/>
      <c r="B486" s="98"/>
      <c r="C486" s="98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</row>
    <row r="487" ht="15.75" customHeight="1">
      <c r="A487" s="98"/>
      <c r="B487" s="98"/>
      <c r="C487" s="98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</row>
    <row r="488" ht="15.75" customHeight="1">
      <c r="A488" s="98"/>
      <c r="B488" s="98"/>
      <c r="C488" s="98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</row>
    <row r="489" ht="15.75" customHeight="1">
      <c r="A489" s="98"/>
      <c r="B489" s="98"/>
      <c r="C489" s="98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</row>
    <row r="490" ht="15.75" customHeight="1">
      <c r="A490" s="98"/>
      <c r="B490" s="98"/>
      <c r="C490" s="98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</row>
    <row r="491" ht="15.75" customHeight="1">
      <c r="A491" s="98"/>
      <c r="B491" s="98"/>
      <c r="C491" s="98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</row>
    <row r="492" ht="15.75" customHeight="1">
      <c r="A492" s="98"/>
      <c r="B492" s="98"/>
      <c r="C492" s="98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</row>
    <row r="493" ht="15.75" customHeight="1">
      <c r="A493" s="98"/>
      <c r="B493" s="98"/>
      <c r="C493" s="98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</row>
    <row r="494" ht="15.75" customHeight="1">
      <c r="A494" s="98"/>
      <c r="B494" s="98"/>
      <c r="C494" s="98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</row>
    <row r="495" ht="15.75" customHeight="1">
      <c r="A495" s="98"/>
      <c r="B495" s="98"/>
      <c r="C495" s="98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</row>
    <row r="496" ht="15.75" customHeight="1">
      <c r="A496" s="98"/>
      <c r="B496" s="98"/>
      <c r="C496" s="98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</row>
    <row r="497" ht="15.75" customHeight="1">
      <c r="A497" s="98"/>
      <c r="B497" s="98"/>
      <c r="C497" s="98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</row>
    <row r="498" ht="15.75" customHeight="1">
      <c r="A498" s="98"/>
      <c r="B498" s="98"/>
      <c r="C498" s="98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</row>
    <row r="499" ht="15.75" customHeight="1">
      <c r="A499" s="98"/>
      <c r="B499" s="98"/>
      <c r="C499" s="98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</row>
    <row r="500" ht="15.75" customHeight="1">
      <c r="A500" s="98"/>
      <c r="B500" s="98"/>
      <c r="C500" s="98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</row>
    <row r="501" ht="15.75" customHeight="1">
      <c r="A501" s="98"/>
      <c r="B501" s="98"/>
      <c r="C501" s="98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</row>
    <row r="502" ht="15.75" customHeight="1">
      <c r="A502" s="98"/>
      <c r="B502" s="98"/>
      <c r="C502" s="98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</row>
    <row r="503" ht="15.75" customHeight="1">
      <c r="A503" s="98"/>
      <c r="B503" s="98"/>
      <c r="C503" s="98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</row>
    <row r="504" ht="15.75" customHeight="1">
      <c r="A504" s="98"/>
      <c r="B504" s="98"/>
      <c r="C504" s="98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</row>
    <row r="505" ht="15.75" customHeight="1">
      <c r="A505" s="98"/>
      <c r="B505" s="98"/>
      <c r="C505" s="98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</row>
    <row r="506" ht="15.75" customHeight="1">
      <c r="A506" s="98"/>
      <c r="B506" s="98"/>
      <c r="C506" s="98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</row>
    <row r="507" ht="15.75" customHeight="1">
      <c r="A507" s="98"/>
      <c r="B507" s="98"/>
      <c r="C507" s="98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</row>
    <row r="508" ht="15.75" customHeight="1">
      <c r="A508" s="98"/>
      <c r="B508" s="98"/>
      <c r="C508" s="98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</row>
    <row r="509" ht="15.75" customHeight="1">
      <c r="A509" s="98"/>
      <c r="B509" s="98"/>
      <c r="C509" s="98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</row>
    <row r="510" ht="15.75" customHeight="1">
      <c r="A510" s="98"/>
      <c r="B510" s="98"/>
      <c r="C510" s="98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</row>
    <row r="511" ht="15.75" customHeight="1">
      <c r="A511" s="98"/>
      <c r="B511" s="98"/>
      <c r="C511" s="98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</row>
    <row r="512" ht="15.75" customHeight="1">
      <c r="A512" s="98"/>
      <c r="B512" s="98"/>
      <c r="C512" s="98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</row>
    <row r="513" ht="15.75" customHeight="1">
      <c r="A513" s="98"/>
      <c r="B513" s="98"/>
      <c r="C513" s="98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</row>
    <row r="514" ht="15.75" customHeight="1">
      <c r="A514" s="98"/>
      <c r="B514" s="98"/>
      <c r="C514" s="98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</row>
    <row r="515" ht="15.75" customHeight="1">
      <c r="A515" s="98"/>
      <c r="B515" s="98"/>
      <c r="C515" s="98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</row>
    <row r="516" ht="15.75" customHeight="1">
      <c r="A516" s="98"/>
      <c r="B516" s="98"/>
      <c r="C516" s="98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</row>
    <row r="517" ht="15.75" customHeight="1">
      <c r="A517" s="98"/>
      <c r="B517" s="98"/>
      <c r="C517" s="98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</row>
    <row r="518" ht="15.75" customHeight="1">
      <c r="A518" s="98"/>
      <c r="B518" s="98"/>
      <c r="C518" s="98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</row>
    <row r="519" ht="15.75" customHeight="1">
      <c r="A519" s="98"/>
      <c r="B519" s="98"/>
      <c r="C519" s="98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</row>
    <row r="520" ht="15.75" customHeight="1">
      <c r="A520" s="98"/>
      <c r="B520" s="98"/>
      <c r="C520" s="98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</row>
    <row r="521" ht="15.75" customHeight="1">
      <c r="A521" s="98"/>
      <c r="B521" s="98"/>
      <c r="C521" s="98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</row>
    <row r="522" ht="15.75" customHeight="1">
      <c r="A522" s="98"/>
      <c r="B522" s="98"/>
      <c r="C522" s="98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</row>
    <row r="523" ht="15.75" customHeight="1">
      <c r="A523" s="98"/>
      <c r="B523" s="98"/>
      <c r="C523" s="98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</row>
    <row r="524" ht="15.75" customHeight="1">
      <c r="A524" s="98"/>
      <c r="B524" s="98"/>
      <c r="C524" s="98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</row>
    <row r="525" ht="15.75" customHeight="1">
      <c r="A525" s="98"/>
      <c r="B525" s="98"/>
      <c r="C525" s="98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</row>
    <row r="526" ht="15.75" customHeight="1">
      <c r="A526" s="98"/>
      <c r="B526" s="98"/>
      <c r="C526" s="98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</row>
    <row r="527" ht="15.75" customHeight="1">
      <c r="A527" s="98"/>
      <c r="B527" s="98"/>
      <c r="C527" s="98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</row>
    <row r="528" ht="15.75" customHeight="1">
      <c r="A528" s="98"/>
      <c r="B528" s="98"/>
      <c r="C528" s="98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</row>
    <row r="529" ht="15.75" customHeight="1">
      <c r="A529" s="98"/>
      <c r="B529" s="98"/>
      <c r="C529" s="98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</row>
    <row r="530" ht="15.75" customHeight="1">
      <c r="A530" s="98"/>
      <c r="B530" s="98"/>
      <c r="C530" s="98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</row>
    <row r="531" ht="15.75" customHeight="1">
      <c r="A531" s="98"/>
      <c r="B531" s="98"/>
      <c r="C531" s="98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</row>
    <row r="532" ht="15.75" customHeight="1">
      <c r="A532" s="98"/>
      <c r="B532" s="98"/>
      <c r="C532" s="98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</row>
    <row r="533" ht="15.75" customHeight="1">
      <c r="A533" s="98"/>
      <c r="B533" s="98"/>
      <c r="C533" s="98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</row>
    <row r="534" ht="15.75" customHeight="1">
      <c r="A534" s="98"/>
      <c r="B534" s="98"/>
      <c r="C534" s="98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</row>
    <row r="535" ht="15.75" customHeight="1">
      <c r="A535" s="98"/>
      <c r="B535" s="98"/>
      <c r="C535" s="98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</row>
    <row r="536" ht="15.75" customHeight="1">
      <c r="A536" s="98"/>
      <c r="B536" s="98"/>
      <c r="C536" s="98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</row>
    <row r="537" ht="15.75" customHeight="1">
      <c r="A537" s="98"/>
      <c r="B537" s="98"/>
      <c r="C537" s="98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</row>
    <row r="538" ht="15.75" customHeight="1">
      <c r="A538" s="98"/>
      <c r="B538" s="98"/>
      <c r="C538" s="98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</row>
    <row r="539" ht="15.75" customHeight="1">
      <c r="A539" s="98"/>
      <c r="B539" s="98"/>
      <c r="C539" s="98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</row>
    <row r="540" ht="15.75" customHeight="1">
      <c r="A540" s="98"/>
      <c r="B540" s="98"/>
      <c r="C540" s="98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</row>
    <row r="541" ht="15.75" customHeight="1">
      <c r="A541" s="98"/>
      <c r="B541" s="98"/>
      <c r="C541" s="98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</row>
    <row r="542" ht="15.75" customHeight="1">
      <c r="A542" s="98"/>
      <c r="B542" s="98"/>
      <c r="C542" s="98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</row>
    <row r="543" ht="15.75" customHeight="1">
      <c r="A543" s="98"/>
      <c r="B543" s="98"/>
      <c r="C543" s="98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</row>
    <row r="544" ht="15.75" customHeight="1">
      <c r="A544" s="98"/>
      <c r="B544" s="98"/>
      <c r="C544" s="98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</row>
    <row r="545" ht="15.75" customHeight="1">
      <c r="A545" s="98"/>
      <c r="B545" s="98"/>
      <c r="C545" s="98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</row>
    <row r="546" ht="15.75" customHeight="1">
      <c r="A546" s="98"/>
      <c r="B546" s="98"/>
      <c r="C546" s="98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</row>
    <row r="547" ht="15.75" customHeight="1">
      <c r="A547" s="98"/>
      <c r="B547" s="98"/>
      <c r="C547" s="98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</row>
    <row r="548" ht="15.75" customHeight="1">
      <c r="A548" s="98"/>
      <c r="B548" s="98"/>
      <c r="C548" s="98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</row>
    <row r="549" ht="15.75" customHeight="1">
      <c r="A549" s="98"/>
      <c r="B549" s="98"/>
      <c r="C549" s="98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</row>
    <row r="550" ht="15.75" customHeight="1">
      <c r="A550" s="98"/>
      <c r="B550" s="98"/>
      <c r="C550" s="98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</row>
    <row r="551" ht="15.75" customHeight="1">
      <c r="A551" s="98"/>
      <c r="B551" s="98"/>
      <c r="C551" s="98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</row>
    <row r="552" ht="15.75" customHeight="1">
      <c r="A552" s="98"/>
      <c r="B552" s="98"/>
      <c r="C552" s="98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</row>
    <row r="553" ht="15.75" customHeight="1">
      <c r="A553" s="98"/>
      <c r="B553" s="98"/>
      <c r="C553" s="98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</row>
    <row r="554" ht="15.75" customHeight="1">
      <c r="A554" s="98"/>
      <c r="B554" s="98"/>
      <c r="C554" s="98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</row>
    <row r="555" ht="15.75" customHeight="1">
      <c r="A555" s="98"/>
      <c r="B555" s="98"/>
      <c r="C555" s="98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</row>
    <row r="556" ht="15.75" customHeight="1">
      <c r="A556" s="98"/>
      <c r="B556" s="98"/>
      <c r="C556" s="98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</row>
    <row r="557" ht="15.75" customHeight="1">
      <c r="A557" s="98"/>
      <c r="B557" s="98"/>
      <c r="C557" s="98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</row>
    <row r="558" ht="15.75" customHeight="1">
      <c r="A558" s="98"/>
      <c r="B558" s="98"/>
      <c r="C558" s="98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</row>
    <row r="559" ht="15.75" customHeight="1">
      <c r="A559" s="98"/>
      <c r="B559" s="98"/>
      <c r="C559" s="98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</row>
    <row r="560" ht="15.75" customHeight="1">
      <c r="A560" s="98"/>
      <c r="B560" s="98"/>
      <c r="C560" s="98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</row>
    <row r="561" ht="15.75" customHeight="1">
      <c r="A561" s="98"/>
      <c r="B561" s="98"/>
      <c r="C561" s="98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</row>
    <row r="562" ht="15.75" customHeight="1">
      <c r="A562" s="98"/>
      <c r="B562" s="98"/>
      <c r="C562" s="98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</row>
    <row r="563" ht="15.75" customHeight="1">
      <c r="A563" s="98"/>
      <c r="B563" s="98"/>
      <c r="C563" s="98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</row>
    <row r="564" ht="15.75" customHeight="1">
      <c r="A564" s="98"/>
      <c r="B564" s="98"/>
      <c r="C564" s="98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</row>
    <row r="565" ht="15.75" customHeight="1">
      <c r="A565" s="98"/>
      <c r="B565" s="98"/>
      <c r="C565" s="98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</row>
    <row r="566" ht="15.75" customHeight="1">
      <c r="A566" s="98"/>
      <c r="B566" s="98"/>
      <c r="C566" s="98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</row>
    <row r="567" ht="15.75" customHeight="1">
      <c r="A567" s="98"/>
      <c r="B567" s="98"/>
      <c r="C567" s="98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</row>
    <row r="568" ht="15.75" customHeight="1">
      <c r="A568" s="98"/>
      <c r="B568" s="98"/>
      <c r="C568" s="98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</row>
    <row r="569" ht="15.75" customHeight="1">
      <c r="A569" s="98"/>
      <c r="B569" s="98"/>
      <c r="C569" s="98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</row>
    <row r="570" ht="15.75" customHeight="1">
      <c r="A570" s="98"/>
      <c r="B570" s="98"/>
      <c r="C570" s="98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</row>
    <row r="571" ht="15.75" customHeight="1">
      <c r="A571" s="98"/>
      <c r="B571" s="98"/>
      <c r="C571" s="98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</row>
    <row r="572" ht="15.75" customHeight="1">
      <c r="A572" s="98"/>
      <c r="B572" s="98"/>
      <c r="C572" s="98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</row>
    <row r="573" ht="15.75" customHeight="1">
      <c r="A573" s="98"/>
      <c r="B573" s="98"/>
      <c r="C573" s="98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</row>
    <row r="574" ht="15.75" customHeight="1">
      <c r="A574" s="98"/>
      <c r="B574" s="98"/>
      <c r="C574" s="98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</row>
    <row r="575" ht="15.75" customHeight="1">
      <c r="A575" s="98"/>
      <c r="B575" s="98"/>
      <c r="C575" s="98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</row>
    <row r="576" ht="15.75" customHeight="1">
      <c r="A576" s="98"/>
      <c r="B576" s="98"/>
      <c r="C576" s="98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</row>
    <row r="577" ht="15.75" customHeight="1">
      <c r="A577" s="98"/>
      <c r="B577" s="98"/>
      <c r="C577" s="98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</row>
    <row r="578" ht="15.75" customHeight="1">
      <c r="A578" s="98"/>
      <c r="B578" s="98"/>
      <c r="C578" s="98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</row>
    <row r="579" ht="15.75" customHeight="1">
      <c r="A579" s="98"/>
      <c r="B579" s="98"/>
      <c r="C579" s="98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</row>
    <row r="580" ht="15.75" customHeight="1">
      <c r="A580" s="98"/>
      <c r="B580" s="98"/>
      <c r="C580" s="98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</row>
    <row r="581" ht="15.75" customHeight="1">
      <c r="A581" s="98"/>
      <c r="B581" s="98"/>
      <c r="C581" s="98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</row>
    <row r="582" ht="15.75" customHeight="1">
      <c r="A582" s="98"/>
      <c r="B582" s="98"/>
      <c r="C582" s="98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</row>
    <row r="583" ht="15.75" customHeight="1">
      <c r="A583" s="98"/>
      <c r="B583" s="98"/>
      <c r="C583" s="98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</row>
    <row r="584" ht="15.75" customHeight="1">
      <c r="A584" s="98"/>
      <c r="B584" s="98"/>
      <c r="C584" s="98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</row>
    <row r="585" ht="15.75" customHeight="1">
      <c r="A585" s="98"/>
      <c r="B585" s="98"/>
      <c r="C585" s="98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</row>
    <row r="586" ht="15.75" customHeight="1">
      <c r="A586" s="98"/>
      <c r="B586" s="98"/>
      <c r="C586" s="98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</row>
    <row r="587" ht="15.75" customHeight="1">
      <c r="A587" s="98"/>
      <c r="B587" s="98"/>
      <c r="C587" s="98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</row>
    <row r="588" ht="15.75" customHeight="1">
      <c r="A588" s="98"/>
      <c r="B588" s="98"/>
      <c r="C588" s="98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</row>
    <row r="589" ht="15.75" customHeight="1">
      <c r="A589" s="98"/>
      <c r="B589" s="98"/>
      <c r="C589" s="98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</row>
    <row r="590" ht="15.75" customHeight="1">
      <c r="A590" s="98"/>
      <c r="B590" s="98"/>
      <c r="C590" s="98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</row>
    <row r="591" ht="15.75" customHeight="1">
      <c r="A591" s="98"/>
      <c r="B591" s="98"/>
      <c r="C591" s="98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</row>
    <row r="592" ht="15.75" customHeight="1">
      <c r="A592" s="98"/>
      <c r="B592" s="98"/>
      <c r="C592" s="98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</row>
    <row r="593" ht="15.75" customHeight="1">
      <c r="A593" s="98"/>
      <c r="B593" s="98"/>
      <c r="C593" s="98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</row>
    <row r="594" ht="15.75" customHeight="1">
      <c r="A594" s="98"/>
      <c r="B594" s="98"/>
      <c r="C594" s="98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</row>
    <row r="595" ht="15.75" customHeight="1">
      <c r="A595" s="98"/>
      <c r="B595" s="98"/>
      <c r="C595" s="98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</row>
    <row r="596" ht="15.75" customHeight="1">
      <c r="A596" s="98"/>
      <c r="B596" s="98"/>
      <c r="C596" s="98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</row>
    <row r="597" ht="15.75" customHeight="1">
      <c r="A597" s="98"/>
      <c r="B597" s="98"/>
      <c r="C597" s="98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</row>
    <row r="598" ht="15.75" customHeight="1">
      <c r="A598" s="98"/>
      <c r="B598" s="98"/>
      <c r="C598" s="98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</row>
    <row r="599" ht="15.75" customHeight="1">
      <c r="A599" s="98"/>
      <c r="B599" s="98"/>
      <c r="C599" s="98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</row>
    <row r="600" ht="15.75" customHeight="1">
      <c r="A600" s="98"/>
      <c r="B600" s="98"/>
      <c r="C600" s="98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</row>
    <row r="601" ht="15.75" customHeight="1">
      <c r="A601" s="98"/>
      <c r="B601" s="98"/>
      <c r="C601" s="98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</row>
    <row r="602" ht="15.75" customHeight="1">
      <c r="A602" s="98"/>
      <c r="B602" s="98"/>
      <c r="C602" s="98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</row>
    <row r="603" ht="15.75" customHeight="1">
      <c r="A603" s="98"/>
      <c r="B603" s="98"/>
      <c r="C603" s="98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</row>
    <row r="604" ht="15.75" customHeight="1">
      <c r="A604" s="98"/>
      <c r="B604" s="98"/>
      <c r="C604" s="98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</row>
    <row r="605" ht="15.75" customHeight="1">
      <c r="A605" s="98"/>
      <c r="B605" s="98"/>
      <c r="C605" s="98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</row>
    <row r="606" ht="15.75" customHeight="1">
      <c r="A606" s="98"/>
      <c r="B606" s="98"/>
      <c r="C606" s="98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</row>
    <row r="607" ht="15.75" customHeight="1">
      <c r="A607" s="98"/>
      <c r="B607" s="98"/>
      <c r="C607" s="98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</row>
    <row r="608" ht="15.75" customHeight="1">
      <c r="A608" s="98"/>
      <c r="B608" s="98"/>
      <c r="C608" s="98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</row>
    <row r="609" ht="15.75" customHeight="1">
      <c r="A609" s="98"/>
      <c r="B609" s="98"/>
      <c r="C609" s="98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</row>
    <row r="610" ht="15.75" customHeight="1">
      <c r="A610" s="98"/>
      <c r="B610" s="98"/>
      <c r="C610" s="98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</row>
    <row r="611" ht="15.75" customHeight="1">
      <c r="A611" s="98"/>
      <c r="B611" s="98"/>
      <c r="C611" s="98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</row>
    <row r="612" ht="15.75" customHeight="1">
      <c r="A612" s="98"/>
      <c r="B612" s="98"/>
      <c r="C612" s="98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</row>
    <row r="613" ht="15.75" customHeight="1">
      <c r="A613" s="98"/>
      <c r="B613" s="98"/>
      <c r="C613" s="98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</row>
    <row r="614" ht="15.75" customHeight="1">
      <c r="A614" s="98"/>
      <c r="B614" s="98"/>
      <c r="C614" s="98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</row>
    <row r="615" ht="15.75" customHeight="1">
      <c r="A615" s="98"/>
      <c r="B615" s="98"/>
      <c r="C615" s="98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</row>
    <row r="616" ht="15.75" customHeight="1">
      <c r="A616" s="98"/>
      <c r="B616" s="98"/>
      <c r="C616" s="98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</row>
    <row r="617" ht="15.75" customHeight="1">
      <c r="A617" s="98"/>
      <c r="B617" s="98"/>
      <c r="C617" s="98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</row>
    <row r="618" ht="15.75" customHeight="1">
      <c r="A618" s="98"/>
      <c r="B618" s="98"/>
      <c r="C618" s="98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</row>
    <row r="619" ht="15.75" customHeight="1">
      <c r="A619" s="98"/>
      <c r="B619" s="98"/>
      <c r="C619" s="98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</row>
    <row r="620" ht="15.75" customHeight="1">
      <c r="A620" s="98"/>
      <c r="B620" s="98"/>
      <c r="C620" s="98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</row>
    <row r="621" ht="15.75" customHeight="1">
      <c r="A621" s="98"/>
      <c r="B621" s="98"/>
      <c r="C621" s="98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</row>
    <row r="622" ht="15.75" customHeight="1">
      <c r="A622" s="98"/>
      <c r="B622" s="98"/>
      <c r="C622" s="98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</row>
    <row r="623" ht="15.75" customHeight="1">
      <c r="A623" s="98"/>
      <c r="B623" s="98"/>
      <c r="C623" s="98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</row>
    <row r="624" ht="15.75" customHeight="1">
      <c r="A624" s="98"/>
      <c r="B624" s="98"/>
      <c r="C624" s="98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</row>
    <row r="625" ht="15.75" customHeight="1">
      <c r="A625" s="98"/>
      <c r="B625" s="98"/>
      <c r="C625" s="98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</row>
    <row r="626" ht="15.75" customHeight="1">
      <c r="A626" s="98"/>
      <c r="B626" s="98"/>
      <c r="C626" s="98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</row>
    <row r="627" ht="15.75" customHeight="1">
      <c r="A627" s="98"/>
      <c r="B627" s="98"/>
      <c r="C627" s="98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</row>
    <row r="628" ht="15.75" customHeight="1">
      <c r="A628" s="98"/>
      <c r="B628" s="98"/>
      <c r="C628" s="98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</row>
    <row r="629" ht="15.75" customHeight="1">
      <c r="A629" s="98"/>
      <c r="B629" s="98"/>
      <c r="C629" s="98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</row>
    <row r="630" ht="15.75" customHeight="1">
      <c r="A630" s="98"/>
      <c r="B630" s="98"/>
      <c r="C630" s="98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</row>
    <row r="631" ht="15.75" customHeight="1">
      <c r="A631" s="98"/>
      <c r="B631" s="98"/>
      <c r="C631" s="98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</row>
    <row r="632" ht="15.75" customHeight="1">
      <c r="A632" s="98"/>
      <c r="B632" s="98"/>
      <c r="C632" s="98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</row>
    <row r="633" ht="15.75" customHeight="1">
      <c r="A633" s="98"/>
      <c r="B633" s="98"/>
      <c r="C633" s="98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</row>
    <row r="634" ht="15.75" customHeight="1">
      <c r="A634" s="98"/>
      <c r="B634" s="98"/>
      <c r="C634" s="98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</row>
    <row r="635" ht="15.75" customHeight="1">
      <c r="A635" s="98"/>
      <c r="B635" s="98"/>
      <c r="C635" s="98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</row>
    <row r="636" ht="15.75" customHeight="1">
      <c r="A636" s="98"/>
      <c r="B636" s="98"/>
      <c r="C636" s="98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</row>
    <row r="637" ht="15.75" customHeight="1">
      <c r="A637" s="98"/>
      <c r="B637" s="98"/>
      <c r="C637" s="98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</row>
    <row r="638" ht="15.75" customHeight="1">
      <c r="A638" s="98"/>
      <c r="B638" s="98"/>
      <c r="C638" s="98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</row>
    <row r="639" ht="15.75" customHeight="1">
      <c r="A639" s="98"/>
      <c r="B639" s="98"/>
      <c r="C639" s="98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</row>
    <row r="640" ht="15.75" customHeight="1">
      <c r="A640" s="98"/>
      <c r="B640" s="98"/>
      <c r="C640" s="98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</row>
    <row r="641" ht="15.75" customHeight="1">
      <c r="A641" s="98"/>
      <c r="B641" s="98"/>
      <c r="C641" s="98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</row>
    <row r="642" ht="15.75" customHeight="1">
      <c r="A642" s="98"/>
      <c r="B642" s="98"/>
      <c r="C642" s="98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</row>
    <row r="643" ht="15.75" customHeight="1">
      <c r="A643" s="98"/>
      <c r="B643" s="98"/>
      <c r="C643" s="98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</row>
    <row r="644" ht="15.75" customHeight="1">
      <c r="A644" s="98"/>
      <c r="B644" s="98"/>
      <c r="C644" s="98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</row>
    <row r="645" ht="15.75" customHeight="1">
      <c r="A645" s="98"/>
      <c r="B645" s="98"/>
      <c r="C645" s="98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</row>
    <row r="646" ht="15.75" customHeight="1">
      <c r="A646" s="98"/>
      <c r="B646" s="98"/>
      <c r="C646" s="98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</row>
    <row r="647" ht="15.75" customHeight="1">
      <c r="A647" s="98"/>
      <c r="B647" s="98"/>
      <c r="C647" s="98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</row>
    <row r="648" ht="15.75" customHeight="1">
      <c r="A648" s="98"/>
      <c r="B648" s="98"/>
      <c r="C648" s="98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</row>
    <row r="649" ht="15.75" customHeight="1">
      <c r="A649" s="98"/>
      <c r="B649" s="98"/>
      <c r="C649" s="98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</row>
    <row r="650" ht="15.75" customHeight="1">
      <c r="A650" s="98"/>
      <c r="B650" s="98"/>
      <c r="C650" s="98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</row>
    <row r="651" ht="15.75" customHeight="1">
      <c r="A651" s="98"/>
      <c r="B651" s="98"/>
      <c r="C651" s="98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</row>
    <row r="652" ht="15.75" customHeight="1">
      <c r="A652" s="98"/>
      <c r="B652" s="98"/>
      <c r="C652" s="98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</row>
    <row r="653" ht="15.75" customHeight="1">
      <c r="A653" s="98"/>
      <c r="B653" s="98"/>
      <c r="C653" s="98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</row>
    <row r="654" ht="15.75" customHeight="1">
      <c r="A654" s="98"/>
      <c r="B654" s="98"/>
      <c r="C654" s="98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</row>
    <row r="655" ht="15.75" customHeight="1">
      <c r="A655" s="98"/>
      <c r="B655" s="98"/>
      <c r="C655" s="98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</row>
    <row r="656" ht="15.75" customHeight="1">
      <c r="A656" s="98"/>
      <c r="B656" s="98"/>
      <c r="C656" s="98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</row>
    <row r="657" ht="15.75" customHeight="1">
      <c r="A657" s="98"/>
      <c r="B657" s="98"/>
      <c r="C657" s="98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</row>
    <row r="658" ht="15.75" customHeight="1">
      <c r="A658" s="98"/>
      <c r="B658" s="98"/>
      <c r="C658" s="98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</row>
    <row r="659" ht="15.75" customHeight="1">
      <c r="A659" s="98"/>
      <c r="B659" s="98"/>
      <c r="C659" s="98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</row>
    <row r="660" ht="15.75" customHeight="1">
      <c r="A660" s="98"/>
      <c r="B660" s="98"/>
      <c r="C660" s="98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</row>
    <row r="661" ht="15.75" customHeight="1">
      <c r="A661" s="98"/>
      <c r="B661" s="98"/>
      <c r="C661" s="98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</row>
    <row r="662" ht="15.75" customHeight="1">
      <c r="A662" s="98"/>
      <c r="B662" s="98"/>
      <c r="C662" s="98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</row>
    <row r="663" ht="15.75" customHeight="1">
      <c r="A663" s="98"/>
      <c r="B663" s="98"/>
      <c r="C663" s="98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</row>
    <row r="664" ht="15.75" customHeight="1">
      <c r="A664" s="98"/>
      <c r="B664" s="98"/>
      <c r="C664" s="98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</row>
    <row r="665" ht="15.75" customHeight="1">
      <c r="A665" s="98"/>
      <c r="B665" s="98"/>
      <c r="C665" s="98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</row>
    <row r="666" ht="15.75" customHeight="1">
      <c r="A666" s="98"/>
      <c r="B666" s="98"/>
      <c r="C666" s="98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</row>
    <row r="667" ht="15.75" customHeight="1">
      <c r="A667" s="98"/>
      <c r="B667" s="98"/>
      <c r="C667" s="98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</row>
    <row r="668" ht="15.75" customHeight="1">
      <c r="A668" s="98"/>
      <c r="B668" s="98"/>
      <c r="C668" s="98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</row>
    <row r="669" ht="15.75" customHeight="1">
      <c r="A669" s="98"/>
      <c r="B669" s="98"/>
      <c r="C669" s="98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</row>
    <row r="670" ht="15.75" customHeight="1">
      <c r="A670" s="98"/>
      <c r="B670" s="98"/>
      <c r="C670" s="98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</row>
    <row r="671" ht="15.75" customHeight="1">
      <c r="A671" s="98"/>
      <c r="B671" s="98"/>
      <c r="C671" s="98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</row>
    <row r="672" ht="15.75" customHeight="1">
      <c r="A672" s="98"/>
      <c r="B672" s="98"/>
      <c r="C672" s="98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</row>
    <row r="673" ht="15.75" customHeight="1">
      <c r="A673" s="98"/>
      <c r="B673" s="98"/>
      <c r="C673" s="98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</row>
    <row r="674" ht="15.75" customHeight="1">
      <c r="A674" s="98"/>
      <c r="B674" s="98"/>
      <c r="C674" s="98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</row>
    <row r="675" ht="15.75" customHeight="1">
      <c r="A675" s="98"/>
      <c r="B675" s="98"/>
      <c r="C675" s="98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</row>
    <row r="676" ht="15.75" customHeight="1">
      <c r="A676" s="98"/>
      <c r="B676" s="98"/>
      <c r="C676" s="98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</row>
    <row r="677" ht="15.75" customHeight="1">
      <c r="A677" s="98"/>
      <c r="B677" s="98"/>
      <c r="C677" s="98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</row>
    <row r="678" ht="15.75" customHeight="1">
      <c r="A678" s="98"/>
      <c r="B678" s="98"/>
      <c r="C678" s="98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</row>
    <row r="679" ht="15.75" customHeight="1">
      <c r="A679" s="98"/>
      <c r="B679" s="98"/>
      <c r="C679" s="98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</row>
    <row r="680" ht="15.75" customHeight="1">
      <c r="A680" s="98"/>
      <c r="B680" s="98"/>
      <c r="C680" s="98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</row>
    <row r="681" ht="15.75" customHeight="1">
      <c r="A681" s="98"/>
      <c r="B681" s="98"/>
      <c r="C681" s="98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</row>
    <row r="682" ht="15.75" customHeight="1">
      <c r="A682" s="98"/>
      <c r="B682" s="98"/>
      <c r="C682" s="98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</row>
    <row r="683" ht="15.75" customHeight="1">
      <c r="A683" s="98"/>
      <c r="B683" s="98"/>
      <c r="C683" s="98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</row>
    <row r="684" ht="15.75" customHeight="1">
      <c r="A684" s="98"/>
      <c r="B684" s="98"/>
      <c r="C684" s="98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</row>
    <row r="685" ht="15.75" customHeight="1">
      <c r="A685" s="98"/>
      <c r="B685" s="98"/>
      <c r="C685" s="98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</row>
    <row r="686" ht="15.75" customHeight="1">
      <c r="A686" s="98"/>
      <c r="B686" s="98"/>
      <c r="C686" s="98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</row>
    <row r="687" ht="15.75" customHeight="1">
      <c r="A687" s="98"/>
      <c r="B687" s="98"/>
      <c r="C687" s="98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</row>
    <row r="688" ht="15.75" customHeight="1">
      <c r="A688" s="98"/>
      <c r="B688" s="98"/>
      <c r="C688" s="98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</row>
    <row r="689" ht="15.75" customHeight="1">
      <c r="A689" s="98"/>
      <c r="B689" s="98"/>
      <c r="C689" s="98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</row>
    <row r="690" ht="15.75" customHeight="1">
      <c r="A690" s="98"/>
      <c r="B690" s="98"/>
      <c r="C690" s="98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</row>
    <row r="691" ht="15.75" customHeight="1">
      <c r="A691" s="98"/>
      <c r="B691" s="98"/>
      <c r="C691" s="98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</row>
    <row r="692" ht="15.75" customHeight="1">
      <c r="A692" s="98"/>
      <c r="B692" s="98"/>
      <c r="C692" s="98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</row>
    <row r="693" ht="15.75" customHeight="1">
      <c r="A693" s="98"/>
      <c r="B693" s="98"/>
      <c r="C693" s="98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</row>
    <row r="694" ht="15.75" customHeight="1">
      <c r="A694" s="98"/>
      <c r="B694" s="98"/>
      <c r="C694" s="98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</row>
    <row r="695" ht="15.75" customHeight="1">
      <c r="A695" s="98"/>
      <c r="B695" s="98"/>
      <c r="C695" s="98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</row>
    <row r="696" ht="15.75" customHeight="1">
      <c r="A696" s="98"/>
      <c r="B696" s="98"/>
      <c r="C696" s="98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</row>
    <row r="697" ht="15.75" customHeight="1">
      <c r="A697" s="98"/>
      <c r="B697" s="98"/>
      <c r="C697" s="98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</row>
    <row r="698" ht="15.75" customHeight="1">
      <c r="A698" s="98"/>
      <c r="B698" s="98"/>
      <c r="C698" s="98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</row>
    <row r="699" ht="15.75" customHeight="1">
      <c r="A699" s="98"/>
      <c r="B699" s="98"/>
      <c r="C699" s="98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</row>
    <row r="700" ht="15.75" customHeight="1">
      <c r="A700" s="98"/>
      <c r="B700" s="98"/>
      <c r="C700" s="98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</row>
    <row r="701" ht="15.75" customHeight="1">
      <c r="A701" s="98"/>
      <c r="B701" s="98"/>
      <c r="C701" s="98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</row>
    <row r="702" ht="15.75" customHeight="1">
      <c r="A702" s="98"/>
      <c r="B702" s="98"/>
      <c r="C702" s="98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</row>
    <row r="703" ht="15.75" customHeight="1">
      <c r="A703" s="98"/>
      <c r="B703" s="98"/>
      <c r="C703" s="98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</row>
    <row r="704" ht="15.75" customHeight="1">
      <c r="A704" s="98"/>
      <c r="B704" s="98"/>
      <c r="C704" s="98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</row>
    <row r="705" ht="15.75" customHeight="1">
      <c r="A705" s="98"/>
      <c r="B705" s="98"/>
      <c r="C705" s="98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</row>
    <row r="706" ht="15.75" customHeight="1">
      <c r="A706" s="98"/>
      <c r="B706" s="98"/>
      <c r="C706" s="98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</row>
    <row r="707" ht="15.75" customHeight="1">
      <c r="A707" s="98"/>
      <c r="B707" s="98"/>
      <c r="C707" s="98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</row>
    <row r="708" ht="15.75" customHeight="1">
      <c r="A708" s="98"/>
      <c r="B708" s="98"/>
      <c r="C708" s="98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</row>
    <row r="709" ht="15.75" customHeight="1">
      <c r="A709" s="98"/>
      <c r="B709" s="98"/>
      <c r="C709" s="98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</row>
    <row r="710" ht="15.75" customHeight="1">
      <c r="A710" s="98"/>
      <c r="B710" s="98"/>
      <c r="C710" s="98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</row>
    <row r="711" ht="15.75" customHeight="1">
      <c r="A711" s="98"/>
      <c r="B711" s="98"/>
      <c r="C711" s="98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</row>
    <row r="712" ht="15.75" customHeight="1">
      <c r="A712" s="98"/>
      <c r="B712" s="98"/>
      <c r="C712" s="98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</row>
    <row r="713" ht="15.75" customHeight="1">
      <c r="A713" s="98"/>
      <c r="B713" s="98"/>
      <c r="C713" s="98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</row>
    <row r="714" ht="15.75" customHeight="1">
      <c r="A714" s="98"/>
      <c r="B714" s="98"/>
      <c r="C714" s="98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</row>
    <row r="715" ht="15.75" customHeight="1">
      <c r="A715" s="98"/>
      <c r="B715" s="98"/>
      <c r="C715" s="98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</row>
    <row r="716" ht="15.75" customHeight="1">
      <c r="A716" s="98"/>
      <c r="B716" s="98"/>
      <c r="C716" s="98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</row>
    <row r="717" ht="15.75" customHeight="1">
      <c r="A717" s="98"/>
      <c r="B717" s="98"/>
      <c r="C717" s="98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</row>
    <row r="718" ht="15.75" customHeight="1">
      <c r="A718" s="98"/>
      <c r="B718" s="98"/>
      <c r="C718" s="98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</row>
    <row r="719" ht="15.75" customHeight="1">
      <c r="A719" s="98"/>
      <c r="B719" s="98"/>
      <c r="C719" s="98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</row>
    <row r="720" ht="15.75" customHeight="1">
      <c r="A720" s="98"/>
      <c r="B720" s="98"/>
      <c r="C720" s="98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</row>
    <row r="721" ht="15.75" customHeight="1">
      <c r="A721" s="98"/>
      <c r="B721" s="98"/>
      <c r="C721" s="98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</row>
    <row r="722" ht="15.75" customHeight="1">
      <c r="A722" s="98"/>
      <c r="B722" s="98"/>
      <c r="C722" s="98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</row>
    <row r="723" ht="15.75" customHeight="1">
      <c r="A723" s="98"/>
      <c r="B723" s="98"/>
      <c r="C723" s="98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</row>
    <row r="724" ht="15.75" customHeight="1">
      <c r="A724" s="98"/>
      <c r="B724" s="98"/>
      <c r="C724" s="98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</row>
    <row r="725" ht="15.75" customHeight="1">
      <c r="A725" s="98"/>
      <c r="B725" s="98"/>
      <c r="C725" s="98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</row>
    <row r="726" ht="15.75" customHeight="1">
      <c r="A726" s="98"/>
      <c r="B726" s="98"/>
      <c r="C726" s="98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</row>
    <row r="727" ht="15.75" customHeight="1">
      <c r="A727" s="98"/>
      <c r="B727" s="98"/>
      <c r="C727" s="98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</row>
    <row r="728" ht="15.75" customHeight="1">
      <c r="A728" s="98"/>
      <c r="B728" s="98"/>
      <c r="C728" s="98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</row>
    <row r="729" ht="15.75" customHeight="1">
      <c r="A729" s="98"/>
      <c r="B729" s="98"/>
      <c r="C729" s="98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</row>
    <row r="730" ht="15.75" customHeight="1">
      <c r="A730" s="98"/>
      <c r="B730" s="98"/>
      <c r="C730" s="98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</row>
    <row r="731" ht="15.75" customHeight="1">
      <c r="A731" s="98"/>
      <c r="B731" s="98"/>
      <c r="C731" s="98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</row>
    <row r="732" ht="15.75" customHeight="1">
      <c r="A732" s="98"/>
      <c r="B732" s="98"/>
      <c r="C732" s="98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</row>
    <row r="733" ht="15.75" customHeight="1">
      <c r="A733" s="98"/>
      <c r="B733" s="98"/>
      <c r="C733" s="98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</row>
    <row r="734" ht="15.75" customHeight="1">
      <c r="A734" s="98"/>
      <c r="B734" s="98"/>
      <c r="C734" s="98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</row>
    <row r="735" ht="15.75" customHeight="1">
      <c r="A735" s="98"/>
      <c r="B735" s="98"/>
      <c r="C735" s="98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</row>
    <row r="736" ht="15.75" customHeight="1">
      <c r="A736" s="98"/>
      <c r="B736" s="98"/>
      <c r="C736" s="98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</row>
    <row r="737" ht="15.75" customHeight="1">
      <c r="A737" s="98"/>
      <c r="B737" s="98"/>
      <c r="C737" s="98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</row>
    <row r="738" ht="15.75" customHeight="1">
      <c r="A738" s="98"/>
      <c r="B738" s="98"/>
      <c r="C738" s="98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</row>
    <row r="739" ht="15.75" customHeight="1">
      <c r="A739" s="98"/>
      <c r="B739" s="98"/>
      <c r="C739" s="98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</row>
    <row r="740" ht="15.75" customHeight="1">
      <c r="A740" s="98"/>
      <c r="B740" s="98"/>
      <c r="C740" s="98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</row>
    <row r="741" ht="15.75" customHeight="1">
      <c r="A741" s="98"/>
      <c r="B741" s="98"/>
      <c r="C741" s="98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</row>
    <row r="742" ht="15.75" customHeight="1">
      <c r="A742" s="98"/>
      <c r="B742" s="98"/>
      <c r="C742" s="98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</row>
    <row r="743" ht="15.75" customHeight="1">
      <c r="A743" s="98"/>
      <c r="B743" s="98"/>
      <c r="C743" s="98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</row>
    <row r="744" ht="15.75" customHeight="1">
      <c r="A744" s="98"/>
      <c r="B744" s="98"/>
      <c r="C744" s="98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</row>
    <row r="745" ht="15.75" customHeight="1">
      <c r="A745" s="98"/>
      <c r="B745" s="98"/>
      <c r="C745" s="98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</row>
    <row r="746" ht="15.75" customHeight="1">
      <c r="A746" s="98"/>
      <c r="B746" s="98"/>
      <c r="C746" s="98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</row>
    <row r="747" ht="15.75" customHeight="1">
      <c r="A747" s="98"/>
      <c r="B747" s="98"/>
      <c r="C747" s="98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</row>
    <row r="748" ht="15.75" customHeight="1">
      <c r="A748" s="98"/>
      <c r="B748" s="98"/>
      <c r="C748" s="98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</row>
    <row r="749" ht="15.75" customHeight="1">
      <c r="A749" s="98"/>
      <c r="B749" s="98"/>
      <c r="C749" s="98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</row>
    <row r="750" ht="15.75" customHeight="1">
      <c r="A750" s="98"/>
      <c r="B750" s="98"/>
      <c r="C750" s="98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</row>
    <row r="751" ht="15.75" customHeight="1">
      <c r="A751" s="98"/>
      <c r="B751" s="98"/>
      <c r="C751" s="98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</row>
    <row r="752" ht="15.75" customHeight="1">
      <c r="A752" s="98"/>
      <c r="B752" s="98"/>
      <c r="C752" s="98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</row>
    <row r="753" ht="15.75" customHeight="1">
      <c r="A753" s="98"/>
      <c r="B753" s="98"/>
      <c r="C753" s="98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</row>
    <row r="754" ht="15.75" customHeight="1">
      <c r="A754" s="98"/>
      <c r="B754" s="98"/>
      <c r="C754" s="98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</row>
    <row r="755" ht="15.75" customHeight="1">
      <c r="A755" s="98"/>
      <c r="B755" s="98"/>
      <c r="C755" s="98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</row>
    <row r="756" ht="15.75" customHeight="1">
      <c r="A756" s="98"/>
      <c r="B756" s="98"/>
      <c r="C756" s="98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</row>
    <row r="757" ht="15.75" customHeight="1">
      <c r="A757" s="98"/>
      <c r="B757" s="98"/>
      <c r="C757" s="98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</row>
    <row r="758" ht="15.75" customHeight="1">
      <c r="A758" s="98"/>
      <c r="B758" s="98"/>
      <c r="C758" s="98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</row>
    <row r="759" ht="15.75" customHeight="1">
      <c r="A759" s="98"/>
      <c r="B759" s="98"/>
      <c r="C759" s="98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</row>
    <row r="760" ht="15.75" customHeight="1">
      <c r="A760" s="98"/>
      <c r="B760" s="98"/>
      <c r="C760" s="98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</row>
    <row r="761" ht="15.75" customHeight="1">
      <c r="A761" s="98"/>
      <c r="B761" s="98"/>
      <c r="C761" s="98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</row>
    <row r="762" ht="15.75" customHeight="1">
      <c r="A762" s="98"/>
      <c r="B762" s="98"/>
      <c r="C762" s="98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</row>
    <row r="763" ht="15.75" customHeight="1">
      <c r="A763" s="98"/>
      <c r="B763" s="98"/>
      <c r="C763" s="98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</row>
    <row r="764" ht="15.75" customHeight="1">
      <c r="A764" s="98"/>
      <c r="B764" s="98"/>
      <c r="C764" s="98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</row>
    <row r="765" ht="15.75" customHeight="1">
      <c r="A765" s="98"/>
      <c r="B765" s="98"/>
      <c r="C765" s="98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</row>
    <row r="766" ht="15.75" customHeight="1">
      <c r="A766" s="98"/>
      <c r="B766" s="98"/>
      <c r="C766" s="98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</row>
    <row r="767" ht="15.75" customHeight="1">
      <c r="A767" s="98"/>
      <c r="B767" s="98"/>
      <c r="C767" s="98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</row>
    <row r="768" ht="15.75" customHeight="1">
      <c r="A768" s="98"/>
      <c r="B768" s="98"/>
      <c r="C768" s="98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</row>
    <row r="769" ht="15.75" customHeight="1">
      <c r="A769" s="98"/>
      <c r="B769" s="98"/>
      <c r="C769" s="98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</row>
    <row r="770" ht="15.75" customHeight="1">
      <c r="A770" s="98"/>
      <c r="B770" s="98"/>
      <c r="C770" s="98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</row>
    <row r="771" ht="15.75" customHeight="1">
      <c r="A771" s="98"/>
      <c r="B771" s="98"/>
      <c r="C771" s="98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</row>
    <row r="772" ht="15.75" customHeight="1">
      <c r="A772" s="98"/>
      <c r="B772" s="98"/>
      <c r="C772" s="98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</row>
    <row r="773" ht="15.75" customHeight="1">
      <c r="A773" s="98"/>
      <c r="B773" s="98"/>
      <c r="C773" s="98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</row>
    <row r="774" ht="15.75" customHeight="1">
      <c r="A774" s="98"/>
      <c r="B774" s="98"/>
      <c r="C774" s="98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</row>
    <row r="775" ht="15.75" customHeight="1">
      <c r="A775" s="98"/>
      <c r="B775" s="98"/>
      <c r="C775" s="98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</row>
    <row r="776" ht="15.75" customHeight="1">
      <c r="A776" s="98"/>
      <c r="B776" s="98"/>
      <c r="C776" s="98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</row>
    <row r="777" ht="15.75" customHeight="1">
      <c r="A777" s="98"/>
      <c r="B777" s="98"/>
      <c r="C777" s="98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</row>
    <row r="778" ht="15.75" customHeight="1">
      <c r="A778" s="98"/>
      <c r="B778" s="98"/>
      <c r="C778" s="98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</row>
    <row r="779" ht="15.75" customHeight="1">
      <c r="A779" s="98"/>
      <c r="B779" s="98"/>
      <c r="C779" s="98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</row>
    <row r="780" ht="15.75" customHeight="1">
      <c r="A780" s="98"/>
      <c r="B780" s="98"/>
      <c r="C780" s="98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</row>
    <row r="781" ht="15.75" customHeight="1">
      <c r="A781" s="98"/>
      <c r="B781" s="98"/>
      <c r="C781" s="98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</row>
    <row r="782" ht="15.75" customHeight="1">
      <c r="A782" s="98"/>
      <c r="B782" s="98"/>
      <c r="C782" s="98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</row>
    <row r="783" ht="15.75" customHeight="1">
      <c r="A783" s="98"/>
      <c r="B783" s="98"/>
      <c r="C783" s="98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</row>
    <row r="784" ht="15.75" customHeight="1">
      <c r="A784" s="98"/>
      <c r="B784" s="98"/>
      <c r="C784" s="98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</row>
    <row r="785" ht="15.75" customHeight="1">
      <c r="A785" s="98"/>
      <c r="B785" s="98"/>
      <c r="C785" s="98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</row>
    <row r="786" ht="15.75" customHeight="1">
      <c r="A786" s="98"/>
      <c r="B786" s="98"/>
      <c r="C786" s="98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</row>
    <row r="787" ht="15.75" customHeight="1">
      <c r="A787" s="98"/>
      <c r="B787" s="98"/>
      <c r="C787" s="98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</row>
    <row r="788" ht="15.75" customHeight="1">
      <c r="A788" s="98"/>
      <c r="B788" s="98"/>
      <c r="C788" s="98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</row>
    <row r="789" ht="15.75" customHeight="1">
      <c r="A789" s="98"/>
      <c r="B789" s="98"/>
      <c r="C789" s="98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</row>
    <row r="790" ht="15.75" customHeight="1">
      <c r="A790" s="98"/>
      <c r="B790" s="98"/>
      <c r="C790" s="98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</row>
    <row r="791" ht="15.75" customHeight="1">
      <c r="A791" s="98"/>
      <c r="B791" s="98"/>
      <c r="C791" s="98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</row>
    <row r="792" ht="15.75" customHeight="1">
      <c r="A792" s="98"/>
      <c r="B792" s="98"/>
      <c r="C792" s="98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</row>
    <row r="793" ht="15.75" customHeight="1">
      <c r="A793" s="98"/>
      <c r="B793" s="98"/>
      <c r="C793" s="98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</row>
    <row r="794" ht="15.75" customHeight="1">
      <c r="A794" s="98"/>
      <c r="B794" s="98"/>
      <c r="C794" s="98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</row>
    <row r="795" ht="15.75" customHeight="1">
      <c r="A795" s="98"/>
      <c r="B795" s="98"/>
      <c r="C795" s="98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</row>
    <row r="796" ht="15.75" customHeight="1">
      <c r="A796" s="98"/>
      <c r="B796" s="98"/>
      <c r="C796" s="98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</row>
    <row r="797" ht="15.75" customHeight="1">
      <c r="A797" s="98"/>
      <c r="B797" s="98"/>
      <c r="C797" s="98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</row>
    <row r="798" ht="15.75" customHeight="1">
      <c r="A798" s="98"/>
      <c r="B798" s="98"/>
      <c r="C798" s="98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</row>
    <row r="799" ht="15.75" customHeight="1">
      <c r="A799" s="98"/>
      <c r="B799" s="98"/>
      <c r="C799" s="98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</row>
    <row r="800" ht="15.75" customHeight="1">
      <c r="A800" s="98"/>
      <c r="B800" s="98"/>
      <c r="C800" s="98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</row>
    <row r="801" ht="15.75" customHeight="1">
      <c r="A801" s="98"/>
      <c r="B801" s="98"/>
      <c r="C801" s="98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</row>
    <row r="802" ht="15.75" customHeight="1">
      <c r="A802" s="98"/>
      <c r="B802" s="98"/>
      <c r="C802" s="98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</row>
    <row r="803" ht="15.75" customHeight="1">
      <c r="A803" s="98"/>
      <c r="B803" s="98"/>
      <c r="C803" s="98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</row>
    <row r="804" ht="15.75" customHeight="1">
      <c r="A804" s="98"/>
      <c r="B804" s="98"/>
      <c r="C804" s="98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</row>
    <row r="805" ht="15.75" customHeight="1">
      <c r="A805" s="98"/>
      <c r="B805" s="98"/>
      <c r="C805" s="98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</row>
    <row r="806" ht="15.75" customHeight="1">
      <c r="A806" s="98"/>
      <c r="B806" s="98"/>
      <c r="C806" s="98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</row>
    <row r="807" ht="15.75" customHeight="1">
      <c r="A807" s="98"/>
      <c r="B807" s="98"/>
      <c r="C807" s="98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</row>
    <row r="808" ht="15.75" customHeight="1">
      <c r="A808" s="98"/>
      <c r="B808" s="98"/>
      <c r="C808" s="98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</row>
    <row r="809" ht="15.75" customHeight="1">
      <c r="A809" s="98"/>
      <c r="B809" s="98"/>
      <c r="C809" s="98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</row>
    <row r="810" ht="15.75" customHeight="1">
      <c r="A810" s="98"/>
      <c r="B810" s="98"/>
      <c r="C810" s="98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</row>
    <row r="811" ht="15.75" customHeight="1">
      <c r="A811" s="98"/>
      <c r="B811" s="98"/>
      <c r="C811" s="98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</row>
    <row r="812" ht="15.75" customHeight="1">
      <c r="A812" s="98"/>
      <c r="B812" s="98"/>
      <c r="C812" s="98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</row>
    <row r="813" ht="15.75" customHeight="1">
      <c r="A813" s="98"/>
      <c r="B813" s="98"/>
      <c r="C813" s="98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</row>
    <row r="814" ht="15.75" customHeight="1">
      <c r="A814" s="98"/>
      <c r="B814" s="98"/>
      <c r="C814" s="98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</row>
    <row r="815" ht="15.75" customHeight="1">
      <c r="A815" s="98"/>
      <c r="B815" s="98"/>
      <c r="C815" s="98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</row>
    <row r="816" ht="15.75" customHeight="1">
      <c r="A816" s="98"/>
      <c r="B816" s="98"/>
      <c r="C816" s="98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</row>
    <row r="817" ht="15.75" customHeight="1">
      <c r="A817" s="98"/>
      <c r="B817" s="98"/>
      <c r="C817" s="98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</row>
    <row r="818" ht="15.75" customHeight="1">
      <c r="A818" s="98"/>
      <c r="B818" s="98"/>
      <c r="C818" s="98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</row>
    <row r="819" ht="15.75" customHeight="1">
      <c r="A819" s="98"/>
      <c r="B819" s="98"/>
      <c r="C819" s="98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</row>
    <row r="820" ht="15.75" customHeight="1">
      <c r="A820" s="98"/>
      <c r="B820" s="98"/>
      <c r="C820" s="98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</row>
    <row r="821" ht="15.75" customHeight="1">
      <c r="A821" s="98"/>
      <c r="B821" s="98"/>
      <c r="C821" s="98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</row>
    <row r="822" ht="15.75" customHeight="1">
      <c r="A822" s="98"/>
      <c r="B822" s="98"/>
      <c r="C822" s="98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</row>
    <row r="823" ht="15.75" customHeight="1">
      <c r="A823" s="98"/>
      <c r="B823" s="98"/>
      <c r="C823" s="98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</row>
    <row r="824" ht="15.75" customHeight="1">
      <c r="A824" s="98"/>
      <c r="B824" s="98"/>
      <c r="C824" s="98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</row>
    <row r="825" ht="15.75" customHeight="1">
      <c r="A825" s="98"/>
      <c r="B825" s="98"/>
      <c r="C825" s="98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</row>
    <row r="826" ht="15.75" customHeight="1">
      <c r="A826" s="98"/>
      <c r="B826" s="98"/>
      <c r="C826" s="98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</row>
    <row r="827" ht="15.75" customHeight="1">
      <c r="A827" s="98"/>
      <c r="B827" s="98"/>
      <c r="C827" s="98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</row>
    <row r="828" ht="15.75" customHeight="1">
      <c r="A828" s="98"/>
      <c r="B828" s="98"/>
      <c r="C828" s="98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</row>
    <row r="829" ht="15.75" customHeight="1">
      <c r="A829" s="98"/>
      <c r="B829" s="98"/>
      <c r="C829" s="98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</row>
    <row r="830" ht="15.75" customHeight="1">
      <c r="A830" s="98"/>
      <c r="B830" s="98"/>
      <c r="C830" s="98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</row>
    <row r="831" ht="15.75" customHeight="1">
      <c r="A831" s="98"/>
      <c r="B831" s="98"/>
      <c r="C831" s="98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</row>
    <row r="832" ht="15.75" customHeight="1">
      <c r="A832" s="98"/>
      <c r="B832" s="98"/>
      <c r="C832" s="98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</row>
    <row r="833" ht="15.75" customHeight="1">
      <c r="A833" s="98"/>
      <c r="B833" s="98"/>
      <c r="C833" s="98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</row>
    <row r="834" ht="15.75" customHeight="1">
      <c r="A834" s="98"/>
      <c r="B834" s="98"/>
      <c r="C834" s="98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</row>
    <row r="835" ht="15.75" customHeight="1">
      <c r="A835" s="98"/>
      <c r="B835" s="98"/>
      <c r="C835" s="98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</row>
    <row r="836" ht="15.75" customHeight="1">
      <c r="A836" s="98"/>
      <c r="B836" s="98"/>
      <c r="C836" s="98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</row>
    <row r="837" ht="15.75" customHeight="1">
      <c r="A837" s="98"/>
      <c r="B837" s="98"/>
      <c r="C837" s="98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</row>
    <row r="838" ht="15.75" customHeight="1">
      <c r="A838" s="98"/>
      <c r="B838" s="98"/>
      <c r="C838" s="98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</row>
    <row r="839" ht="15.75" customHeight="1">
      <c r="A839" s="98"/>
      <c r="B839" s="98"/>
      <c r="C839" s="98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</row>
    <row r="840" ht="15.75" customHeight="1">
      <c r="A840" s="98"/>
      <c r="B840" s="98"/>
      <c r="C840" s="98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</row>
    <row r="841" ht="15.75" customHeight="1">
      <c r="A841" s="98"/>
      <c r="B841" s="98"/>
      <c r="C841" s="98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</row>
    <row r="842" ht="15.75" customHeight="1">
      <c r="A842" s="98"/>
      <c r="B842" s="98"/>
      <c r="C842" s="98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</row>
    <row r="843" ht="15.75" customHeight="1">
      <c r="A843" s="98"/>
      <c r="B843" s="98"/>
      <c r="C843" s="98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</row>
    <row r="844" ht="15.75" customHeight="1">
      <c r="A844" s="98"/>
      <c r="B844" s="98"/>
      <c r="C844" s="98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</row>
    <row r="845" ht="15.75" customHeight="1">
      <c r="A845" s="98"/>
      <c r="B845" s="98"/>
      <c r="C845" s="98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</row>
    <row r="846" ht="15.75" customHeight="1">
      <c r="A846" s="98"/>
      <c r="B846" s="98"/>
      <c r="C846" s="98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</row>
    <row r="847" ht="15.75" customHeight="1">
      <c r="A847" s="98"/>
      <c r="B847" s="98"/>
      <c r="C847" s="98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</row>
    <row r="848" ht="15.75" customHeight="1">
      <c r="A848" s="98"/>
      <c r="B848" s="98"/>
      <c r="C848" s="98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</row>
    <row r="849" ht="15.75" customHeight="1">
      <c r="A849" s="98"/>
      <c r="B849" s="98"/>
      <c r="C849" s="98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</row>
    <row r="850" ht="15.75" customHeight="1">
      <c r="A850" s="98"/>
      <c r="B850" s="98"/>
      <c r="C850" s="98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</row>
    <row r="851" ht="15.75" customHeight="1">
      <c r="A851" s="98"/>
      <c r="B851" s="98"/>
      <c r="C851" s="98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</row>
    <row r="852" ht="15.75" customHeight="1">
      <c r="A852" s="98"/>
      <c r="B852" s="98"/>
      <c r="C852" s="98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</row>
    <row r="853" ht="15.75" customHeight="1">
      <c r="A853" s="98"/>
      <c r="B853" s="98"/>
      <c r="C853" s="98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</row>
    <row r="854" ht="15.75" customHeight="1">
      <c r="A854" s="98"/>
      <c r="B854" s="98"/>
      <c r="C854" s="98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</row>
    <row r="855" ht="15.75" customHeight="1">
      <c r="A855" s="98"/>
      <c r="B855" s="98"/>
      <c r="C855" s="98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</row>
    <row r="856" ht="15.75" customHeight="1">
      <c r="A856" s="98"/>
      <c r="B856" s="98"/>
      <c r="C856" s="98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</row>
    <row r="857" ht="15.75" customHeight="1">
      <c r="A857" s="98"/>
      <c r="B857" s="98"/>
      <c r="C857" s="98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</row>
    <row r="858" ht="15.75" customHeight="1">
      <c r="A858" s="98"/>
      <c r="B858" s="98"/>
      <c r="C858" s="98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</row>
    <row r="859" ht="15.75" customHeight="1">
      <c r="A859" s="98"/>
      <c r="B859" s="98"/>
      <c r="C859" s="98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</row>
    <row r="860" ht="15.75" customHeight="1">
      <c r="A860" s="98"/>
      <c r="B860" s="98"/>
      <c r="C860" s="98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</row>
    <row r="861" ht="15.75" customHeight="1">
      <c r="A861" s="98"/>
      <c r="B861" s="98"/>
      <c r="C861" s="98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</row>
    <row r="862" ht="15.75" customHeight="1">
      <c r="A862" s="98"/>
      <c r="B862" s="98"/>
      <c r="C862" s="98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</row>
    <row r="863" ht="15.75" customHeight="1">
      <c r="A863" s="98"/>
      <c r="B863" s="98"/>
      <c r="C863" s="98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</row>
    <row r="864" ht="15.75" customHeight="1">
      <c r="A864" s="98"/>
      <c r="B864" s="98"/>
      <c r="C864" s="98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</row>
    <row r="865" ht="15.75" customHeight="1">
      <c r="A865" s="98"/>
      <c r="B865" s="98"/>
      <c r="C865" s="98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</row>
    <row r="866" ht="15.75" customHeight="1">
      <c r="A866" s="98"/>
      <c r="B866" s="98"/>
      <c r="C866" s="98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</row>
    <row r="867" ht="15.75" customHeight="1">
      <c r="A867" s="98"/>
      <c r="B867" s="98"/>
      <c r="C867" s="98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</row>
    <row r="868" ht="15.75" customHeight="1">
      <c r="A868" s="98"/>
      <c r="B868" s="98"/>
      <c r="C868" s="98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</row>
    <row r="869" ht="15.75" customHeight="1">
      <c r="A869" s="98"/>
      <c r="B869" s="98"/>
      <c r="C869" s="98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</row>
    <row r="870" ht="15.75" customHeight="1">
      <c r="A870" s="98"/>
      <c r="B870" s="98"/>
      <c r="C870" s="98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</row>
    <row r="871" ht="15.75" customHeight="1">
      <c r="A871" s="98"/>
      <c r="B871" s="98"/>
      <c r="C871" s="98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</row>
    <row r="872" ht="15.75" customHeight="1">
      <c r="A872" s="98"/>
      <c r="B872" s="98"/>
      <c r="C872" s="98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</row>
    <row r="873" ht="15.75" customHeight="1">
      <c r="A873" s="98"/>
      <c r="B873" s="98"/>
      <c r="C873" s="98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</row>
    <row r="874" ht="15.75" customHeight="1">
      <c r="A874" s="98"/>
      <c r="B874" s="98"/>
      <c r="C874" s="98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</row>
    <row r="875" ht="15.75" customHeight="1">
      <c r="A875" s="98"/>
      <c r="B875" s="98"/>
      <c r="C875" s="98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</row>
    <row r="876" ht="15.75" customHeight="1">
      <c r="A876" s="98"/>
      <c r="B876" s="98"/>
      <c r="C876" s="98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</row>
    <row r="877" ht="15.75" customHeight="1">
      <c r="A877" s="98"/>
      <c r="B877" s="98"/>
      <c r="C877" s="98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</row>
    <row r="878" ht="15.75" customHeight="1">
      <c r="A878" s="98"/>
      <c r="B878" s="98"/>
      <c r="C878" s="98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</row>
    <row r="879" ht="15.75" customHeight="1">
      <c r="A879" s="98"/>
      <c r="B879" s="98"/>
      <c r="C879" s="98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</row>
    <row r="880" ht="15.75" customHeight="1">
      <c r="A880" s="98"/>
      <c r="B880" s="98"/>
      <c r="C880" s="98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</row>
    <row r="881" ht="15.75" customHeight="1">
      <c r="A881" s="98"/>
      <c r="B881" s="98"/>
      <c r="C881" s="98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</row>
    <row r="882" ht="15.75" customHeight="1">
      <c r="A882" s="98"/>
      <c r="B882" s="98"/>
      <c r="C882" s="98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</row>
    <row r="883" ht="15.75" customHeight="1">
      <c r="A883" s="98"/>
      <c r="B883" s="98"/>
      <c r="C883" s="98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</row>
    <row r="884" ht="15.75" customHeight="1">
      <c r="A884" s="98"/>
      <c r="B884" s="98"/>
      <c r="C884" s="98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</row>
    <row r="885" ht="15.75" customHeight="1">
      <c r="A885" s="98"/>
      <c r="B885" s="98"/>
      <c r="C885" s="98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</row>
    <row r="886" ht="15.75" customHeight="1">
      <c r="A886" s="98"/>
      <c r="B886" s="98"/>
      <c r="C886" s="98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</row>
    <row r="887" ht="15.75" customHeight="1">
      <c r="A887" s="98"/>
      <c r="B887" s="98"/>
      <c r="C887" s="98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</row>
    <row r="888" ht="15.75" customHeight="1">
      <c r="A888" s="98"/>
      <c r="B888" s="98"/>
      <c r="C888" s="98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</row>
    <row r="889" ht="15.75" customHeight="1">
      <c r="A889" s="98"/>
      <c r="B889" s="98"/>
      <c r="C889" s="98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</row>
    <row r="890" ht="15.75" customHeight="1">
      <c r="A890" s="98"/>
      <c r="B890" s="98"/>
      <c r="C890" s="98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</row>
    <row r="891" ht="15.75" customHeight="1">
      <c r="A891" s="98"/>
      <c r="B891" s="98"/>
      <c r="C891" s="98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</row>
    <row r="892" ht="15.75" customHeight="1">
      <c r="A892" s="98"/>
      <c r="B892" s="98"/>
      <c r="C892" s="98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</row>
    <row r="893" ht="15.75" customHeight="1">
      <c r="A893" s="98"/>
      <c r="B893" s="98"/>
      <c r="C893" s="98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</row>
    <row r="894" ht="15.75" customHeight="1">
      <c r="A894" s="98"/>
      <c r="B894" s="98"/>
      <c r="C894" s="98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</row>
    <row r="895" ht="15.75" customHeight="1">
      <c r="A895" s="98"/>
      <c r="B895" s="98"/>
      <c r="C895" s="98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</row>
    <row r="896" ht="15.75" customHeight="1">
      <c r="A896" s="98"/>
      <c r="B896" s="98"/>
      <c r="C896" s="98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</row>
    <row r="897" ht="15.75" customHeight="1">
      <c r="A897" s="98"/>
      <c r="B897" s="98"/>
      <c r="C897" s="98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</row>
    <row r="898" ht="15.75" customHeight="1">
      <c r="A898" s="98"/>
      <c r="B898" s="98"/>
      <c r="C898" s="98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</row>
    <row r="899" ht="15.75" customHeight="1">
      <c r="A899" s="98"/>
      <c r="B899" s="98"/>
      <c r="C899" s="98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</row>
    <row r="900" ht="15.75" customHeight="1">
      <c r="A900" s="98"/>
      <c r="B900" s="98"/>
      <c r="C900" s="98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</row>
    <row r="901" ht="15.75" customHeight="1">
      <c r="A901" s="98"/>
      <c r="B901" s="98"/>
      <c r="C901" s="98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</row>
    <row r="902" ht="15.75" customHeight="1">
      <c r="A902" s="98"/>
      <c r="B902" s="98"/>
      <c r="C902" s="98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</row>
    <row r="903" ht="15.75" customHeight="1">
      <c r="A903" s="98"/>
      <c r="B903" s="98"/>
      <c r="C903" s="98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</row>
    <row r="904" ht="15.75" customHeight="1">
      <c r="A904" s="98"/>
      <c r="B904" s="98"/>
      <c r="C904" s="98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</row>
    <row r="905" ht="15.75" customHeight="1">
      <c r="A905" s="98"/>
      <c r="B905" s="98"/>
      <c r="C905" s="98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</row>
    <row r="906" ht="15.75" customHeight="1">
      <c r="A906" s="98"/>
      <c r="B906" s="98"/>
      <c r="C906" s="98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</row>
    <row r="907" ht="15.75" customHeight="1">
      <c r="A907" s="98"/>
      <c r="B907" s="98"/>
      <c r="C907" s="98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</row>
    <row r="908" ht="15.75" customHeight="1">
      <c r="A908" s="98"/>
      <c r="B908" s="98"/>
      <c r="C908" s="98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</row>
    <row r="909" ht="15.75" customHeight="1">
      <c r="A909" s="98"/>
      <c r="B909" s="98"/>
      <c r="C909" s="98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</row>
    <row r="910" ht="15.75" customHeight="1">
      <c r="A910" s="98"/>
      <c r="B910" s="98"/>
      <c r="C910" s="98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</row>
    <row r="911" ht="15.75" customHeight="1">
      <c r="A911" s="98"/>
      <c r="B911" s="98"/>
      <c r="C911" s="98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</row>
    <row r="912" ht="15.75" customHeight="1">
      <c r="A912" s="98"/>
      <c r="B912" s="98"/>
      <c r="C912" s="98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</row>
    <row r="913" ht="15.75" customHeight="1">
      <c r="A913" s="98"/>
      <c r="B913" s="98"/>
      <c r="C913" s="98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</row>
    <row r="914" ht="15.75" customHeight="1">
      <c r="A914" s="98"/>
      <c r="B914" s="98"/>
      <c r="C914" s="98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</row>
    <row r="915" ht="15.75" customHeight="1">
      <c r="A915" s="98"/>
      <c r="B915" s="98"/>
      <c r="C915" s="98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</row>
    <row r="916" ht="15.75" customHeight="1">
      <c r="A916" s="98"/>
      <c r="B916" s="98"/>
      <c r="C916" s="98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</row>
    <row r="917" ht="15.75" customHeight="1">
      <c r="A917" s="98"/>
      <c r="B917" s="98"/>
      <c r="C917" s="98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</row>
    <row r="918" ht="15.75" customHeight="1">
      <c r="A918" s="98"/>
      <c r="B918" s="98"/>
      <c r="C918" s="98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</row>
    <row r="919" ht="15.75" customHeight="1">
      <c r="A919" s="98"/>
      <c r="B919" s="98"/>
      <c r="C919" s="98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</row>
    <row r="920" ht="15.75" customHeight="1">
      <c r="A920" s="98"/>
      <c r="B920" s="98"/>
      <c r="C920" s="98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</row>
    <row r="921" ht="15.75" customHeight="1">
      <c r="A921" s="98"/>
      <c r="B921" s="98"/>
      <c r="C921" s="98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</row>
    <row r="922" ht="15.75" customHeight="1">
      <c r="A922" s="98"/>
      <c r="B922" s="98"/>
      <c r="C922" s="98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</row>
    <row r="923" ht="15.75" customHeight="1">
      <c r="A923" s="98"/>
      <c r="B923" s="98"/>
      <c r="C923" s="98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</row>
    <row r="924" ht="15.75" customHeight="1">
      <c r="A924" s="98"/>
      <c r="B924" s="98"/>
      <c r="C924" s="98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</row>
    <row r="925" ht="15.75" customHeight="1">
      <c r="A925" s="98"/>
      <c r="B925" s="98"/>
      <c r="C925" s="98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</row>
    <row r="926" ht="15.75" customHeight="1">
      <c r="A926" s="98"/>
      <c r="B926" s="98"/>
      <c r="C926" s="98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</row>
    <row r="927" ht="15.75" customHeight="1">
      <c r="A927" s="98"/>
      <c r="B927" s="98"/>
      <c r="C927" s="98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</row>
    <row r="928" ht="15.75" customHeight="1">
      <c r="A928" s="98"/>
      <c r="B928" s="98"/>
      <c r="C928" s="98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</row>
    <row r="929" ht="15.75" customHeight="1">
      <c r="A929" s="98"/>
      <c r="B929" s="98"/>
      <c r="C929" s="98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</row>
    <row r="930" ht="15.75" customHeight="1">
      <c r="A930" s="98"/>
      <c r="B930" s="98"/>
      <c r="C930" s="98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</row>
    <row r="931" ht="15.75" customHeight="1">
      <c r="A931" s="98"/>
      <c r="B931" s="98"/>
      <c r="C931" s="98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</row>
    <row r="932" ht="15.75" customHeight="1">
      <c r="A932" s="98"/>
      <c r="B932" s="98"/>
      <c r="C932" s="98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</row>
    <row r="933" ht="15.75" customHeight="1">
      <c r="A933" s="98"/>
      <c r="B933" s="98"/>
      <c r="C933" s="98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</row>
    <row r="934" ht="15.75" customHeight="1">
      <c r="A934" s="98"/>
      <c r="B934" s="98"/>
      <c r="C934" s="98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</row>
    <row r="935" ht="15.75" customHeight="1">
      <c r="A935" s="98"/>
      <c r="B935" s="98"/>
      <c r="C935" s="98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</row>
    <row r="936" ht="15.75" customHeight="1">
      <c r="A936" s="98"/>
      <c r="B936" s="98"/>
      <c r="C936" s="98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</row>
    <row r="937" ht="15.75" customHeight="1">
      <c r="A937" s="98"/>
      <c r="B937" s="98"/>
      <c r="C937" s="98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  <c r="AB937" s="98"/>
      <c r="AC937" s="98"/>
      <c r="AD937" s="98"/>
      <c r="AE937" s="98"/>
    </row>
    <row r="938" ht="15.75" customHeight="1">
      <c r="A938" s="98"/>
      <c r="B938" s="98"/>
      <c r="C938" s="98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  <c r="AB938" s="98"/>
      <c r="AC938" s="98"/>
      <c r="AD938" s="98"/>
      <c r="AE938" s="98"/>
    </row>
    <row r="939" ht="15.75" customHeight="1">
      <c r="A939" s="98"/>
      <c r="B939" s="98"/>
      <c r="C939" s="98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  <c r="AB939" s="98"/>
      <c r="AC939" s="98"/>
      <c r="AD939" s="98"/>
      <c r="AE939" s="98"/>
    </row>
    <row r="940" ht="15.75" customHeight="1">
      <c r="A940" s="98"/>
      <c r="B940" s="98"/>
      <c r="C940" s="98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  <c r="AB940" s="98"/>
      <c r="AC940" s="98"/>
      <c r="AD940" s="98"/>
      <c r="AE940" s="98"/>
    </row>
    <row r="941" ht="15.75" customHeight="1">
      <c r="A941" s="98"/>
      <c r="B941" s="98"/>
      <c r="C941" s="98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  <c r="AB941" s="98"/>
      <c r="AC941" s="98"/>
      <c r="AD941" s="98"/>
      <c r="AE941" s="98"/>
    </row>
    <row r="942" ht="15.75" customHeight="1">
      <c r="A942" s="98"/>
      <c r="B942" s="98"/>
      <c r="C942" s="98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  <c r="AB942" s="98"/>
      <c r="AC942" s="98"/>
      <c r="AD942" s="98"/>
      <c r="AE942" s="98"/>
    </row>
    <row r="943" ht="15.75" customHeight="1">
      <c r="A943" s="98"/>
      <c r="B943" s="98"/>
      <c r="C943" s="98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  <c r="AB943" s="98"/>
      <c r="AC943" s="98"/>
      <c r="AD943" s="98"/>
      <c r="AE943" s="98"/>
    </row>
    <row r="944" ht="15.75" customHeight="1">
      <c r="A944" s="98"/>
      <c r="B944" s="98"/>
      <c r="C944" s="98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  <c r="AB944" s="98"/>
      <c r="AC944" s="98"/>
      <c r="AD944" s="98"/>
      <c r="AE944" s="98"/>
    </row>
    <row r="945" ht="15.75" customHeight="1">
      <c r="A945" s="98"/>
      <c r="B945" s="98"/>
      <c r="C945" s="98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  <c r="AB945" s="98"/>
      <c r="AC945" s="98"/>
      <c r="AD945" s="98"/>
      <c r="AE945" s="98"/>
    </row>
    <row r="946" ht="15.75" customHeight="1">
      <c r="A946" s="98"/>
      <c r="B946" s="98"/>
      <c r="C946" s="98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  <c r="AB946" s="98"/>
      <c r="AC946" s="98"/>
      <c r="AD946" s="98"/>
      <c r="AE946" s="98"/>
    </row>
    <row r="947" ht="15.75" customHeight="1">
      <c r="A947" s="98"/>
      <c r="B947" s="98"/>
      <c r="C947" s="98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  <c r="AB947" s="98"/>
      <c r="AC947" s="98"/>
      <c r="AD947" s="98"/>
      <c r="AE947" s="98"/>
    </row>
    <row r="948" ht="15.75" customHeight="1">
      <c r="A948" s="98"/>
      <c r="B948" s="98"/>
      <c r="C948" s="98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  <c r="AB948" s="98"/>
      <c r="AC948" s="98"/>
      <c r="AD948" s="98"/>
      <c r="AE948" s="98"/>
    </row>
    <row r="949" ht="15.75" customHeight="1">
      <c r="A949" s="98"/>
      <c r="B949" s="98"/>
      <c r="C949" s="98"/>
      <c r="D949" s="98"/>
      <c r="E949" s="98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  <c r="AB949" s="98"/>
      <c r="AC949" s="98"/>
      <c r="AD949" s="98"/>
      <c r="AE949" s="98"/>
    </row>
    <row r="950" ht="15.75" customHeight="1">
      <c r="A950" s="98"/>
      <c r="B950" s="98"/>
      <c r="C950" s="98"/>
      <c r="D950" s="98"/>
      <c r="E950" s="98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  <c r="AB950" s="98"/>
      <c r="AC950" s="98"/>
      <c r="AD950" s="98"/>
      <c r="AE950" s="98"/>
    </row>
    <row r="951" ht="15.75" customHeight="1">
      <c r="A951" s="98"/>
      <c r="B951" s="98"/>
      <c r="C951" s="98"/>
      <c r="D951" s="98"/>
      <c r="E951" s="98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  <c r="AB951" s="98"/>
      <c r="AC951" s="98"/>
      <c r="AD951" s="98"/>
      <c r="AE951" s="98"/>
    </row>
    <row r="952" ht="15.75" customHeight="1">
      <c r="A952" s="98"/>
      <c r="B952" s="98"/>
      <c r="C952" s="98"/>
      <c r="D952" s="98"/>
      <c r="E952" s="98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  <c r="AB952" s="98"/>
      <c r="AC952" s="98"/>
      <c r="AD952" s="98"/>
      <c r="AE952" s="98"/>
    </row>
    <row r="953" ht="15.75" customHeight="1">
      <c r="A953" s="98"/>
      <c r="B953" s="98"/>
      <c r="C953" s="98"/>
      <c r="D953" s="98"/>
      <c r="E953" s="98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  <c r="AB953" s="98"/>
      <c r="AC953" s="98"/>
      <c r="AD953" s="98"/>
      <c r="AE953" s="98"/>
    </row>
    <row r="954" ht="15.75" customHeight="1">
      <c r="A954" s="98"/>
      <c r="B954" s="98"/>
      <c r="C954" s="98"/>
      <c r="D954" s="98"/>
      <c r="E954" s="98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  <c r="AB954" s="98"/>
      <c r="AC954" s="98"/>
      <c r="AD954" s="98"/>
      <c r="AE954" s="98"/>
    </row>
    <row r="955" ht="15.75" customHeight="1">
      <c r="A955" s="98"/>
      <c r="B955" s="98"/>
      <c r="C955" s="98"/>
      <c r="D955" s="98"/>
      <c r="E955" s="98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  <c r="AB955" s="98"/>
      <c r="AC955" s="98"/>
      <c r="AD955" s="98"/>
      <c r="AE955" s="98"/>
    </row>
    <row r="956" ht="15.75" customHeight="1">
      <c r="A956" s="98"/>
      <c r="B956" s="98"/>
      <c r="C956" s="98"/>
      <c r="D956" s="98"/>
      <c r="E956" s="98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  <c r="AB956" s="98"/>
      <c r="AC956" s="98"/>
      <c r="AD956" s="98"/>
      <c r="AE956" s="98"/>
    </row>
    <row r="957" ht="15.75" customHeight="1">
      <c r="A957" s="98"/>
      <c r="B957" s="98"/>
      <c r="C957" s="98"/>
      <c r="D957" s="98"/>
      <c r="E957" s="98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  <c r="AB957" s="98"/>
      <c r="AC957" s="98"/>
      <c r="AD957" s="98"/>
      <c r="AE957" s="98"/>
    </row>
    <row r="958" ht="15.75" customHeight="1">
      <c r="A958" s="98"/>
      <c r="B958" s="98"/>
      <c r="C958" s="98"/>
      <c r="D958" s="98"/>
      <c r="E958" s="98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  <c r="AB958" s="98"/>
      <c r="AC958" s="98"/>
      <c r="AD958" s="98"/>
      <c r="AE958" s="98"/>
    </row>
    <row r="959" ht="15.75" customHeight="1">
      <c r="A959" s="98"/>
      <c r="B959" s="98"/>
      <c r="C959" s="98"/>
      <c r="D959" s="98"/>
      <c r="E959" s="98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  <c r="AB959" s="98"/>
      <c r="AC959" s="98"/>
      <c r="AD959" s="98"/>
      <c r="AE959" s="98"/>
    </row>
    <row r="960" ht="15.75" customHeight="1">
      <c r="A960" s="98"/>
      <c r="B960" s="98"/>
      <c r="C960" s="98"/>
      <c r="D960" s="98"/>
      <c r="E960" s="98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  <c r="AB960" s="98"/>
      <c r="AC960" s="98"/>
      <c r="AD960" s="98"/>
      <c r="AE960" s="98"/>
    </row>
    <row r="961" ht="15.75" customHeight="1">
      <c r="A961" s="98"/>
      <c r="B961" s="98"/>
      <c r="C961" s="98"/>
      <c r="D961" s="98"/>
      <c r="E961" s="98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  <c r="AB961" s="98"/>
      <c r="AC961" s="98"/>
      <c r="AD961" s="98"/>
      <c r="AE961" s="98"/>
    </row>
    <row r="962" ht="15.75" customHeight="1">
      <c r="A962" s="98"/>
      <c r="B962" s="98"/>
      <c r="C962" s="98"/>
      <c r="D962" s="98"/>
      <c r="E962" s="98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  <c r="AB962" s="98"/>
      <c r="AC962" s="98"/>
      <c r="AD962" s="98"/>
      <c r="AE962" s="98"/>
    </row>
    <row r="963" ht="15.75" customHeight="1">
      <c r="A963" s="98"/>
      <c r="B963" s="98"/>
      <c r="C963" s="98"/>
      <c r="D963" s="98"/>
      <c r="E963" s="98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  <c r="AB963" s="98"/>
      <c r="AC963" s="98"/>
      <c r="AD963" s="98"/>
      <c r="AE963" s="98"/>
    </row>
    <row r="964" ht="15.75" customHeight="1">
      <c r="A964" s="98"/>
      <c r="B964" s="98"/>
      <c r="C964" s="98"/>
      <c r="D964" s="98"/>
      <c r="E964" s="98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  <c r="AB964" s="98"/>
      <c r="AC964" s="98"/>
      <c r="AD964" s="98"/>
      <c r="AE964" s="98"/>
    </row>
    <row r="965" ht="15.75" customHeight="1">
      <c r="A965" s="98"/>
      <c r="B965" s="98"/>
      <c r="C965" s="98"/>
      <c r="D965" s="98"/>
      <c r="E965" s="98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  <c r="AB965" s="98"/>
      <c r="AC965" s="98"/>
      <c r="AD965" s="98"/>
      <c r="AE965" s="98"/>
    </row>
    <row r="966" ht="15.75" customHeight="1">
      <c r="A966" s="98"/>
      <c r="B966" s="98"/>
      <c r="C966" s="98"/>
      <c r="D966" s="98"/>
      <c r="E966" s="98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  <c r="AB966" s="98"/>
      <c r="AC966" s="98"/>
      <c r="AD966" s="98"/>
      <c r="AE966" s="98"/>
    </row>
    <row r="967" ht="15.75" customHeight="1">
      <c r="A967" s="98"/>
      <c r="B967" s="98"/>
      <c r="C967" s="98"/>
      <c r="D967" s="98"/>
      <c r="E967" s="98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  <c r="AB967" s="98"/>
      <c r="AC967" s="98"/>
      <c r="AD967" s="98"/>
      <c r="AE967" s="98"/>
    </row>
    <row r="968" ht="15.75" customHeight="1">
      <c r="A968" s="98"/>
      <c r="B968" s="98"/>
      <c r="C968" s="98"/>
      <c r="D968" s="98"/>
      <c r="E968" s="98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  <c r="AB968" s="98"/>
      <c r="AC968" s="98"/>
      <c r="AD968" s="98"/>
      <c r="AE968" s="98"/>
    </row>
    <row r="969" ht="15.75" customHeight="1">
      <c r="A969" s="98"/>
      <c r="B969" s="98"/>
      <c r="C969" s="98"/>
      <c r="D969" s="98"/>
      <c r="E969" s="98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  <c r="AB969" s="98"/>
      <c r="AC969" s="98"/>
      <c r="AD969" s="98"/>
      <c r="AE969" s="98"/>
    </row>
    <row r="970" ht="15.75" customHeight="1">
      <c r="A970" s="98"/>
      <c r="B970" s="98"/>
      <c r="C970" s="98"/>
      <c r="D970" s="98"/>
      <c r="E970" s="98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  <c r="AB970" s="98"/>
      <c r="AC970" s="98"/>
      <c r="AD970" s="98"/>
      <c r="AE970" s="98"/>
    </row>
    <row r="971" ht="15.75" customHeight="1">
      <c r="A971" s="98"/>
      <c r="B971" s="98"/>
      <c r="C971" s="98"/>
      <c r="D971" s="98"/>
      <c r="E971" s="98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  <c r="AB971" s="98"/>
      <c r="AC971" s="98"/>
      <c r="AD971" s="98"/>
      <c r="AE971" s="98"/>
    </row>
    <row r="972" ht="15.75" customHeight="1">
      <c r="A972" s="98"/>
      <c r="B972" s="98"/>
      <c r="C972" s="98"/>
      <c r="D972" s="98"/>
      <c r="E972" s="98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  <c r="AB972" s="98"/>
      <c r="AC972" s="98"/>
      <c r="AD972" s="98"/>
      <c r="AE972" s="98"/>
    </row>
    <row r="973" ht="15.75" customHeight="1">
      <c r="A973" s="98"/>
      <c r="B973" s="98"/>
      <c r="C973" s="98"/>
      <c r="D973" s="98"/>
      <c r="E973" s="98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  <c r="AB973" s="98"/>
      <c r="AC973" s="98"/>
      <c r="AD973" s="98"/>
      <c r="AE973" s="98"/>
    </row>
    <row r="974" ht="15.75" customHeight="1">
      <c r="A974" s="98"/>
      <c r="B974" s="98"/>
      <c r="C974" s="98"/>
      <c r="D974" s="98"/>
      <c r="E974" s="98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  <c r="AB974" s="98"/>
      <c r="AC974" s="98"/>
      <c r="AD974" s="98"/>
      <c r="AE974" s="98"/>
    </row>
    <row r="975" ht="15.75" customHeight="1">
      <c r="A975" s="98"/>
      <c r="B975" s="98"/>
      <c r="C975" s="98"/>
      <c r="D975" s="98"/>
      <c r="E975" s="98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  <c r="AB975" s="98"/>
      <c r="AC975" s="98"/>
      <c r="AD975" s="98"/>
      <c r="AE975" s="98"/>
    </row>
    <row r="976" ht="15.75" customHeight="1">
      <c r="A976" s="98"/>
      <c r="B976" s="98"/>
      <c r="C976" s="98"/>
      <c r="D976" s="98"/>
      <c r="E976" s="98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  <c r="AB976" s="98"/>
      <c r="AC976" s="98"/>
      <c r="AD976" s="98"/>
      <c r="AE976" s="98"/>
    </row>
    <row r="977" ht="15.75" customHeight="1">
      <c r="A977" s="98"/>
      <c r="B977" s="98"/>
      <c r="C977" s="98"/>
      <c r="D977" s="98"/>
      <c r="E977" s="98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  <c r="AB977" s="98"/>
      <c r="AC977" s="98"/>
      <c r="AD977" s="98"/>
      <c r="AE977" s="98"/>
    </row>
    <row r="978" ht="15.75" customHeight="1">
      <c r="A978" s="98"/>
      <c r="B978" s="98"/>
      <c r="C978" s="98"/>
      <c r="D978" s="98"/>
      <c r="E978" s="98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  <c r="AB978" s="98"/>
      <c r="AC978" s="98"/>
      <c r="AD978" s="98"/>
      <c r="AE978" s="98"/>
    </row>
    <row r="979" ht="15.75" customHeight="1">
      <c r="A979" s="98"/>
      <c r="B979" s="98"/>
      <c r="C979" s="98"/>
      <c r="D979" s="98"/>
      <c r="E979" s="98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  <c r="AB979" s="98"/>
      <c r="AC979" s="98"/>
      <c r="AD979" s="98"/>
      <c r="AE979" s="98"/>
    </row>
    <row r="980" ht="15.75" customHeight="1">
      <c r="A980" s="98"/>
      <c r="B980" s="98"/>
      <c r="C980" s="98"/>
      <c r="D980" s="98"/>
      <c r="E980" s="98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  <c r="AB980" s="98"/>
      <c r="AC980" s="98"/>
      <c r="AD980" s="98"/>
      <c r="AE980" s="98"/>
    </row>
    <row r="981" ht="15.75" customHeight="1">
      <c r="A981" s="98"/>
      <c r="B981" s="98"/>
      <c r="C981" s="98"/>
      <c r="D981" s="98"/>
      <c r="E981" s="98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  <c r="AB981" s="98"/>
      <c r="AC981" s="98"/>
      <c r="AD981" s="98"/>
      <c r="AE981" s="98"/>
    </row>
    <row r="982" ht="15.75" customHeight="1">
      <c r="A982" s="98"/>
      <c r="B982" s="98"/>
      <c r="C982" s="98"/>
      <c r="D982" s="98"/>
      <c r="E982" s="98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  <c r="AB982" s="98"/>
      <c r="AC982" s="98"/>
      <c r="AD982" s="98"/>
      <c r="AE982" s="98"/>
    </row>
    <row r="983" ht="15.75" customHeight="1">
      <c r="A983" s="98"/>
      <c r="B983" s="98"/>
      <c r="C983" s="98"/>
      <c r="D983" s="98"/>
      <c r="E983" s="98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  <c r="AB983" s="98"/>
      <c r="AC983" s="98"/>
      <c r="AD983" s="98"/>
      <c r="AE983" s="98"/>
    </row>
    <row r="984" ht="15.75" customHeight="1">
      <c r="A984" s="98"/>
      <c r="B984" s="98"/>
      <c r="C984" s="98"/>
      <c r="D984" s="98"/>
      <c r="E984" s="98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  <c r="AB984" s="98"/>
      <c r="AC984" s="98"/>
      <c r="AD984" s="98"/>
      <c r="AE984" s="98"/>
    </row>
    <row r="985" ht="15.75" customHeight="1">
      <c r="A985" s="98"/>
      <c r="B985" s="98"/>
      <c r="C985" s="98"/>
      <c r="D985" s="98"/>
      <c r="E985" s="98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  <c r="AB985" s="98"/>
      <c r="AC985" s="98"/>
      <c r="AD985" s="98"/>
      <c r="AE985" s="98"/>
    </row>
    <row r="986" ht="15.75" customHeight="1">
      <c r="A986" s="98"/>
      <c r="B986" s="98"/>
      <c r="C986" s="98"/>
      <c r="D986" s="98"/>
      <c r="E986" s="98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  <c r="AB986" s="98"/>
      <c r="AC986" s="98"/>
      <c r="AD986" s="98"/>
      <c r="AE986" s="98"/>
    </row>
    <row r="987" ht="15.75" customHeight="1">
      <c r="A987" s="98"/>
      <c r="B987" s="98"/>
      <c r="C987" s="98"/>
      <c r="D987" s="98"/>
      <c r="E987" s="98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  <c r="AB987" s="98"/>
      <c r="AC987" s="98"/>
      <c r="AD987" s="98"/>
      <c r="AE987" s="98"/>
    </row>
    <row r="988" ht="15.75" customHeight="1">
      <c r="A988" s="98"/>
      <c r="B988" s="98"/>
      <c r="C988" s="98"/>
      <c r="D988" s="98"/>
      <c r="E988" s="98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  <c r="AB988" s="98"/>
      <c r="AC988" s="98"/>
      <c r="AD988" s="98"/>
      <c r="AE988" s="98"/>
    </row>
    <row r="989" ht="15.75" customHeight="1">
      <c r="A989" s="98"/>
      <c r="B989" s="98"/>
      <c r="C989" s="98"/>
      <c r="D989" s="98"/>
      <c r="E989" s="98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  <c r="AB989" s="98"/>
      <c r="AC989" s="98"/>
      <c r="AD989" s="98"/>
      <c r="AE989" s="98"/>
    </row>
    <row r="990" ht="15.75" customHeight="1">
      <c r="A990" s="98"/>
      <c r="B990" s="98"/>
      <c r="C990" s="98"/>
      <c r="D990" s="98"/>
      <c r="E990" s="98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  <c r="AB990" s="98"/>
      <c r="AC990" s="98"/>
      <c r="AD990" s="98"/>
      <c r="AE990" s="98"/>
    </row>
    <row r="991" ht="15.75" customHeight="1">
      <c r="A991" s="98"/>
      <c r="B991" s="98"/>
      <c r="C991" s="98"/>
      <c r="D991" s="98"/>
      <c r="E991" s="98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  <c r="AB991" s="98"/>
      <c r="AC991" s="98"/>
      <c r="AD991" s="98"/>
      <c r="AE991" s="98"/>
    </row>
    <row r="992" ht="15.75" customHeight="1">
      <c r="A992" s="98"/>
      <c r="B992" s="98"/>
      <c r="C992" s="98"/>
      <c r="D992" s="98"/>
      <c r="E992" s="98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  <c r="AB992" s="98"/>
      <c r="AC992" s="98"/>
      <c r="AD992" s="98"/>
      <c r="AE992" s="98"/>
    </row>
    <row r="993" ht="15.75" customHeight="1">
      <c r="A993" s="98"/>
      <c r="B993" s="98"/>
      <c r="C993" s="98"/>
      <c r="D993" s="98"/>
      <c r="E993" s="98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  <c r="AB993" s="98"/>
      <c r="AC993" s="98"/>
      <c r="AD993" s="98"/>
      <c r="AE993" s="98"/>
    </row>
    <row r="994" ht="15.75" customHeight="1">
      <c r="A994" s="98"/>
      <c r="B994" s="98"/>
      <c r="C994" s="98"/>
      <c r="D994" s="98"/>
      <c r="E994" s="98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  <c r="AB994" s="98"/>
      <c r="AC994" s="98"/>
      <c r="AD994" s="98"/>
      <c r="AE994" s="98"/>
    </row>
    <row r="995" ht="15.75" customHeight="1">
      <c r="A995" s="98"/>
      <c r="B995" s="98"/>
      <c r="C995" s="98"/>
      <c r="D995" s="98"/>
      <c r="E995" s="98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  <c r="AB995" s="98"/>
      <c r="AC995" s="98"/>
      <c r="AD995" s="98"/>
      <c r="AE995" s="98"/>
    </row>
    <row r="996" ht="15.75" customHeight="1">
      <c r="A996" s="98"/>
      <c r="B996" s="98"/>
      <c r="C996" s="98"/>
      <c r="D996" s="98"/>
      <c r="E996" s="98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  <c r="AB996" s="98"/>
      <c r="AC996" s="98"/>
      <c r="AD996" s="98"/>
      <c r="AE996" s="98"/>
    </row>
    <row r="997" ht="15.75" customHeight="1">
      <c r="A997" s="98"/>
      <c r="B997" s="98"/>
      <c r="C997" s="98"/>
      <c r="D997" s="98"/>
      <c r="E997" s="98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  <c r="AB997" s="98"/>
      <c r="AC997" s="98"/>
      <c r="AD997" s="98"/>
      <c r="AE997" s="98"/>
    </row>
    <row r="998" ht="15.75" customHeight="1">
      <c r="A998" s="98"/>
      <c r="B998" s="98"/>
      <c r="C998" s="98"/>
      <c r="D998" s="98"/>
      <c r="E998" s="98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  <c r="AB998" s="98"/>
      <c r="AC998" s="98"/>
      <c r="AD998" s="98"/>
      <c r="AE998" s="98"/>
    </row>
    <row r="999" ht="15.75" customHeight="1">
      <c r="A999" s="98"/>
      <c r="B999" s="98"/>
      <c r="C999" s="98"/>
      <c r="D999" s="98"/>
      <c r="E999" s="98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  <c r="AB999" s="98"/>
      <c r="AC999" s="98"/>
      <c r="AD999" s="98"/>
      <c r="AE999" s="98"/>
    </row>
    <row r="1000" ht="15.75" customHeight="1">
      <c r="A1000" s="98"/>
      <c r="B1000" s="98"/>
      <c r="C1000" s="98"/>
      <c r="D1000" s="98"/>
      <c r="E1000" s="98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  <c r="AB1000" s="98"/>
      <c r="AC1000" s="98"/>
      <c r="AD1000" s="98"/>
      <c r="AE1000" s="98"/>
    </row>
    <row r="1001" ht="15.75" customHeight="1">
      <c r="A1001" s="98"/>
      <c r="B1001" s="98"/>
      <c r="C1001" s="98"/>
      <c r="D1001" s="98"/>
      <c r="E1001" s="98"/>
      <c r="F1001" s="98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  <c r="AA1001" s="98"/>
      <c r="AB1001" s="98"/>
      <c r="AC1001" s="98"/>
      <c r="AD1001" s="98"/>
      <c r="AE1001" s="98"/>
    </row>
    <row r="1002" ht="15.75" customHeight="1">
      <c r="A1002" s="98"/>
      <c r="B1002" s="98"/>
      <c r="C1002" s="98"/>
      <c r="D1002" s="98"/>
      <c r="E1002" s="98"/>
      <c r="F1002" s="98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  <c r="AA1002" s="98"/>
      <c r="AB1002" s="98"/>
      <c r="AC1002" s="98"/>
      <c r="AD1002" s="98"/>
      <c r="AE1002" s="98"/>
    </row>
    <row r="1003" ht="15.75" customHeight="1">
      <c r="A1003" s="98"/>
      <c r="B1003" s="98"/>
      <c r="C1003" s="98"/>
      <c r="D1003" s="98"/>
      <c r="E1003" s="98"/>
      <c r="F1003" s="98"/>
      <c r="G1003" s="98"/>
      <c r="H1003" s="98"/>
      <c r="I1003" s="98"/>
      <c r="J1003" s="98"/>
      <c r="K1003" s="98"/>
      <c r="L1003" s="98"/>
      <c r="M1003" s="98"/>
      <c r="N1003" s="98"/>
      <c r="O1003" s="98"/>
      <c r="P1003" s="98"/>
      <c r="Q1003" s="98"/>
      <c r="R1003" s="98"/>
      <c r="S1003" s="98"/>
      <c r="T1003" s="98"/>
      <c r="U1003" s="98"/>
      <c r="V1003" s="98"/>
      <c r="W1003" s="98"/>
      <c r="X1003" s="98"/>
      <c r="Y1003" s="98"/>
      <c r="Z1003" s="98"/>
      <c r="AA1003" s="98"/>
      <c r="AB1003" s="98"/>
      <c r="AC1003" s="98"/>
      <c r="AD1003" s="98"/>
      <c r="AE1003" s="98"/>
    </row>
    <row r="1004" ht="15.75" customHeight="1">
      <c r="A1004" s="98"/>
      <c r="B1004" s="98"/>
      <c r="C1004" s="98"/>
      <c r="D1004" s="98"/>
      <c r="E1004" s="98"/>
      <c r="F1004" s="98"/>
      <c r="G1004" s="98"/>
      <c r="H1004" s="98"/>
      <c r="I1004" s="98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U1004" s="98"/>
      <c r="V1004" s="98"/>
      <c r="W1004" s="98"/>
      <c r="X1004" s="98"/>
      <c r="Y1004" s="98"/>
      <c r="Z1004" s="98"/>
      <c r="AA1004" s="98"/>
      <c r="AB1004" s="98"/>
      <c r="AC1004" s="98"/>
      <c r="AD1004" s="98"/>
      <c r="AE1004" s="98"/>
    </row>
    <row r="1005" ht="15.75" customHeight="1">
      <c r="A1005" s="98"/>
      <c r="B1005" s="98"/>
      <c r="C1005" s="98"/>
      <c r="D1005" s="98"/>
      <c r="E1005" s="98"/>
      <c r="F1005" s="98"/>
      <c r="G1005" s="98"/>
      <c r="H1005" s="98"/>
      <c r="I1005" s="98"/>
      <c r="J1005" s="98"/>
      <c r="K1005" s="98"/>
      <c r="L1005" s="98"/>
      <c r="M1005" s="98"/>
      <c r="N1005" s="98"/>
      <c r="O1005" s="98"/>
      <c r="P1005" s="98"/>
      <c r="Q1005" s="98"/>
      <c r="R1005" s="98"/>
      <c r="S1005" s="98"/>
      <c r="T1005" s="98"/>
      <c r="U1005" s="98"/>
      <c r="V1005" s="98"/>
      <c r="W1005" s="98"/>
      <c r="X1005" s="98"/>
      <c r="Y1005" s="98"/>
      <c r="Z1005" s="98"/>
      <c r="AA1005" s="98"/>
      <c r="AB1005" s="98"/>
      <c r="AC1005" s="98"/>
      <c r="AD1005" s="98"/>
      <c r="AE1005" s="98"/>
    </row>
    <row r="1006" ht="15.75" customHeight="1">
      <c r="A1006" s="98"/>
      <c r="B1006" s="98"/>
      <c r="C1006" s="98"/>
      <c r="D1006" s="98"/>
      <c r="E1006" s="98"/>
      <c r="F1006" s="98"/>
      <c r="G1006" s="98"/>
      <c r="H1006" s="98"/>
      <c r="I1006" s="98"/>
      <c r="J1006" s="98"/>
      <c r="K1006" s="98"/>
      <c r="L1006" s="98"/>
      <c r="M1006" s="98"/>
      <c r="N1006" s="98"/>
      <c r="O1006" s="98"/>
      <c r="P1006" s="98"/>
      <c r="Q1006" s="98"/>
      <c r="R1006" s="98"/>
      <c r="S1006" s="98"/>
      <c r="T1006" s="98"/>
      <c r="U1006" s="98"/>
      <c r="V1006" s="98"/>
      <c r="W1006" s="98"/>
      <c r="X1006" s="98"/>
      <c r="Y1006" s="98"/>
      <c r="Z1006" s="98"/>
      <c r="AA1006" s="98"/>
      <c r="AB1006" s="98"/>
      <c r="AC1006" s="98"/>
      <c r="AD1006" s="98"/>
      <c r="AE1006" s="98"/>
    </row>
  </sheetData>
  <mergeCells count="6">
    <mergeCell ref="C5:D5"/>
    <mergeCell ref="C6:D6"/>
    <mergeCell ref="C10:D10"/>
    <mergeCell ref="C11:D11"/>
    <mergeCell ref="C12:D12"/>
    <mergeCell ref="C13:D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 outlineLevelCol="1" outlineLevelRow="3"/>
  <cols>
    <col customWidth="1" min="1" max="1" width="3.13"/>
    <col customWidth="1" min="2" max="2" width="3.38"/>
    <col customWidth="1" min="3" max="3" width="36.75"/>
    <col customWidth="1" min="4" max="4" width="16.25" outlineLevel="1"/>
    <col customWidth="1" min="5" max="5" width="12.75" outlineLevel="1"/>
    <col customWidth="1" min="6" max="6" width="14.63"/>
    <col customWidth="1" min="7" max="7" width="10.25"/>
    <col customWidth="1" min="8" max="8" width="31.13"/>
    <col customWidth="1" min="9" max="9" width="6.75"/>
    <col customWidth="1" min="10" max="10" width="8.0"/>
    <col customWidth="1" min="11" max="11" width="28.63"/>
    <col customWidth="1" min="12" max="12" width="14.63"/>
    <col customWidth="1" min="13" max="13" width="11.63"/>
    <col customWidth="1" min="14" max="16" width="12.13"/>
    <col customWidth="1" min="17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29"/>
      <c r="B3" s="30"/>
      <c r="C3" s="45" t="s">
        <v>158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29"/>
      <c r="B4" s="30"/>
      <c r="C4" s="45"/>
      <c r="D4" s="30"/>
      <c r="E4" s="30"/>
      <c r="F4" s="30"/>
      <c r="G4" s="30"/>
      <c r="H4" s="30"/>
      <c r="I4" s="30"/>
      <c r="J4" s="30"/>
      <c r="K4" s="30"/>
      <c r="L4" s="30"/>
      <c r="M4" s="30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29"/>
      <c r="B5" s="30"/>
      <c r="C5" s="47" t="s">
        <v>159</v>
      </c>
      <c r="D5" s="30"/>
      <c r="E5" s="30"/>
      <c r="F5" s="30"/>
      <c r="G5" s="30"/>
      <c r="H5" s="47" t="s">
        <v>160</v>
      </c>
      <c r="I5" s="47"/>
      <c r="J5" s="30"/>
      <c r="K5" s="40"/>
      <c r="L5" s="40"/>
      <c r="M5" s="30"/>
      <c r="N5" s="29"/>
      <c r="O5" s="29"/>
      <c r="P5" s="145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6.25" customHeight="1" outlineLevel="1">
      <c r="A6" s="146"/>
      <c r="B6" s="147"/>
      <c r="C6" s="50" t="s">
        <v>41</v>
      </c>
      <c r="D6" s="49" t="s">
        <v>42</v>
      </c>
      <c r="E6" s="49" t="s">
        <v>43</v>
      </c>
      <c r="F6" s="50" t="s">
        <v>44</v>
      </c>
      <c r="G6" s="147"/>
      <c r="H6" s="148" t="s">
        <v>161</v>
      </c>
      <c r="I6" s="149">
        <f>+Consideraciones!D11</f>
        <v>8</v>
      </c>
      <c r="J6" s="40"/>
      <c r="K6" s="50" t="s">
        <v>162</v>
      </c>
      <c r="L6" s="150" t="s">
        <v>163</v>
      </c>
      <c r="M6" s="147"/>
      <c r="N6" s="146"/>
      <c r="O6" s="146"/>
      <c r="P6" s="151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17.25" customHeight="1" outlineLevel="2">
      <c r="A7" s="29"/>
      <c r="B7" s="30"/>
      <c r="C7" s="152"/>
      <c r="D7" s="52">
        <v>0.0</v>
      </c>
      <c r="E7" s="153">
        <v>0.0</v>
      </c>
      <c r="F7" s="54">
        <f t="shared" ref="F7:F9" si="1">D7*E7</f>
        <v>0</v>
      </c>
      <c r="G7" s="30"/>
      <c r="H7" s="154"/>
      <c r="I7" s="155"/>
      <c r="J7" s="40"/>
      <c r="K7" s="40"/>
      <c r="L7" s="40"/>
      <c r="M7" s="30"/>
      <c r="N7" s="29"/>
      <c r="O7" s="29"/>
      <c r="P7" s="145" t="s">
        <v>164</v>
      </c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 outlineLevel="2">
      <c r="A8" s="29"/>
      <c r="B8" s="30"/>
      <c r="C8" s="152"/>
      <c r="D8" s="52">
        <v>0.0</v>
      </c>
      <c r="E8" s="153">
        <v>0.0</v>
      </c>
      <c r="F8" s="54">
        <f t="shared" si="1"/>
        <v>0</v>
      </c>
      <c r="G8" s="30"/>
      <c r="H8" s="50" t="s">
        <v>165</v>
      </c>
      <c r="I8" s="156">
        <v>5.0</v>
      </c>
      <c r="J8" s="40"/>
      <c r="K8" s="40"/>
      <c r="L8" s="40"/>
      <c r="M8" s="30"/>
      <c r="N8" s="29"/>
      <c r="O8" s="29"/>
      <c r="P8" s="145" t="s">
        <v>163</v>
      </c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 outlineLevel="2">
      <c r="A9" s="29"/>
      <c r="B9" s="30"/>
      <c r="C9" s="152"/>
      <c r="D9" s="52">
        <v>0.0</v>
      </c>
      <c r="E9" s="153">
        <v>0.0</v>
      </c>
      <c r="F9" s="54">
        <f t="shared" si="1"/>
        <v>0</v>
      </c>
      <c r="G9" s="30"/>
      <c r="H9" s="50" t="s">
        <v>166</v>
      </c>
      <c r="I9" s="156">
        <v>0.0</v>
      </c>
      <c r="J9" s="40"/>
      <c r="K9" s="40"/>
      <c r="L9" s="40"/>
      <c r="M9" s="30"/>
      <c r="N9" s="29"/>
      <c r="O9" s="29"/>
      <c r="P9" s="145" t="s">
        <v>167</v>
      </c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 outlineLevel="1">
      <c r="A10" s="29"/>
      <c r="B10" s="30"/>
      <c r="C10" s="71" t="s">
        <v>56</v>
      </c>
      <c r="D10" s="157"/>
      <c r="E10" s="158">
        <f t="shared" ref="E10:F10" si="2">SUM(E7:E9)</f>
        <v>0</v>
      </c>
      <c r="F10" s="159">
        <f t="shared" si="2"/>
        <v>0</v>
      </c>
      <c r="G10" s="30"/>
      <c r="H10" s="30"/>
      <c r="I10" s="30"/>
      <c r="J10" s="30"/>
      <c r="K10" s="40"/>
      <c r="L10" s="40"/>
      <c r="M10" s="30"/>
      <c r="N10" s="29"/>
      <c r="O10" s="29"/>
      <c r="P10" s="145" t="s">
        <v>168</v>
      </c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7.25" customHeight="1" outlineLevel="3">
      <c r="A11" s="29"/>
      <c r="B11" s="30"/>
      <c r="C11" s="71" t="s">
        <v>57</v>
      </c>
      <c r="D11" s="72"/>
      <c r="E11" s="73"/>
      <c r="F11" s="74">
        <f>12*F10</f>
        <v>0</v>
      </c>
      <c r="G11" s="30"/>
      <c r="H11" s="50" t="s">
        <v>169</v>
      </c>
      <c r="I11" s="160">
        <v>40.0</v>
      </c>
      <c r="J11" s="30"/>
      <c r="K11" s="50" t="s">
        <v>170</v>
      </c>
      <c r="L11" s="161">
        <v>8.9</v>
      </c>
      <c r="M11" s="30"/>
      <c r="N11" s="29"/>
      <c r="O11" s="29"/>
      <c r="P11" s="145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8.0" customHeight="1" outlineLevel="3">
      <c r="A12" s="29"/>
      <c r="B12" s="30"/>
      <c r="C12" s="40"/>
      <c r="D12" s="40"/>
      <c r="E12" s="40"/>
      <c r="F12" s="40"/>
      <c r="G12" s="30"/>
      <c r="H12" s="162" t="s">
        <v>171</v>
      </c>
      <c r="I12" s="160">
        <v>180.0</v>
      </c>
      <c r="J12" s="30"/>
      <c r="K12" s="50" t="s">
        <v>172</v>
      </c>
      <c r="L12" s="163">
        <v>2.3</v>
      </c>
      <c r="M12" s="30"/>
      <c r="N12" s="29"/>
      <c r="O12" s="29"/>
      <c r="P12" s="145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 outlineLevel="3">
      <c r="A13" s="29"/>
      <c r="B13" s="30"/>
      <c r="C13" s="40"/>
      <c r="D13" s="40"/>
      <c r="E13" s="40"/>
      <c r="F13" s="40"/>
      <c r="G13" s="30"/>
      <c r="H13" s="30"/>
      <c r="I13" s="30"/>
      <c r="J13" s="30"/>
      <c r="K13" s="30"/>
      <c r="L13" s="30"/>
      <c r="M13" s="30"/>
      <c r="N13" s="29"/>
      <c r="O13" s="29"/>
      <c r="P13" s="145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 outlineLevel="3">
      <c r="A14" s="29"/>
      <c r="B14" s="30"/>
      <c r="C14" s="71" t="s">
        <v>61</v>
      </c>
      <c r="D14" s="72"/>
      <c r="E14" s="73"/>
      <c r="F14" s="74">
        <f>F10</f>
        <v>0</v>
      </c>
      <c r="G14" s="30"/>
      <c r="H14" s="164" t="s">
        <v>173</v>
      </c>
      <c r="I14" s="165"/>
      <c r="J14" s="166"/>
      <c r="K14" s="167"/>
      <c r="L14" s="54">
        <f>IF($I$11="",0,I8*I11*L11*Consideraciones!D11*Consideraciones!D7)</f>
        <v>313280</v>
      </c>
      <c r="M14" s="30"/>
      <c r="N14" s="29"/>
      <c r="O14" s="29"/>
      <c r="P14" s="145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 outlineLevel="3">
      <c r="A15" s="29"/>
      <c r="B15" s="30"/>
      <c r="C15" s="40"/>
      <c r="D15" s="40"/>
      <c r="E15" s="40"/>
      <c r="F15" s="40"/>
      <c r="G15" s="30"/>
      <c r="H15" s="164" t="s">
        <v>174</v>
      </c>
      <c r="I15" s="165"/>
      <c r="J15" s="166"/>
      <c r="K15" s="167"/>
      <c r="L15" s="54">
        <f>IF(I12="",0,I9*I12*L12*Consideraciones!$D$11*Consideraciones!$D$7)</f>
        <v>0</v>
      </c>
      <c r="M15" s="30"/>
      <c r="N15" s="29"/>
      <c r="O15" s="29"/>
      <c r="P15" s="145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7.25" customHeight="1" outlineLevel="3">
      <c r="A16" s="29"/>
      <c r="B16" s="30"/>
      <c r="C16" s="40"/>
      <c r="D16" s="40"/>
      <c r="E16" s="40"/>
      <c r="F16" s="40"/>
      <c r="G16" s="30"/>
      <c r="H16" s="30"/>
      <c r="I16" s="30"/>
      <c r="J16" s="30"/>
      <c r="K16" s="30"/>
      <c r="L16" s="30"/>
      <c r="M16" s="30"/>
      <c r="N16" s="29"/>
      <c r="O16" s="29"/>
      <c r="P16" s="145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7.25" customHeight="1" outlineLevel="2">
      <c r="A17" s="29"/>
      <c r="B17" s="30"/>
      <c r="C17" s="71" t="s">
        <v>62</v>
      </c>
      <c r="D17" s="72"/>
      <c r="E17" s="79"/>
      <c r="F17" s="74">
        <f>Consideraciones!D17*(F14+F11)</f>
        <v>0</v>
      </c>
      <c r="G17" s="30"/>
      <c r="H17" s="71" t="s">
        <v>175</v>
      </c>
      <c r="I17" s="72"/>
      <c r="J17" s="72"/>
      <c r="K17" s="73"/>
      <c r="L17" s="74">
        <f>IF(L6="Ninguno",0,(L14+L15)*Consideraciones!D9)</f>
        <v>3759360</v>
      </c>
      <c r="M17" s="30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 outlineLevel="2">
      <c r="A18" s="29"/>
      <c r="B18" s="30"/>
      <c r="C18" s="40"/>
      <c r="D18" s="40"/>
      <c r="E18" s="40"/>
      <c r="F18" s="40"/>
      <c r="G18" s="30"/>
      <c r="H18" s="30"/>
      <c r="I18" s="30"/>
      <c r="J18" s="30"/>
      <c r="K18" s="30"/>
      <c r="L18" s="30"/>
      <c r="M18" s="3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 outlineLevel="2">
      <c r="A19" s="29"/>
      <c r="B19" s="30"/>
      <c r="C19" s="47" t="s">
        <v>63</v>
      </c>
      <c r="D19" s="40"/>
      <c r="E19" s="40"/>
      <c r="F19" s="40"/>
      <c r="G19" s="30"/>
      <c r="H19" s="47" t="s">
        <v>176</v>
      </c>
      <c r="I19" s="47"/>
      <c r="J19" s="30"/>
      <c r="K19" s="30"/>
      <c r="L19" s="30"/>
      <c r="M19" s="3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.25" customHeight="1" outlineLevel="3">
      <c r="A20" s="29"/>
      <c r="B20" s="30"/>
      <c r="C20" s="81" t="s">
        <v>64</v>
      </c>
      <c r="D20" s="82"/>
      <c r="E20" s="83"/>
      <c r="F20" s="38">
        <v>0.0</v>
      </c>
      <c r="G20" s="30"/>
      <c r="H20" s="168" t="s">
        <v>177</v>
      </c>
      <c r="I20" s="166"/>
      <c r="J20" s="166"/>
      <c r="K20" s="167"/>
      <c r="L20" s="169" t="s">
        <v>60</v>
      </c>
      <c r="M20" s="30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.25" customHeight="1" outlineLevel="3">
      <c r="A21" s="29"/>
      <c r="B21" s="30"/>
      <c r="C21" s="81" t="s">
        <v>65</v>
      </c>
      <c r="D21" s="82"/>
      <c r="E21" s="83"/>
      <c r="F21" s="170">
        <v>6.0</v>
      </c>
      <c r="G21" s="30"/>
      <c r="H21" s="171" t="s">
        <v>178</v>
      </c>
      <c r="I21" s="82"/>
      <c r="J21" s="82"/>
      <c r="K21" s="83"/>
      <c r="L21" s="38">
        <v>3000000.0</v>
      </c>
      <c r="M21" s="85" t="s">
        <v>179</v>
      </c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7.25" customHeight="1" outlineLevel="3">
      <c r="A22" s="29"/>
      <c r="B22" s="30"/>
      <c r="C22" s="81" t="s">
        <v>69</v>
      </c>
      <c r="D22" s="82"/>
      <c r="E22" s="83"/>
      <c r="F22" s="84">
        <f>+Consideraciones!D7</f>
        <v>22</v>
      </c>
      <c r="G22" s="30"/>
      <c r="H22" s="81" t="s">
        <v>180</v>
      </c>
      <c r="I22" s="82"/>
      <c r="J22" s="82"/>
      <c r="K22" s="83"/>
      <c r="L22" s="38">
        <v>50000.0</v>
      </c>
      <c r="M22" s="85" t="s">
        <v>179</v>
      </c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7.25" customHeight="1" outlineLevel="3">
      <c r="A23" s="29"/>
      <c r="B23" s="30"/>
      <c r="C23" s="81" t="s">
        <v>27</v>
      </c>
      <c r="D23" s="82"/>
      <c r="E23" s="83"/>
      <c r="F23" s="84">
        <f>+Consideraciones!D9</f>
        <v>12</v>
      </c>
      <c r="G23" s="30"/>
      <c r="H23" s="81"/>
      <c r="I23" s="82"/>
      <c r="J23" s="82"/>
      <c r="K23" s="83"/>
      <c r="L23" s="38"/>
      <c r="M23" s="85" t="s">
        <v>179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7.25" customHeight="1" outlineLevel="2">
      <c r="A24" s="29"/>
      <c r="B24" s="30"/>
      <c r="C24" s="71" t="s">
        <v>75</v>
      </c>
      <c r="D24" s="72"/>
      <c r="E24" s="73"/>
      <c r="F24" s="74">
        <f>+F20*F21*F22*F23</f>
        <v>0</v>
      </c>
      <c r="G24" s="30"/>
      <c r="H24" s="81"/>
      <c r="I24" s="82"/>
      <c r="J24" s="82"/>
      <c r="K24" s="83"/>
      <c r="L24" s="38">
        <v>0.0</v>
      </c>
      <c r="M24" s="85" t="s">
        <v>179</v>
      </c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7.25" customHeight="1" outlineLevel="1">
      <c r="A25" s="29"/>
      <c r="B25" s="30"/>
      <c r="C25" s="71" t="s">
        <v>181</v>
      </c>
      <c r="D25" s="72"/>
      <c r="E25" s="73"/>
      <c r="F25" s="74">
        <f>+F24+F17+F14+F11</f>
        <v>0</v>
      </c>
      <c r="G25" s="30"/>
      <c r="H25" s="71" t="s">
        <v>176</v>
      </c>
      <c r="I25" s="72"/>
      <c r="J25" s="72"/>
      <c r="K25" s="73"/>
      <c r="L25" s="74">
        <f>SUM(L21:L24)</f>
        <v>3050000</v>
      </c>
      <c r="M25" s="40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8.0" customHeight="1" outlineLevel="1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0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7.25" customHeight="1">
      <c r="A27" s="29"/>
      <c r="B27" s="30"/>
      <c r="C27" s="30"/>
      <c r="D27" s="30"/>
      <c r="E27" s="30"/>
      <c r="F27" s="30"/>
      <c r="G27" s="30"/>
      <c r="H27" s="172" t="s">
        <v>182</v>
      </c>
      <c r="I27" s="173"/>
      <c r="J27" s="90"/>
      <c r="K27" s="91"/>
      <c r="L27" s="92">
        <f>+L25+L17+F25</f>
        <v>6809360</v>
      </c>
      <c r="M27" s="85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7.25" customHeight="1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2">
    <mergeCell ref="H14:I14"/>
    <mergeCell ref="H15:I15"/>
  </mergeCells>
  <dataValidations>
    <dataValidation type="list" allowBlank="1" showInputMessage="1" showErrorMessage="1" prompt=" - " sqref="L6">
      <formula1>$P$7:$P$10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2.0"/>
    <col customWidth="1" min="3" max="3" width="38.75"/>
    <col customWidth="1" min="4" max="4" width="13.25"/>
    <col customWidth="1" min="5" max="5" width="17.63"/>
    <col customWidth="1" min="6" max="6" width="17.75"/>
    <col customWidth="1" min="7" max="7" width="12.13"/>
    <col customWidth="1" min="8" max="8" width="32.63"/>
    <col customWidth="1" min="9" max="9" width="10.13"/>
    <col customWidth="1" min="10" max="10" width="15.25"/>
    <col customWidth="1" min="11" max="11" width="11.0"/>
    <col customWidth="1" min="12" max="12" width="15.25"/>
    <col customWidth="1" min="13" max="22" width="12.13"/>
    <col customWidth="1" min="23" max="26" width="10.0"/>
  </cols>
  <sheetData>
    <row r="1" ht="10.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9.7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8.0" customHeight="1">
      <c r="A3" s="29"/>
      <c r="B3" s="30"/>
      <c r="C3" s="45" t="s">
        <v>183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6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7.25" customHeight="1">
      <c r="A5" s="29"/>
      <c r="B5" s="30"/>
      <c r="C5" s="47" t="s">
        <v>184</v>
      </c>
      <c r="D5" s="40"/>
      <c r="E5" s="40"/>
      <c r="F5" s="40"/>
      <c r="G5" s="30"/>
      <c r="H5" s="47" t="s">
        <v>185</v>
      </c>
      <c r="I5" s="30"/>
      <c r="J5" s="30"/>
      <c r="K5" s="30"/>
      <c r="L5" s="30"/>
      <c r="M5" s="30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25.5" customHeight="1">
      <c r="A6" s="29"/>
      <c r="B6" s="30"/>
      <c r="C6" s="50" t="s">
        <v>41</v>
      </c>
      <c r="D6" s="49" t="s">
        <v>42</v>
      </c>
      <c r="E6" s="49" t="s">
        <v>43</v>
      </c>
      <c r="F6" s="49" t="s">
        <v>44</v>
      </c>
      <c r="G6" s="30"/>
      <c r="H6" s="88"/>
      <c r="I6" s="174"/>
      <c r="J6" s="49" t="s">
        <v>186</v>
      </c>
      <c r="K6" s="175" t="str">
        <f>+IF($E$7="","",0.4%)</f>
        <v/>
      </c>
      <c r="L6" s="30"/>
      <c r="M6" s="30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25.5" customHeight="1">
      <c r="A7" s="146"/>
      <c r="B7" s="30"/>
      <c r="C7" s="152"/>
      <c r="D7" s="52"/>
      <c r="E7" s="176"/>
      <c r="F7" s="177">
        <f>E7*D7</f>
        <v>0</v>
      </c>
      <c r="G7" s="30"/>
      <c r="H7" s="88"/>
      <c r="I7" s="174"/>
      <c r="J7" s="49" t="s">
        <v>187</v>
      </c>
      <c r="K7" s="178" t="str">
        <f>+IF($E$7="","",0.8%)</f>
        <v/>
      </c>
      <c r="L7" s="49" t="s">
        <v>188</v>
      </c>
      <c r="M7" s="30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24.75" customHeight="1">
      <c r="A8" s="29"/>
      <c r="B8" s="30"/>
      <c r="C8" s="71" t="s">
        <v>56</v>
      </c>
      <c r="D8" s="157"/>
      <c r="E8" s="179"/>
      <c r="F8" s="159">
        <f>SUM(F7)</f>
        <v>0</v>
      </c>
      <c r="G8" s="30"/>
      <c r="H8" s="50" t="s">
        <v>189</v>
      </c>
      <c r="I8" s="175">
        <v>0.04</v>
      </c>
      <c r="J8" s="49" t="s">
        <v>190</v>
      </c>
      <c r="K8" s="49" t="s">
        <v>191</v>
      </c>
      <c r="L8" s="49" t="s">
        <v>192</v>
      </c>
      <c r="M8" s="30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7.25" customHeight="1">
      <c r="A9" s="29"/>
      <c r="B9" s="30"/>
      <c r="C9" s="71" t="s">
        <v>193</v>
      </c>
      <c r="D9" s="157"/>
      <c r="E9" s="179"/>
      <c r="F9" s="159">
        <f>F8*12</f>
        <v>0</v>
      </c>
      <c r="G9" s="30"/>
      <c r="H9" s="180" t="s">
        <v>194</v>
      </c>
      <c r="I9" s="177">
        <f>+Mercado!E18</f>
        <v>0</v>
      </c>
      <c r="J9" s="181">
        <f>+I9*$I$8</f>
        <v>0</v>
      </c>
      <c r="K9" s="181" t="str">
        <f>IF($E$7="","",$K$6*I9)</f>
        <v/>
      </c>
      <c r="L9" s="182">
        <f>IF($K$6="",J9,+K9+J9)</f>
        <v>0</v>
      </c>
      <c r="M9" s="3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>
      <c r="A10" s="29"/>
      <c r="B10" s="30"/>
      <c r="C10" s="183"/>
      <c r="D10" s="184"/>
      <c r="E10" s="185"/>
      <c r="F10" s="186"/>
      <c r="G10" s="30"/>
      <c r="H10" s="180" t="s">
        <v>195</v>
      </c>
      <c r="I10" s="177">
        <f>+Mercado!D18</f>
        <v>80000</v>
      </c>
      <c r="J10" s="181">
        <f>+$I$8*I10</f>
        <v>3200</v>
      </c>
      <c r="K10" s="181" t="str">
        <f>IF($E$7="","",$K$7*I10)</f>
        <v/>
      </c>
      <c r="L10" s="182">
        <f>IF($K$7="",J10,+K10+J10)</f>
        <v>3200</v>
      </c>
      <c r="M10" s="30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7.25" customHeight="1">
      <c r="A11" s="29"/>
      <c r="B11" s="30"/>
      <c r="C11" s="71" t="s">
        <v>61</v>
      </c>
      <c r="D11" s="157"/>
      <c r="E11" s="179"/>
      <c r="F11" s="159">
        <f>F8</f>
        <v>0</v>
      </c>
      <c r="G11" s="30"/>
      <c r="H11" s="180" t="s">
        <v>196</v>
      </c>
      <c r="I11" s="177">
        <f>+Mercado!F18</f>
        <v>80000</v>
      </c>
      <c r="J11" s="40"/>
      <c r="K11" s="40"/>
      <c r="L11" s="187">
        <f>+Mercado!$J$6*L9+Mercado!$I$6*L10</f>
        <v>3200</v>
      </c>
      <c r="M11" s="30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7.25" customHeight="1">
      <c r="A12" s="29"/>
      <c r="B12" s="30"/>
      <c r="C12" s="183"/>
      <c r="D12" s="184"/>
      <c r="E12" s="185"/>
      <c r="F12" s="186"/>
      <c r="G12" s="30"/>
      <c r="H12" s="188"/>
      <c r="I12" s="189"/>
      <c r="J12" s="40"/>
      <c r="K12" s="40"/>
      <c r="L12" s="190">
        <f>+L11/I11</f>
        <v>0.04</v>
      </c>
      <c r="M12" s="30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>
      <c r="A13" s="29"/>
      <c r="B13" s="30"/>
      <c r="C13" s="71" t="s">
        <v>62</v>
      </c>
      <c r="D13" s="157"/>
      <c r="E13" s="179"/>
      <c r="F13" s="159">
        <f>Consideraciones!D17*(F11+F9)</f>
        <v>0</v>
      </c>
      <c r="G13" s="30"/>
      <c r="H13" s="191" t="s">
        <v>197</v>
      </c>
      <c r="I13" s="192"/>
      <c r="J13" s="40"/>
      <c r="K13" s="40"/>
      <c r="L13" s="193"/>
      <c r="M13" s="30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29"/>
      <c r="B14" s="30"/>
      <c r="C14" s="194"/>
      <c r="D14" s="195"/>
      <c r="E14" s="196"/>
      <c r="F14" s="197"/>
      <c r="G14" s="30"/>
      <c r="H14" s="180" t="s">
        <v>194</v>
      </c>
      <c r="I14" s="177">
        <f>+Mercado!E19</f>
        <v>0</v>
      </c>
      <c r="J14" s="198">
        <f>+I14*$I$8</f>
        <v>0</v>
      </c>
      <c r="K14" s="198" t="str">
        <f>IF($E$7="","",$K$6*I14)</f>
        <v/>
      </c>
      <c r="L14" s="187">
        <f>IF($K$6="",J14,+K14+J14)</f>
        <v>0</v>
      </c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>
      <c r="A15" s="29"/>
      <c r="B15" s="30"/>
      <c r="C15" s="199" t="s">
        <v>63</v>
      </c>
      <c r="D15" s="200"/>
      <c r="E15" s="200"/>
      <c r="F15" s="200"/>
      <c r="G15" s="30"/>
      <c r="H15" s="180" t="s">
        <v>195</v>
      </c>
      <c r="I15" s="177">
        <f>+Mercado!D19</f>
        <v>80000</v>
      </c>
      <c r="J15" s="198">
        <f>+$I$8*I15</f>
        <v>3200</v>
      </c>
      <c r="K15" s="181" t="str">
        <f>IF($E$7="","",$K$7*I15)</f>
        <v/>
      </c>
      <c r="L15" s="182">
        <f>IF($K$7="",J15,+K15+J15)</f>
        <v>3200</v>
      </c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7.25" customHeight="1">
      <c r="A16" s="29"/>
      <c r="B16" s="30"/>
      <c r="C16" s="81" t="s">
        <v>198</v>
      </c>
      <c r="D16" s="201"/>
      <c r="E16" s="202"/>
      <c r="F16" s="55">
        <v>0.0</v>
      </c>
      <c r="G16" s="30"/>
      <c r="H16" s="180" t="s">
        <v>196</v>
      </c>
      <c r="I16" s="177">
        <f>+Mercado!F19</f>
        <v>80000</v>
      </c>
      <c r="J16" s="40"/>
      <c r="K16" s="40"/>
      <c r="L16" s="182">
        <f>+Mercado!$J$6*L14+Mercado!$I$6*L15</f>
        <v>3200</v>
      </c>
      <c r="M16" s="30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7.25" customHeight="1">
      <c r="A17" s="29"/>
      <c r="B17" s="30"/>
      <c r="C17" s="81" t="s">
        <v>199</v>
      </c>
      <c r="D17" s="82"/>
      <c r="E17" s="83"/>
      <c r="F17" s="84">
        <f>+Consideraciones!D8</f>
        <v>22</v>
      </c>
      <c r="G17" s="30"/>
      <c r="H17" s="188"/>
      <c r="I17" s="189"/>
      <c r="J17" s="40"/>
      <c r="K17" s="40"/>
      <c r="L17" s="203">
        <f>+L16/I16</f>
        <v>0.04</v>
      </c>
      <c r="M17" s="30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29"/>
      <c r="B18" s="30"/>
      <c r="C18" s="81" t="s">
        <v>27</v>
      </c>
      <c r="D18" s="82"/>
      <c r="E18" s="83"/>
      <c r="F18" s="84">
        <f>+Consideraciones!D9</f>
        <v>12</v>
      </c>
      <c r="G18" s="30"/>
      <c r="H18" s="191" t="s">
        <v>200</v>
      </c>
      <c r="I18" s="192"/>
      <c r="J18" s="40"/>
      <c r="K18" s="40"/>
      <c r="L18" s="30"/>
      <c r="M18" s="3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29"/>
      <c r="B19" s="30"/>
      <c r="C19" s="71" t="s">
        <v>201</v>
      </c>
      <c r="D19" s="157"/>
      <c r="E19" s="179"/>
      <c r="F19" s="159">
        <f>+F18*F17*F16*E7</f>
        <v>0</v>
      </c>
      <c r="G19" s="30"/>
      <c r="H19" s="180" t="s">
        <v>194</v>
      </c>
      <c r="I19" s="177">
        <f>+Mercado!E20</f>
        <v>0</v>
      </c>
      <c r="J19" s="181">
        <f>+I19*$I$8</f>
        <v>0</v>
      </c>
      <c r="K19" s="198" t="str">
        <f>IF($E$7="","",$K$6*I19)</f>
        <v/>
      </c>
      <c r="L19" s="187">
        <f>IF($K$6="",J19,+K19+J19)</f>
        <v>0</v>
      </c>
      <c r="M19" s="30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.25" customHeight="1">
      <c r="A20" s="29"/>
      <c r="B20" s="30"/>
      <c r="C20" s="183"/>
      <c r="D20" s="184"/>
      <c r="E20" s="185"/>
      <c r="F20" s="186"/>
      <c r="G20" s="30"/>
      <c r="H20" s="180" t="s">
        <v>195</v>
      </c>
      <c r="I20" s="177">
        <f>+Mercado!D20</f>
        <v>80000</v>
      </c>
      <c r="J20" s="181">
        <f>+$I$8*I20</f>
        <v>3200</v>
      </c>
      <c r="K20" s="181" t="str">
        <f>IF($E$7="","",$K$7*I20)</f>
        <v/>
      </c>
      <c r="L20" s="182">
        <f>IF($K$7="",J20,+K20+J20)</f>
        <v>3200</v>
      </c>
      <c r="M20" s="30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.25" customHeight="1">
      <c r="A21" s="29"/>
      <c r="B21" s="30"/>
      <c r="C21" s="71" t="s">
        <v>202</v>
      </c>
      <c r="D21" s="157"/>
      <c r="E21" s="179"/>
      <c r="F21" s="159">
        <f>F19+F13+F11+F9</f>
        <v>0</v>
      </c>
      <c r="G21" s="30"/>
      <c r="H21" s="180" t="s">
        <v>196</v>
      </c>
      <c r="I21" s="177">
        <f>+Mercado!F20</f>
        <v>80000</v>
      </c>
      <c r="J21" s="40"/>
      <c r="K21" s="40"/>
      <c r="L21" s="187">
        <f>+Mercado!$J$6*L19+Mercado!$I$6*L20</f>
        <v>3200</v>
      </c>
      <c r="M21" s="30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2.75" customHeight="1">
      <c r="A22" s="29"/>
      <c r="B22" s="30"/>
      <c r="C22" s="40"/>
      <c r="D22" s="40"/>
      <c r="E22" s="40"/>
      <c r="F22" s="40"/>
      <c r="G22" s="30"/>
      <c r="H22" s="188"/>
      <c r="I22" s="189"/>
      <c r="J22" s="40"/>
      <c r="K22" s="40"/>
      <c r="L22" s="203">
        <f>+L21/I21</f>
        <v>0.04</v>
      </c>
      <c r="M22" s="30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7.25" customHeight="1">
      <c r="A23" s="29"/>
      <c r="B23" s="30"/>
      <c r="C23" s="47" t="s">
        <v>203</v>
      </c>
      <c r="D23" s="40"/>
      <c r="E23" s="40"/>
      <c r="F23" s="40"/>
      <c r="G23" s="30"/>
      <c r="H23" s="191" t="s">
        <v>204</v>
      </c>
      <c r="I23" s="192"/>
      <c r="J23" s="40"/>
      <c r="K23" s="40"/>
      <c r="L23" s="30"/>
      <c r="M23" s="30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7.25" customHeight="1">
      <c r="A24" s="29"/>
      <c r="B24" s="30"/>
      <c r="C24" s="204" t="s">
        <v>161</v>
      </c>
      <c r="D24" s="149">
        <f>+Consideraciones!D12</f>
        <v>8</v>
      </c>
      <c r="E24" s="40"/>
      <c r="F24" s="40"/>
      <c r="G24" s="30"/>
      <c r="H24" s="180" t="s">
        <v>194</v>
      </c>
      <c r="I24" s="177">
        <f>+Mercado!E21</f>
        <v>0</v>
      </c>
      <c r="J24" s="181">
        <f>+I24*$I$8</f>
        <v>0</v>
      </c>
      <c r="K24" s="198" t="str">
        <f>IF($E$7="","",$K$6*I24)</f>
        <v/>
      </c>
      <c r="L24" s="187">
        <f>IF($K$6="",J24,+K24+J24)</f>
        <v>0</v>
      </c>
      <c r="M24" s="30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7.25" customHeight="1">
      <c r="A25" s="29"/>
      <c r="B25" s="30"/>
      <c r="C25" s="50" t="s">
        <v>205</v>
      </c>
      <c r="D25" s="50" t="s">
        <v>206</v>
      </c>
      <c r="E25" s="49" t="s">
        <v>207</v>
      </c>
      <c r="F25" s="50" t="s">
        <v>44</v>
      </c>
      <c r="G25" s="30"/>
      <c r="H25" s="180" t="s">
        <v>195</v>
      </c>
      <c r="I25" s="177">
        <f>+Mercado!D21</f>
        <v>80000</v>
      </c>
      <c r="J25" s="181">
        <f>+$I$8*I25</f>
        <v>3200</v>
      </c>
      <c r="K25" s="181" t="str">
        <f>IF($E$7="","",$K$7*I25)</f>
        <v/>
      </c>
      <c r="L25" s="182">
        <f>IF($K$7="",J25,+K25+J25)</f>
        <v>3200</v>
      </c>
      <c r="M25" s="30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7.25" customHeight="1">
      <c r="A26" s="29"/>
      <c r="B26" s="30"/>
      <c r="C26" s="205">
        <v>2.0</v>
      </c>
      <c r="D26" s="206">
        <v>0.4</v>
      </c>
      <c r="E26" s="206">
        <v>8.9</v>
      </c>
      <c r="F26" s="54">
        <f>C26*D26*E26*Consideraciones!D8*Consideraciones!D12</f>
        <v>1253.12</v>
      </c>
      <c r="G26" s="30"/>
      <c r="H26" s="180" t="s">
        <v>196</v>
      </c>
      <c r="I26" s="177">
        <f>+Mercado!F21</f>
        <v>80000</v>
      </c>
      <c r="J26" s="40"/>
      <c r="K26" s="40"/>
      <c r="L26" s="187">
        <f>+Mercado!$J$6*L24+Mercado!$I$6*L25</f>
        <v>3200</v>
      </c>
      <c r="M26" s="30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7.25" customHeight="1">
      <c r="A27" s="29"/>
      <c r="B27" s="30"/>
      <c r="C27" s="71" t="s">
        <v>175</v>
      </c>
      <c r="D27" s="157"/>
      <c r="E27" s="179"/>
      <c r="F27" s="159">
        <f>F26</f>
        <v>1253.12</v>
      </c>
      <c r="G27" s="30"/>
      <c r="H27" s="188"/>
      <c r="I27" s="189"/>
      <c r="J27" s="40"/>
      <c r="K27" s="40"/>
      <c r="L27" s="203">
        <f>+L26/I26</f>
        <v>0.04</v>
      </c>
      <c r="M27" s="30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7.25" customHeight="1">
      <c r="A28" s="29"/>
      <c r="B28" s="30"/>
      <c r="C28" s="30"/>
      <c r="D28" s="30"/>
      <c r="E28" s="30"/>
      <c r="F28" s="30"/>
      <c r="G28" s="30"/>
      <c r="H28" s="191" t="s">
        <v>208</v>
      </c>
      <c r="I28" s="192"/>
      <c r="J28" s="40"/>
      <c r="K28" s="40"/>
      <c r="L28" s="30"/>
      <c r="M28" s="30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24.75" customHeight="1">
      <c r="A29" s="29"/>
      <c r="B29" s="30"/>
      <c r="C29" s="49" t="s">
        <v>41</v>
      </c>
      <c r="D29" s="49" t="s">
        <v>209</v>
      </c>
      <c r="E29" s="49" t="s">
        <v>43</v>
      </c>
      <c r="F29" s="49" t="s">
        <v>44</v>
      </c>
      <c r="G29" s="30"/>
      <c r="H29" s="207" t="s">
        <v>194</v>
      </c>
      <c r="I29" s="208">
        <f>+Mercado!E22</f>
        <v>0</v>
      </c>
      <c r="J29" s="209">
        <f>+I29*$I$8</f>
        <v>0</v>
      </c>
      <c r="K29" s="210" t="str">
        <f>IF($E$7="","",$K$6*I29)</f>
        <v/>
      </c>
      <c r="L29" s="211">
        <f>IF($K$6="",J29,+K29+J29)</f>
        <v>0</v>
      </c>
      <c r="M29" s="30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7.25" customHeight="1">
      <c r="A30" s="29"/>
      <c r="B30" s="30"/>
      <c r="C30" s="75" t="s">
        <v>210</v>
      </c>
      <c r="D30" s="58"/>
      <c r="E30" s="212"/>
      <c r="F30" s="54">
        <f>E30*D30</f>
        <v>0</v>
      </c>
      <c r="G30" s="30"/>
      <c r="H30" s="180" t="s">
        <v>195</v>
      </c>
      <c r="I30" s="177">
        <f>+Mercado!D22</f>
        <v>80000</v>
      </c>
      <c r="J30" s="181">
        <f>+$I$8*I30</f>
        <v>3200</v>
      </c>
      <c r="K30" s="181" t="str">
        <f>IF($E$7="","",$K$7*I30)</f>
        <v/>
      </c>
      <c r="L30" s="182">
        <f>IF($K$7="",J30,+K30+J30)</f>
        <v>3200</v>
      </c>
      <c r="M30" s="30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7.25" customHeight="1">
      <c r="A31" s="29"/>
      <c r="B31" s="30"/>
      <c r="C31" s="71" t="s">
        <v>211</v>
      </c>
      <c r="D31" s="157"/>
      <c r="E31" s="179"/>
      <c r="F31" s="159">
        <f>F30*12</f>
        <v>0</v>
      </c>
      <c r="G31" s="30"/>
      <c r="H31" s="180" t="s">
        <v>196</v>
      </c>
      <c r="I31" s="177">
        <f>+Mercado!F22</f>
        <v>80000</v>
      </c>
      <c r="J31" s="40"/>
      <c r="K31" s="40"/>
      <c r="L31" s="187">
        <f>+Mercado!$J$6*L29+Mercado!$I$6*L30</f>
        <v>3200</v>
      </c>
      <c r="M31" s="30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7.25" customHeight="1">
      <c r="A32" s="29"/>
      <c r="B32" s="30"/>
      <c r="C32" s="183"/>
      <c r="D32" s="184"/>
      <c r="E32" s="185"/>
      <c r="F32" s="186"/>
      <c r="G32" s="30"/>
      <c r="H32" s="213"/>
      <c r="I32" s="189"/>
      <c r="J32" s="40"/>
      <c r="K32" s="40"/>
      <c r="L32" s="203">
        <f>+L31/I31</f>
        <v>0.04</v>
      </c>
      <c r="M32" s="3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7.25" customHeight="1">
      <c r="A33" s="29"/>
      <c r="B33" s="30"/>
      <c r="C33" s="71" t="s">
        <v>61</v>
      </c>
      <c r="D33" s="157"/>
      <c r="E33" s="179"/>
      <c r="F33" s="159">
        <f>F30</f>
        <v>0</v>
      </c>
      <c r="G33" s="30"/>
      <c r="H33" s="30"/>
      <c r="I33" s="30"/>
      <c r="J33" s="30"/>
      <c r="K33" s="30"/>
      <c r="L33" s="30"/>
      <c r="M33" s="30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7.25" customHeight="1">
      <c r="A34" s="29"/>
      <c r="B34" s="30"/>
      <c r="C34" s="183"/>
      <c r="D34" s="184"/>
      <c r="E34" s="185"/>
      <c r="F34" s="186"/>
      <c r="G34" s="30"/>
      <c r="H34" s="199" t="s">
        <v>212</v>
      </c>
      <c r="I34" s="30"/>
      <c r="J34" s="30"/>
      <c r="K34" s="30"/>
      <c r="L34" s="30"/>
      <c r="M34" s="3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7.25" customHeight="1">
      <c r="A35" s="29"/>
      <c r="B35" s="30"/>
      <c r="C35" s="71" t="s">
        <v>62</v>
      </c>
      <c r="D35" s="157"/>
      <c r="E35" s="179"/>
      <c r="F35" s="159">
        <f>Consideraciones!D17*(F33+F31)</f>
        <v>0</v>
      </c>
      <c r="G35" s="30"/>
      <c r="H35" s="168" t="s">
        <v>177</v>
      </c>
      <c r="I35" s="166"/>
      <c r="J35" s="166"/>
      <c r="K35" s="214" t="s">
        <v>60</v>
      </c>
      <c r="L35" s="102"/>
      <c r="M35" s="30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2.75" customHeight="1">
      <c r="A36" s="29"/>
      <c r="B36" s="30"/>
      <c r="C36" s="194"/>
      <c r="D36" s="195"/>
      <c r="E36" s="196"/>
      <c r="F36" s="197"/>
      <c r="G36" s="30"/>
      <c r="H36" s="215" t="s">
        <v>213</v>
      </c>
      <c r="I36" s="216"/>
      <c r="J36" s="216"/>
      <c r="K36" s="217">
        <v>0.0</v>
      </c>
      <c r="L36" s="102"/>
      <c r="M36" s="3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7.25" customHeight="1">
      <c r="A37" s="29"/>
      <c r="B37" s="30"/>
      <c r="C37" s="199" t="s">
        <v>63</v>
      </c>
      <c r="D37" s="200"/>
      <c r="E37" s="200"/>
      <c r="F37" s="200"/>
      <c r="G37" s="30"/>
      <c r="H37" s="215" t="s">
        <v>214</v>
      </c>
      <c r="I37" s="216"/>
      <c r="J37" s="216"/>
      <c r="K37" s="217">
        <v>50000.0</v>
      </c>
      <c r="L37" s="102"/>
      <c r="M37" s="30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7.25" customHeight="1">
      <c r="A38" s="29"/>
      <c r="B38" s="30"/>
      <c r="C38" s="81" t="s">
        <v>198</v>
      </c>
      <c r="D38" s="201"/>
      <c r="E38" s="202"/>
      <c r="F38" s="218"/>
      <c r="G38" s="30"/>
      <c r="H38" s="215" t="s">
        <v>215</v>
      </c>
      <c r="I38" s="216"/>
      <c r="J38" s="216"/>
      <c r="K38" s="217">
        <v>0.0</v>
      </c>
      <c r="L38" s="102"/>
      <c r="M38" s="30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7.25" customHeight="1">
      <c r="A39" s="29"/>
      <c r="B39" s="30"/>
      <c r="C39" s="81" t="s">
        <v>199</v>
      </c>
      <c r="D39" s="201"/>
      <c r="E39" s="202"/>
      <c r="F39" s="219">
        <f>+Consideraciones!D8</f>
        <v>22</v>
      </c>
      <c r="G39" s="30"/>
      <c r="H39" s="215" t="s">
        <v>216</v>
      </c>
      <c r="I39" s="216"/>
      <c r="J39" s="216"/>
      <c r="K39" s="217">
        <v>0.0</v>
      </c>
      <c r="L39" s="102"/>
      <c r="M39" s="30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7.25" customHeight="1">
      <c r="A40" s="29"/>
      <c r="B40" s="30"/>
      <c r="C40" s="81" t="s">
        <v>27</v>
      </c>
      <c r="D40" s="201"/>
      <c r="E40" s="202"/>
      <c r="F40" s="219">
        <f>+Consideraciones!D9</f>
        <v>12</v>
      </c>
      <c r="G40" s="30"/>
      <c r="H40" s="71" t="s">
        <v>212</v>
      </c>
      <c r="I40" s="157"/>
      <c r="J40" s="220"/>
      <c r="K40" s="221">
        <f>SUM(K36:K39)</f>
        <v>50000</v>
      </c>
      <c r="L40" s="102"/>
      <c r="M40" s="3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7.25" customHeight="1">
      <c r="A41" s="29"/>
      <c r="B41" s="30"/>
      <c r="C41" s="71" t="s">
        <v>201</v>
      </c>
      <c r="D41" s="157"/>
      <c r="E41" s="179"/>
      <c r="F41" s="159">
        <f>+F40*F39*F38</f>
        <v>0</v>
      </c>
      <c r="G41" s="30"/>
      <c r="H41" s="30"/>
      <c r="I41" s="30"/>
      <c r="J41" s="30"/>
      <c r="K41" s="30"/>
      <c r="L41" s="30"/>
      <c r="M41" s="30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7.25" customHeight="1">
      <c r="A42" s="29"/>
      <c r="B42" s="30"/>
      <c r="C42" s="183"/>
      <c r="D42" s="184"/>
      <c r="E42" s="185"/>
      <c r="F42" s="186"/>
      <c r="G42" s="30"/>
      <c r="H42" s="30"/>
      <c r="I42" s="30"/>
      <c r="J42" s="30"/>
      <c r="K42" s="30"/>
      <c r="L42" s="30"/>
      <c r="M42" s="30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7.25" customHeight="1">
      <c r="A43" s="29"/>
      <c r="B43" s="30"/>
      <c r="C43" s="81" t="s">
        <v>217</v>
      </c>
      <c r="D43" s="201"/>
      <c r="E43" s="202"/>
      <c r="F43" s="218"/>
      <c r="G43" s="30"/>
      <c r="H43" s="89" t="s">
        <v>184</v>
      </c>
      <c r="I43" s="90"/>
      <c r="J43" s="90"/>
      <c r="K43" s="222">
        <f>K40+F45+F27+F21</f>
        <v>51253.12</v>
      </c>
      <c r="L43" s="102"/>
      <c r="M43" s="30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7.25" customHeight="1">
      <c r="A44" s="29"/>
      <c r="B44" s="30"/>
      <c r="C44" s="183"/>
      <c r="D44" s="184"/>
      <c r="E44" s="185"/>
      <c r="F44" s="186"/>
      <c r="G44" s="30"/>
      <c r="H44" s="30"/>
      <c r="I44" s="30"/>
      <c r="J44" s="30"/>
      <c r="K44" s="30"/>
      <c r="L44" s="30"/>
      <c r="M44" s="3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7.25" customHeight="1">
      <c r="A45" s="29"/>
      <c r="B45" s="30"/>
      <c r="C45" s="71" t="s">
        <v>218</v>
      </c>
      <c r="D45" s="157"/>
      <c r="E45" s="179"/>
      <c r="F45" s="159">
        <f>F43+F41+F35+F33+F31</f>
        <v>0</v>
      </c>
      <c r="G45" s="30"/>
      <c r="H45" s="30"/>
      <c r="I45" s="30"/>
      <c r="J45" s="30"/>
      <c r="K45" s="30"/>
      <c r="L45" s="30"/>
      <c r="M45" s="30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0" customHeight="1">
      <c r="A46" s="2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0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7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7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7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7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7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8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7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7">
    <mergeCell ref="K35:L35"/>
    <mergeCell ref="K36:L36"/>
    <mergeCell ref="K37:L37"/>
    <mergeCell ref="K38:L38"/>
    <mergeCell ref="K39:L39"/>
    <mergeCell ref="K40:L40"/>
    <mergeCell ref="K43:L4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3.38"/>
    <col customWidth="1" min="3" max="3" width="33.38"/>
    <col customWidth="1" min="4" max="4" width="14.88"/>
    <col customWidth="1" min="5" max="5" width="14.25"/>
    <col customWidth="1" min="6" max="6" width="13.63"/>
    <col customWidth="1" min="7" max="7" width="9.13"/>
    <col customWidth="1" min="8" max="8" width="11.25"/>
    <col customWidth="1" min="9" max="17" width="12.13"/>
    <col customWidth="1" min="18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8.0" customHeight="1">
      <c r="A2" s="29"/>
      <c r="B2" s="30"/>
      <c r="C2" s="40"/>
      <c r="D2" s="40"/>
      <c r="E2" s="40"/>
      <c r="F2" s="40"/>
      <c r="G2" s="40"/>
      <c r="H2" s="44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7.25" customHeight="1">
      <c r="A3" s="29"/>
      <c r="B3" s="30"/>
      <c r="C3" s="45" t="s">
        <v>219</v>
      </c>
      <c r="D3" s="40"/>
      <c r="E3" s="40"/>
      <c r="F3" s="40"/>
      <c r="G3" s="40"/>
      <c r="H3" s="44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8.0" customHeight="1">
      <c r="A4" s="29"/>
      <c r="B4" s="30"/>
      <c r="C4" s="40"/>
      <c r="D4" s="40"/>
      <c r="E4" s="40"/>
      <c r="F4" s="40"/>
      <c r="G4" s="40"/>
      <c r="H4" s="44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6.25" customHeight="1">
      <c r="A5" s="29"/>
      <c r="B5" s="30"/>
      <c r="C5" s="50" t="s">
        <v>41</v>
      </c>
      <c r="D5" s="49" t="s">
        <v>42</v>
      </c>
      <c r="E5" s="49" t="s">
        <v>43</v>
      </c>
      <c r="F5" s="49" t="s">
        <v>44</v>
      </c>
      <c r="G5" s="40"/>
      <c r="H5" s="44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7.25" customHeight="1">
      <c r="A6" s="29"/>
      <c r="B6" s="30"/>
      <c r="C6" s="51" t="s">
        <v>220</v>
      </c>
      <c r="D6" s="223">
        <v>800000.0</v>
      </c>
      <c r="E6" s="176">
        <v>1.0</v>
      </c>
      <c r="F6" s="54">
        <f t="shared" ref="F6:F11" si="1">E6*D6</f>
        <v>800000</v>
      </c>
      <c r="G6" s="40"/>
      <c r="H6" s="44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7.25" customHeight="1">
      <c r="A7" s="29"/>
      <c r="B7" s="147"/>
      <c r="C7" s="57"/>
      <c r="D7" s="224"/>
      <c r="E7" s="212"/>
      <c r="F7" s="54">
        <f t="shared" si="1"/>
        <v>0</v>
      </c>
      <c r="G7" s="40"/>
      <c r="H7" s="44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7.25" customHeight="1">
      <c r="A8" s="29"/>
      <c r="B8" s="30"/>
      <c r="C8" s="57"/>
      <c r="D8" s="224"/>
      <c r="E8" s="212"/>
      <c r="F8" s="54">
        <f t="shared" si="1"/>
        <v>0</v>
      </c>
      <c r="G8" s="40"/>
      <c r="H8" s="44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7.25" customHeight="1">
      <c r="A9" s="29"/>
      <c r="B9" s="30"/>
      <c r="C9" s="57"/>
      <c r="D9" s="224"/>
      <c r="E9" s="212"/>
      <c r="F9" s="54">
        <f t="shared" si="1"/>
        <v>0</v>
      </c>
      <c r="G9" s="40"/>
      <c r="H9" s="4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>
      <c r="A10" s="29"/>
      <c r="B10" s="30"/>
      <c r="C10" s="57"/>
      <c r="D10" s="224"/>
      <c r="E10" s="212"/>
      <c r="F10" s="54">
        <f t="shared" si="1"/>
        <v>0</v>
      </c>
      <c r="G10" s="40"/>
      <c r="H10" s="44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7.25" customHeight="1">
      <c r="A11" s="29"/>
      <c r="B11" s="30"/>
      <c r="C11" s="57"/>
      <c r="D11" s="224"/>
      <c r="E11" s="212"/>
      <c r="F11" s="54">
        <f t="shared" si="1"/>
        <v>0</v>
      </c>
      <c r="G11" s="40"/>
      <c r="H11" s="44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7.25" customHeight="1">
      <c r="A12" s="29"/>
      <c r="B12" s="30"/>
      <c r="C12" s="71" t="s">
        <v>56</v>
      </c>
      <c r="D12" s="157"/>
      <c r="E12" s="225">
        <f t="shared" ref="E12:F12" si="2">SUM(E6:E11)</f>
        <v>1</v>
      </c>
      <c r="F12" s="159">
        <f t="shared" si="2"/>
        <v>800000</v>
      </c>
      <c r="G12" s="40"/>
      <c r="H12" s="44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>
      <c r="A13" s="29"/>
      <c r="B13" s="30"/>
      <c r="C13" s="226" t="s">
        <v>221</v>
      </c>
      <c r="D13" s="227"/>
      <c r="E13" s="228"/>
      <c r="F13" s="229">
        <f>F12*12</f>
        <v>9600000</v>
      </c>
      <c r="G13" s="40"/>
      <c r="H13" s="44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29"/>
      <c r="B14" s="30"/>
      <c r="C14" s="230"/>
      <c r="D14" s="184"/>
      <c r="E14" s="185"/>
      <c r="F14" s="185"/>
      <c r="G14" s="40"/>
      <c r="H14" s="44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7.25" customHeight="1">
      <c r="A15" s="29"/>
      <c r="B15" s="30"/>
      <c r="C15" s="226" t="s">
        <v>61</v>
      </c>
      <c r="D15" s="227"/>
      <c r="E15" s="228"/>
      <c r="F15" s="231">
        <v>0.0</v>
      </c>
      <c r="G15" s="40"/>
      <c r="H15" s="44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7.25" customHeight="1">
      <c r="A16" s="29"/>
      <c r="B16" s="30"/>
      <c r="C16" s="230"/>
      <c r="D16" s="184"/>
      <c r="E16" s="185"/>
      <c r="F16" s="185"/>
      <c r="G16" s="40"/>
      <c r="H16" s="44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7.25" customHeight="1">
      <c r="A17" s="29"/>
      <c r="B17" s="30"/>
      <c r="C17" s="226" t="s">
        <v>62</v>
      </c>
      <c r="D17" s="227"/>
      <c r="E17" s="228"/>
      <c r="F17" s="231">
        <v>0.0</v>
      </c>
      <c r="G17" s="40"/>
      <c r="H17" s="44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29"/>
      <c r="B18" s="30"/>
      <c r="C18" s="232"/>
      <c r="D18" s="195"/>
      <c r="E18" s="196"/>
      <c r="F18" s="196"/>
      <c r="G18" s="40"/>
      <c r="H18" s="44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29"/>
      <c r="B19" s="30"/>
      <c r="C19" s="47" t="s">
        <v>63</v>
      </c>
      <c r="D19" s="233"/>
      <c r="E19" s="234"/>
      <c r="F19" s="234"/>
      <c r="G19" s="40"/>
      <c r="H19" s="44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.25" customHeight="1">
      <c r="A20" s="29"/>
      <c r="B20" s="30"/>
      <c r="C20" s="235" t="s">
        <v>198</v>
      </c>
      <c r="D20" s="201"/>
      <c r="E20" s="236"/>
      <c r="F20" s="52">
        <v>0.0</v>
      </c>
      <c r="G20" s="40"/>
      <c r="H20" s="44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.25" customHeight="1">
      <c r="A21" s="29"/>
      <c r="B21" s="30"/>
      <c r="C21" s="235" t="s">
        <v>199</v>
      </c>
      <c r="D21" s="201"/>
      <c r="E21" s="236"/>
      <c r="F21" s="237">
        <f>+Consideraciones!D8</f>
        <v>22</v>
      </c>
      <c r="G21" s="40"/>
      <c r="H21" s="44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7.25" customHeight="1">
      <c r="A22" s="29"/>
      <c r="B22" s="30"/>
      <c r="C22" s="235" t="s">
        <v>27</v>
      </c>
      <c r="D22" s="201"/>
      <c r="E22" s="236"/>
      <c r="F22" s="237">
        <f>+Consideraciones!D9</f>
        <v>12</v>
      </c>
      <c r="G22" s="40"/>
      <c r="H22" s="44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7.25" customHeight="1">
      <c r="A23" s="29"/>
      <c r="B23" s="30"/>
      <c r="C23" s="71" t="s">
        <v>201</v>
      </c>
      <c r="D23" s="157"/>
      <c r="E23" s="225"/>
      <c r="F23" s="159">
        <f>+F22*F21*F20*E12</f>
        <v>0</v>
      </c>
      <c r="G23" s="40"/>
      <c r="H23" s="44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7.25" customHeight="1">
      <c r="A24" s="29"/>
      <c r="B24" s="30"/>
      <c r="C24" s="238"/>
      <c r="D24" s="239"/>
      <c r="E24" s="240"/>
      <c r="F24" s="240"/>
      <c r="G24" s="40"/>
      <c r="H24" s="44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7.25" customHeight="1">
      <c r="A25" s="29"/>
      <c r="B25" s="30"/>
      <c r="C25" s="226" t="s">
        <v>222</v>
      </c>
      <c r="D25" s="227"/>
      <c r="E25" s="228"/>
      <c r="F25" s="229">
        <f>F23+F17+F15+F13</f>
        <v>9600000</v>
      </c>
      <c r="G25" s="40" t="s">
        <v>223</v>
      </c>
      <c r="H25" s="44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7.25" customHeight="1">
      <c r="A26" s="29"/>
      <c r="B26" s="30"/>
      <c r="C26" s="232"/>
      <c r="D26" s="195"/>
      <c r="E26" s="196"/>
      <c r="F26" s="196"/>
      <c r="G26" s="40"/>
      <c r="H26" s="44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7.25" customHeight="1">
      <c r="A27" s="29"/>
      <c r="B27" s="30"/>
      <c r="C27" s="81" t="s">
        <v>224</v>
      </c>
      <c r="D27" s="82"/>
      <c r="E27" s="83"/>
      <c r="F27" s="241">
        <v>0.0</v>
      </c>
      <c r="G27" s="40"/>
      <c r="H27" s="44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7.25" customHeight="1">
      <c r="A28" s="29"/>
      <c r="B28" s="30"/>
      <c r="C28" s="40"/>
      <c r="D28" s="40"/>
      <c r="E28" s="40"/>
      <c r="F28" s="242"/>
      <c r="G28" s="40"/>
      <c r="H28" s="44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7.25" customHeight="1">
      <c r="A29" s="29"/>
      <c r="B29" s="30"/>
      <c r="C29" s="89" t="s">
        <v>219</v>
      </c>
      <c r="D29" s="243"/>
      <c r="E29" s="244"/>
      <c r="F29" s="245">
        <f>+F27+F25</f>
        <v>9600000</v>
      </c>
      <c r="G29" s="40"/>
      <c r="H29" s="44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7.25" customHeight="1">
      <c r="A30" s="29"/>
      <c r="B30" s="30"/>
      <c r="C30" s="88"/>
      <c r="D30" s="246"/>
      <c r="E30" s="40"/>
      <c r="F30" s="40"/>
      <c r="G30" s="40"/>
      <c r="H30" s="44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8.0" customHeight="1">
      <c r="A31" s="29"/>
      <c r="B31" s="29"/>
      <c r="C31" s="44"/>
      <c r="D31" s="44"/>
      <c r="E31" s="44"/>
      <c r="F31" s="44"/>
      <c r="G31" s="44"/>
      <c r="H31" s="44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8.0" customHeight="1">
      <c r="A32" s="29"/>
      <c r="B32" s="29"/>
      <c r="C32" s="44"/>
      <c r="D32" s="44"/>
      <c r="E32" s="44"/>
      <c r="F32" s="44"/>
      <c r="G32" s="44"/>
      <c r="H32" s="44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8.0" customHeight="1">
      <c r="A33" s="29"/>
      <c r="B33" s="29"/>
      <c r="C33" s="44"/>
      <c r="D33" s="44"/>
      <c r="E33" s="44"/>
      <c r="F33" s="44"/>
      <c r="G33" s="44"/>
      <c r="H33" s="44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8.0" customHeight="1">
      <c r="A34" s="29"/>
      <c r="B34" s="29"/>
      <c r="C34" s="44"/>
      <c r="D34" s="44"/>
      <c r="E34" s="44"/>
      <c r="F34" s="44"/>
      <c r="G34" s="44"/>
      <c r="H34" s="44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8.0" customHeight="1">
      <c r="A35" s="29"/>
      <c r="B35" s="29"/>
      <c r="C35" s="44"/>
      <c r="D35" s="44"/>
      <c r="E35" s="44"/>
      <c r="F35" s="44"/>
      <c r="G35" s="44"/>
      <c r="H35" s="44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8.0" customHeight="1">
      <c r="A36" s="29"/>
      <c r="B36" s="29"/>
      <c r="C36" s="44"/>
      <c r="D36" s="44"/>
      <c r="E36" s="44"/>
      <c r="F36" s="44"/>
      <c r="G36" s="44"/>
      <c r="H36" s="44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8.0" customHeight="1">
      <c r="A37" s="29"/>
      <c r="B37" s="29"/>
      <c r="C37" s="44"/>
      <c r="D37" s="44"/>
      <c r="E37" s="44"/>
      <c r="F37" s="44"/>
      <c r="G37" s="44"/>
      <c r="H37" s="44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8.0" customHeight="1">
      <c r="A38" s="29"/>
      <c r="B38" s="29"/>
      <c r="C38" s="44"/>
      <c r="D38" s="44"/>
      <c r="E38" s="44"/>
      <c r="F38" s="44"/>
      <c r="G38" s="44"/>
      <c r="H38" s="44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7.25" customHeight="1">
      <c r="A39" s="29"/>
      <c r="B39" s="29"/>
      <c r="C39" s="44"/>
      <c r="D39" s="44"/>
      <c r="E39" s="44"/>
      <c r="F39" s="44"/>
      <c r="G39" s="44"/>
      <c r="H39" s="44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8.0" customHeight="1">
      <c r="A40" s="29"/>
      <c r="B40" s="29"/>
      <c r="C40" s="44"/>
      <c r="D40" s="44"/>
      <c r="E40" s="44"/>
      <c r="F40" s="44"/>
      <c r="G40" s="44"/>
      <c r="H40" s="44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8.0" customHeight="1">
      <c r="A41" s="29"/>
      <c r="B41" s="29"/>
      <c r="C41" s="44"/>
      <c r="D41" s="44"/>
      <c r="E41" s="44"/>
      <c r="F41" s="44"/>
      <c r="G41" s="44"/>
      <c r="H41" s="44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8.0" customHeight="1">
      <c r="A42" s="29"/>
      <c r="B42" s="29"/>
      <c r="C42" s="44"/>
      <c r="D42" s="44"/>
      <c r="E42" s="44"/>
      <c r="F42" s="44"/>
      <c r="G42" s="44"/>
      <c r="H42" s="44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8.0" customHeight="1">
      <c r="A43" s="29"/>
      <c r="B43" s="29"/>
      <c r="C43" s="44"/>
      <c r="D43" s="44"/>
      <c r="E43" s="44"/>
      <c r="F43" s="44"/>
      <c r="G43" s="44"/>
      <c r="H43" s="44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8.0" customHeight="1">
      <c r="A44" s="29"/>
      <c r="B44" s="29"/>
      <c r="C44" s="44"/>
      <c r="D44" s="44"/>
      <c r="E44" s="44"/>
      <c r="F44" s="44"/>
      <c r="G44" s="44"/>
      <c r="H44" s="44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7.25" customHeight="1">
      <c r="A45" s="29"/>
      <c r="B45" s="29"/>
      <c r="C45" s="44"/>
      <c r="D45" s="44"/>
      <c r="E45" s="44"/>
      <c r="F45" s="44"/>
      <c r="G45" s="44"/>
      <c r="H45" s="44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8.0" customHeight="1">
      <c r="A46" s="29"/>
      <c r="B46" s="29"/>
      <c r="C46" s="44"/>
      <c r="D46" s="44"/>
      <c r="E46" s="44"/>
      <c r="F46" s="44"/>
      <c r="G46" s="44"/>
      <c r="H46" s="44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8.0" customHeight="1">
      <c r="A47" s="29"/>
      <c r="B47" s="29"/>
      <c r="C47" s="44"/>
      <c r="D47" s="44"/>
      <c r="E47" s="44"/>
      <c r="F47" s="44"/>
      <c r="G47" s="44"/>
      <c r="H47" s="44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7.25" customHeight="1">
      <c r="A48" s="29"/>
      <c r="B48" s="29"/>
      <c r="C48" s="44"/>
      <c r="D48" s="44"/>
      <c r="E48" s="44"/>
      <c r="F48" s="44"/>
      <c r="G48" s="44"/>
      <c r="H48" s="44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showGridLines="0" workbookViewId="0">
      <pane xSplit="9.0" ySplit="44.0" topLeftCell="J45" activePane="bottomRight" state="frozen"/>
      <selection activeCell="J1" sqref="J1" pane="topRight"/>
      <selection activeCell="A45" sqref="A45" pane="bottomLeft"/>
      <selection activeCell="J45" sqref="J45" pane="bottomRight"/>
    </sheetView>
  </sheetViews>
  <sheetFormatPr customHeight="1" defaultColWidth="12.63" defaultRowHeight="15.0"/>
  <cols>
    <col customWidth="1" min="1" max="1" width="3.88"/>
    <col customWidth="1" min="2" max="2" width="2.75"/>
    <col customWidth="1" min="3" max="3" width="17.88"/>
    <col customWidth="1" min="4" max="4" width="18.0"/>
    <col customWidth="1" min="5" max="5" width="12.13"/>
    <col customWidth="1" min="6" max="6" width="13.63"/>
    <col customWidth="1" min="7" max="7" width="14.13"/>
    <col customWidth="1" min="8" max="8" width="4.0"/>
    <col customWidth="1" min="9" max="18" width="11.25"/>
    <col customWidth="1" min="19" max="27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0" customHeight="1">
      <c r="A2" s="247"/>
      <c r="C2" s="248"/>
      <c r="D2" s="248"/>
      <c r="E2" s="248"/>
      <c r="F2" s="248"/>
      <c r="G2" s="248"/>
      <c r="H2" s="248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</row>
    <row r="3" ht="15.75" customHeight="1">
      <c r="A3" s="247"/>
      <c r="C3" s="250" t="s">
        <v>225</v>
      </c>
      <c r="D3" s="248"/>
      <c r="E3" s="248"/>
      <c r="F3" s="248"/>
      <c r="G3" s="248"/>
      <c r="H3" s="248"/>
      <c r="I3" s="251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</row>
    <row r="4" ht="12.75" customHeight="1">
      <c r="A4" s="44"/>
      <c r="B4" s="40"/>
      <c r="C4" s="252"/>
      <c r="D4" s="248"/>
      <c r="E4" s="248"/>
      <c r="F4" s="248"/>
      <c r="G4" s="248"/>
      <c r="H4" s="248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</row>
    <row r="5" ht="12.75" customHeight="1">
      <c r="A5" s="44"/>
      <c r="B5" s="40"/>
      <c r="C5" s="254" t="s">
        <v>226</v>
      </c>
      <c r="D5" s="255">
        <v>0.0</v>
      </c>
      <c r="E5" s="248"/>
      <c r="F5" s="256" t="s">
        <v>227</v>
      </c>
      <c r="G5" s="102"/>
      <c r="H5" s="248"/>
      <c r="I5" s="253"/>
      <c r="J5" s="257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</row>
    <row r="6" ht="12.75" customHeight="1">
      <c r="A6" s="44"/>
      <c r="B6" s="40"/>
      <c r="C6" s="258" t="s">
        <v>228</v>
      </c>
      <c r="D6" s="259">
        <f>+D5-D7</f>
        <v>0</v>
      </c>
      <c r="E6" s="248"/>
      <c r="F6" s="260" t="s">
        <v>229</v>
      </c>
      <c r="G6" s="261">
        <f>(COUNT(C10:C42)*(COUNT(C10:C42)+1))/2</f>
        <v>561</v>
      </c>
      <c r="H6" s="248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</row>
    <row r="7" ht="12.75" customHeight="1">
      <c r="A7" s="44"/>
      <c r="B7" s="40"/>
      <c r="C7" s="254" t="s">
        <v>230</v>
      </c>
      <c r="D7" s="255">
        <v>0.0</v>
      </c>
      <c r="E7" s="248"/>
      <c r="F7" s="40"/>
      <c r="G7" s="40"/>
      <c r="H7" s="248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</row>
    <row r="8" ht="12.75" customHeight="1">
      <c r="A8" s="44"/>
      <c r="B8" s="40"/>
      <c r="C8" s="248"/>
      <c r="D8" s="248"/>
      <c r="E8" s="40"/>
      <c r="F8" s="40"/>
      <c r="G8" s="40"/>
      <c r="H8" s="40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</row>
    <row r="9" ht="25.5" customHeight="1">
      <c r="A9" s="44"/>
      <c r="B9" s="40"/>
      <c r="C9" s="49" t="s">
        <v>231</v>
      </c>
      <c r="D9" s="49" t="s">
        <v>232</v>
      </c>
      <c r="E9" s="49" t="s">
        <v>233</v>
      </c>
      <c r="F9" s="49" t="s">
        <v>234</v>
      </c>
      <c r="G9" s="49" t="s">
        <v>235</v>
      </c>
      <c r="H9" s="262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</row>
    <row r="10" ht="13.5" customHeight="1">
      <c r="A10" s="29"/>
      <c r="B10" s="30"/>
      <c r="C10" s="263">
        <v>1.0</v>
      </c>
      <c r="D10" s="259">
        <f t="shared" ref="D10:D42" si="1">+$D$7</f>
        <v>0</v>
      </c>
      <c r="E10" s="264">
        <f t="shared" ref="E10:E42" si="2">C10/$G$6</f>
        <v>0.001782531194</v>
      </c>
      <c r="F10" s="259">
        <f t="shared" ref="F10:F42" si="3">D10*E10</f>
        <v>0</v>
      </c>
      <c r="G10" s="208">
        <f>D5-F10</f>
        <v>0</v>
      </c>
      <c r="H10" s="30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29"/>
      <c r="T10" s="29"/>
      <c r="U10" s="29"/>
      <c r="V10" s="29"/>
      <c r="W10" s="29"/>
      <c r="X10" s="29"/>
      <c r="Y10" s="29"/>
      <c r="Z10" s="29"/>
      <c r="AA10" s="29"/>
    </row>
    <row r="11" ht="13.5" customHeight="1">
      <c r="A11" s="29"/>
      <c r="B11" s="30"/>
      <c r="C11" s="263">
        <f t="shared" ref="C11:C42" si="4">C10+1</f>
        <v>2</v>
      </c>
      <c r="D11" s="259">
        <f t="shared" si="1"/>
        <v>0</v>
      </c>
      <c r="E11" s="264">
        <f t="shared" si="2"/>
        <v>0.003565062389</v>
      </c>
      <c r="F11" s="259">
        <f t="shared" si="3"/>
        <v>0</v>
      </c>
      <c r="G11" s="208">
        <f t="shared" ref="G11:G42" si="5">G10-F11</f>
        <v>0</v>
      </c>
      <c r="H11" s="30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29"/>
      <c r="T11" s="29"/>
      <c r="U11" s="29"/>
      <c r="V11" s="29"/>
      <c r="W11" s="29"/>
      <c r="X11" s="29"/>
      <c r="Y11" s="29"/>
      <c r="Z11" s="29"/>
      <c r="AA11" s="29"/>
    </row>
    <row r="12" ht="13.5" customHeight="1">
      <c r="A12" s="29"/>
      <c r="B12" s="30"/>
      <c r="C12" s="263">
        <f t="shared" si="4"/>
        <v>3</v>
      </c>
      <c r="D12" s="259">
        <f t="shared" si="1"/>
        <v>0</v>
      </c>
      <c r="E12" s="264">
        <f t="shared" si="2"/>
        <v>0.005347593583</v>
      </c>
      <c r="F12" s="259">
        <f t="shared" si="3"/>
        <v>0</v>
      </c>
      <c r="G12" s="208">
        <f t="shared" si="5"/>
        <v>0</v>
      </c>
      <c r="H12" s="30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29"/>
      <c r="T12" s="29"/>
      <c r="U12" s="29"/>
      <c r="V12" s="29"/>
      <c r="W12" s="29"/>
      <c r="X12" s="29"/>
      <c r="Y12" s="29"/>
      <c r="Z12" s="29"/>
      <c r="AA12" s="29"/>
    </row>
    <row r="13" ht="13.5" customHeight="1">
      <c r="A13" s="29"/>
      <c r="B13" s="30"/>
      <c r="C13" s="263">
        <f t="shared" si="4"/>
        <v>4</v>
      </c>
      <c r="D13" s="259">
        <f t="shared" si="1"/>
        <v>0</v>
      </c>
      <c r="E13" s="264">
        <f t="shared" si="2"/>
        <v>0.007130124777</v>
      </c>
      <c r="F13" s="259">
        <f t="shared" si="3"/>
        <v>0</v>
      </c>
      <c r="G13" s="208">
        <f t="shared" si="5"/>
        <v>0</v>
      </c>
      <c r="H13" s="30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29"/>
      <c r="T13" s="29"/>
      <c r="U13" s="29"/>
      <c r="V13" s="29"/>
      <c r="W13" s="29"/>
      <c r="X13" s="29"/>
      <c r="Y13" s="29"/>
      <c r="Z13" s="29"/>
      <c r="AA13" s="29"/>
    </row>
    <row r="14" ht="13.5" customHeight="1">
      <c r="A14" s="29"/>
      <c r="B14" s="30"/>
      <c r="C14" s="263">
        <f t="shared" si="4"/>
        <v>5</v>
      </c>
      <c r="D14" s="259">
        <f t="shared" si="1"/>
        <v>0</v>
      </c>
      <c r="E14" s="264">
        <f t="shared" si="2"/>
        <v>0.008912655971</v>
      </c>
      <c r="F14" s="259">
        <f t="shared" si="3"/>
        <v>0</v>
      </c>
      <c r="G14" s="208">
        <f t="shared" si="5"/>
        <v>0</v>
      </c>
      <c r="H14" s="30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29"/>
      <c r="T14" s="29"/>
      <c r="U14" s="29"/>
      <c r="V14" s="29"/>
      <c r="W14" s="29"/>
      <c r="X14" s="29"/>
      <c r="Y14" s="29"/>
      <c r="Z14" s="29"/>
      <c r="AA14" s="29"/>
    </row>
    <row r="15" ht="13.5" customHeight="1">
      <c r="A15" s="29"/>
      <c r="B15" s="30"/>
      <c r="C15" s="263">
        <f t="shared" si="4"/>
        <v>6</v>
      </c>
      <c r="D15" s="259">
        <f t="shared" si="1"/>
        <v>0</v>
      </c>
      <c r="E15" s="264">
        <f t="shared" si="2"/>
        <v>0.01069518717</v>
      </c>
      <c r="F15" s="259">
        <f t="shared" si="3"/>
        <v>0</v>
      </c>
      <c r="G15" s="208">
        <f t="shared" si="5"/>
        <v>0</v>
      </c>
      <c r="H15" s="30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29"/>
      <c r="T15" s="29"/>
      <c r="U15" s="29"/>
      <c r="V15" s="29"/>
      <c r="W15" s="29"/>
      <c r="X15" s="29"/>
      <c r="Y15" s="29"/>
      <c r="Z15" s="29"/>
      <c r="AA15" s="29"/>
    </row>
    <row r="16" ht="13.5" customHeight="1">
      <c r="A16" s="29"/>
      <c r="B16" s="30"/>
      <c r="C16" s="263">
        <f t="shared" si="4"/>
        <v>7</v>
      </c>
      <c r="D16" s="259">
        <f t="shared" si="1"/>
        <v>0</v>
      </c>
      <c r="E16" s="264">
        <f t="shared" si="2"/>
        <v>0.01247771836</v>
      </c>
      <c r="F16" s="259">
        <f t="shared" si="3"/>
        <v>0</v>
      </c>
      <c r="G16" s="208">
        <f t="shared" si="5"/>
        <v>0</v>
      </c>
      <c r="H16" s="30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29"/>
      <c r="T16" s="29"/>
      <c r="U16" s="29"/>
      <c r="V16" s="29"/>
      <c r="W16" s="29"/>
      <c r="X16" s="29"/>
      <c r="Y16" s="29"/>
      <c r="Z16" s="29"/>
      <c r="AA16" s="29"/>
    </row>
    <row r="17" ht="13.5" customHeight="1">
      <c r="A17" s="29"/>
      <c r="B17" s="30"/>
      <c r="C17" s="263">
        <f t="shared" si="4"/>
        <v>8</v>
      </c>
      <c r="D17" s="259">
        <f t="shared" si="1"/>
        <v>0</v>
      </c>
      <c r="E17" s="264">
        <f t="shared" si="2"/>
        <v>0.01426024955</v>
      </c>
      <c r="F17" s="259">
        <f t="shared" si="3"/>
        <v>0</v>
      </c>
      <c r="G17" s="208">
        <f t="shared" si="5"/>
        <v>0</v>
      </c>
      <c r="H17" s="30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29"/>
      <c r="T17" s="29"/>
      <c r="U17" s="29"/>
      <c r="V17" s="29"/>
      <c r="W17" s="29"/>
      <c r="X17" s="29"/>
      <c r="Y17" s="29"/>
      <c r="Z17" s="29"/>
      <c r="AA17" s="29"/>
    </row>
    <row r="18" ht="13.5" customHeight="1">
      <c r="A18" s="29"/>
      <c r="B18" s="30"/>
      <c r="C18" s="263">
        <f t="shared" si="4"/>
        <v>9</v>
      </c>
      <c r="D18" s="259">
        <f t="shared" si="1"/>
        <v>0</v>
      </c>
      <c r="E18" s="264">
        <f t="shared" si="2"/>
        <v>0.01604278075</v>
      </c>
      <c r="F18" s="259">
        <f t="shared" si="3"/>
        <v>0</v>
      </c>
      <c r="G18" s="208">
        <f t="shared" si="5"/>
        <v>0</v>
      </c>
      <c r="H18" s="30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29"/>
      <c r="T18" s="29"/>
      <c r="U18" s="29"/>
      <c r="V18" s="29"/>
      <c r="W18" s="29"/>
      <c r="X18" s="29"/>
      <c r="Y18" s="29"/>
      <c r="Z18" s="29"/>
      <c r="AA18" s="29"/>
    </row>
    <row r="19" ht="13.5" customHeight="1">
      <c r="A19" s="29"/>
      <c r="B19" s="30"/>
      <c r="C19" s="263">
        <f t="shared" si="4"/>
        <v>10</v>
      </c>
      <c r="D19" s="259">
        <f t="shared" si="1"/>
        <v>0</v>
      </c>
      <c r="E19" s="264">
        <f t="shared" si="2"/>
        <v>0.01782531194</v>
      </c>
      <c r="F19" s="259">
        <f t="shared" si="3"/>
        <v>0</v>
      </c>
      <c r="G19" s="208">
        <f t="shared" si="5"/>
        <v>0</v>
      </c>
      <c r="H19" s="30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29"/>
      <c r="T19" s="29"/>
      <c r="U19" s="29"/>
      <c r="V19" s="29"/>
      <c r="W19" s="29"/>
      <c r="X19" s="29"/>
      <c r="Y19" s="29"/>
      <c r="Z19" s="29"/>
      <c r="AA19" s="29"/>
    </row>
    <row r="20" ht="13.5" customHeight="1">
      <c r="A20" s="29"/>
      <c r="B20" s="30"/>
      <c r="C20" s="263">
        <f t="shared" si="4"/>
        <v>11</v>
      </c>
      <c r="D20" s="259">
        <f t="shared" si="1"/>
        <v>0</v>
      </c>
      <c r="E20" s="264">
        <f t="shared" si="2"/>
        <v>0.01960784314</v>
      </c>
      <c r="F20" s="259">
        <f t="shared" si="3"/>
        <v>0</v>
      </c>
      <c r="G20" s="208">
        <f t="shared" si="5"/>
        <v>0</v>
      </c>
      <c r="H20" s="30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29"/>
      <c r="T20" s="29"/>
      <c r="U20" s="29"/>
      <c r="V20" s="29"/>
      <c r="W20" s="29"/>
      <c r="X20" s="29"/>
      <c r="Y20" s="29"/>
      <c r="Z20" s="29"/>
      <c r="AA20" s="29"/>
    </row>
    <row r="21" ht="13.5" customHeight="1">
      <c r="A21" s="29"/>
      <c r="B21" s="30"/>
      <c r="C21" s="263">
        <f t="shared" si="4"/>
        <v>12</v>
      </c>
      <c r="D21" s="259">
        <f t="shared" si="1"/>
        <v>0</v>
      </c>
      <c r="E21" s="264">
        <f t="shared" si="2"/>
        <v>0.02139037433</v>
      </c>
      <c r="F21" s="259">
        <f t="shared" si="3"/>
        <v>0</v>
      </c>
      <c r="G21" s="208">
        <f t="shared" si="5"/>
        <v>0</v>
      </c>
      <c r="H21" s="30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29"/>
      <c r="T21" s="29"/>
      <c r="U21" s="29"/>
      <c r="V21" s="29"/>
      <c r="W21" s="29"/>
      <c r="X21" s="29"/>
      <c r="Y21" s="29"/>
      <c r="Z21" s="29"/>
      <c r="AA21" s="29"/>
    </row>
    <row r="22" ht="13.5" customHeight="1">
      <c r="A22" s="29"/>
      <c r="B22" s="30"/>
      <c r="C22" s="263">
        <f t="shared" si="4"/>
        <v>13</v>
      </c>
      <c r="D22" s="259">
        <f t="shared" si="1"/>
        <v>0</v>
      </c>
      <c r="E22" s="264">
        <f t="shared" si="2"/>
        <v>0.02317290553</v>
      </c>
      <c r="F22" s="259">
        <f t="shared" si="3"/>
        <v>0</v>
      </c>
      <c r="G22" s="208">
        <f t="shared" si="5"/>
        <v>0</v>
      </c>
      <c r="H22" s="30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29"/>
      <c r="T22" s="29"/>
      <c r="U22" s="29"/>
      <c r="V22" s="29"/>
      <c r="W22" s="29"/>
      <c r="X22" s="29"/>
      <c r="Y22" s="29"/>
      <c r="Z22" s="29"/>
      <c r="AA22" s="29"/>
    </row>
    <row r="23" ht="13.5" customHeight="1">
      <c r="A23" s="29"/>
      <c r="B23" s="30"/>
      <c r="C23" s="263">
        <f t="shared" si="4"/>
        <v>14</v>
      </c>
      <c r="D23" s="259">
        <f t="shared" si="1"/>
        <v>0</v>
      </c>
      <c r="E23" s="264">
        <f t="shared" si="2"/>
        <v>0.02495543672</v>
      </c>
      <c r="F23" s="259">
        <f t="shared" si="3"/>
        <v>0</v>
      </c>
      <c r="G23" s="208">
        <f t="shared" si="5"/>
        <v>0</v>
      </c>
      <c r="H23" s="30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29"/>
      <c r="T23" s="29"/>
      <c r="U23" s="29"/>
      <c r="V23" s="29"/>
      <c r="W23" s="29"/>
      <c r="X23" s="29"/>
      <c r="Y23" s="29"/>
      <c r="Z23" s="29"/>
      <c r="AA23" s="29"/>
    </row>
    <row r="24" ht="13.5" customHeight="1">
      <c r="A24" s="29"/>
      <c r="B24" s="30"/>
      <c r="C24" s="263">
        <f t="shared" si="4"/>
        <v>15</v>
      </c>
      <c r="D24" s="259">
        <f t="shared" si="1"/>
        <v>0</v>
      </c>
      <c r="E24" s="264">
        <f t="shared" si="2"/>
        <v>0.02673796791</v>
      </c>
      <c r="F24" s="259">
        <f t="shared" si="3"/>
        <v>0</v>
      </c>
      <c r="G24" s="208">
        <f t="shared" si="5"/>
        <v>0</v>
      </c>
      <c r="H24" s="30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29"/>
      <c r="T24" s="29"/>
      <c r="U24" s="29"/>
      <c r="V24" s="29"/>
      <c r="W24" s="29"/>
      <c r="X24" s="29"/>
      <c r="Y24" s="29"/>
      <c r="Z24" s="29"/>
      <c r="AA24" s="29"/>
    </row>
    <row r="25" ht="13.5" customHeight="1">
      <c r="A25" s="29"/>
      <c r="B25" s="30"/>
      <c r="C25" s="263">
        <f t="shared" si="4"/>
        <v>16</v>
      </c>
      <c r="D25" s="259">
        <f t="shared" si="1"/>
        <v>0</v>
      </c>
      <c r="E25" s="264">
        <f t="shared" si="2"/>
        <v>0.02852049911</v>
      </c>
      <c r="F25" s="259">
        <f t="shared" si="3"/>
        <v>0</v>
      </c>
      <c r="G25" s="208">
        <f t="shared" si="5"/>
        <v>0</v>
      </c>
      <c r="H25" s="30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29"/>
      <c r="T25" s="29"/>
      <c r="U25" s="29"/>
      <c r="V25" s="29"/>
      <c r="W25" s="29"/>
      <c r="X25" s="29"/>
      <c r="Y25" s="29"/>
      <c r="Z25" s="29"/>
      <c r="AA25" s="29"/>
    </row>
    <row r="26" ht="13.5" customHeight="1">
      <c r="A26" s="29"/>
      <c r="B26" s="30"/>
      <c r="C26" s="263">
        <f t="shared" si="4"/>
        <v>17</v>
      </c>
      <c r="D26" s="259">
        <f t="shared" si="1"/>
        <v>0</v>
      </c>
      <c r="E26" s="264">
        <f t="shared" si="2"/>
        <v>0.0303030303</v>
      </c>
      <c r="F26" s="259">
        <f t="shared" si="3"/>
        <v>0</v>
      </c>
      <c r="G26" s="208">
        <f t="shared" si="5"/>
        <v>0</v>
      </c>
      <c r="H26" s="30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29"/>
      <c r="T26" s="29"/>
      <c r="U26" s="29"/>
      <c r="V26" s="29"/>
      <c r="W26" s="29"/>
      <c r="X26" s="29"/>
      <c r="Y26" s="29"/>
      <c r="Z26" s="29"/>
      <c r="AA26" s="29"/>
    </row>
    <row r="27" ht="13.5" customHeight="1">
      <c r="A27" s="29"/>
      <c r="B27" s="30"/>
      <c r="C27" s="263">
        <f t="shared" si="4"/>
        <v>18</v>
      </c>
      <c r="D27" s="259">
        <f t="shared" si="1"/>
        <v>0</v>
      </c>
      <c r="E27" s="264">
        <f t="shared" si="2"/>
        <v>0.0320855615</v>
      </c>
      <c r="F27" s="259">
        <f t="shared" si="3"/>
        <v>0</v>
      </c>
      <c r="G27" s="208">
        <f t="shared" si="5"/>
        <v>0</v>
      </c>
      <c r="H27" s="30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29"/>
      <c r="T27" s="29"/>
      <c r="U27" s="29"/>
      <c r="V27" s="29"/>
      <c r="W27" s="29"/>
      <c r="X27" s="29"/>
      <c r="Y27" s="29"/>
      <c r="Z27" s="29"/>
      <c r="AA27" s="29"/>
    </row>
    <row r="28" ht="13.5" customHeight="1">
      <c r="A28" s="29"/>
      <c r="B28" s="30"/>
      <c r="C28" s="263">
        <f t="shared" si="4"/>
        <v>19</v>
      </c>
      <c r="D28" s="259">
        <f t="shared" si="1"/>
        <v>0</v>
      </c>
      <c r="E28" s="264">
        <f t="shared" si="2"/>
        <v>0.03386809269</v>
      </c>
      <c r="F28" s="259">
        <f t="shared" si="3"/>
        <v>0</v>
      </c>
      <c r="G28" s="208">
        <f t="shared" si="5"/>
        <v>0</v>
      </c>
      <c r="H28" s="30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29"/>
      <c r="T28" s="29"/>
      <c r="U28" s="29"/>
      <c r="V28" s="29"/>
      <c r="W28" s="29"/>
      <c r="X28" s="29"/>
      <c r="Y28" s="29"/>
      <c r="Z28" s="29"/>
      <c r="AA28" s="29"/>
    </row>
    <row r="29" ht="13.5" customHeight="1">
      <c r="A29" s="29"/>
      <c r="B29" s="30"/>
      <c r="C29" s="263">
        <f t="shared" si="4"/>
        <v>20</v>
      </c>
      <c r="D29" s="259">
        <f t="shared" si="1"/>
        <v>0</v>
      </c>
      <c r="E29" s="264">
        <f t="shared" si="2"/>
        <v>0.03565062389</v>
      </c>
      <c r="F29" s="259">
        <f t="shared" si="3"/>
        <v>0</v>
      </c>
      <c r="G29" s="208">
        <f t="shared" si="5"/>
        <v>0</v>
      </c>
      <c r="H29" s="30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29"/>
      <c r="T29" s="29"/>
      <c r="U29" s="29"/>
      <c r="V29" s="29"/>
      <c r="W29" s="29"/>
      <c r="X29" s="29"/>
      <c r="Y29" s="29"/>
      <c r="Z29" s="29"/>
      <c r="AA29" s="29"/>
    </row>
    <row r="30" ht="13.5" customHeight="1">
      <c r="A30" s="29"/>
      <c r="B30" s="30"/>
      <c r="C30" s="263">
        <f t="shared" si="4"/>
        <v>21</v>
      </c>
      <c r="D30" s="259">
        <f t="shared" si="1"/>
        <v>0</v>
      </c>
      <c r="E30" s="264">
        <f t="shared" si="2"/>
        <v>0.03743315508</v>
      </c>
      <c r="F30" s="259">
        <f t="shared" si="3"/>
        <v>0</v>
      </c>
      <c r="G30" s="208">
        <f t="shared" si="5"/>
        <v>0</v>
      </c>
      <c r="H30" s="30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29"/>
      <c r="T30" s="29"/>
      <c r="U30" s="29"/>
      <c r="V30" s="29"/>
      <c r="W30" s="29"/>
      <c r="X30" s="29"/>
      <c r="Y30" s="29"/>
      <c r="Z30" s="29"/>
      <c r="AA30" s="29"/>
    </row>
    <row r="31" ht="13.5" customHeight="1">
      <c r="A31" s="29"/>
      <c r="B31" s="30"/>
      <c r="C31" s="263">
        <f t="shared" si="4"/>
        <v>22</v>
      </c>
      <c r="D31" s="259">
        <f t="shared" si="1"/>
        <v>0</v>
      </c>
      <c r="E31" s="264">
        <f t="shared" si="2"/>
        <v>0.03921568627</v>
      </c>
      <c r="F31" s="259">
        <f t="shared" si="3"/>
        <v>0</v>
      </c>
      <c r="G31" s="208">
        <f t="shared" si="5"/>
        <v>0</v>
      </c>
      <c r="H31" s="30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29"/>
      <c r="T31" s="29"/>
      <c r="U31" s="29"/>
      <c r="V31" s="29"/>
      <c r="W31" s="29"/>
      <c r="X31" s="29"/>
      <c r="Y31" s="29"/>
      <c r="Z31" s="29"/>
      <c r="AA31" s="29"/>
    </row>
    <row r="32" ht="13.5" customHeight="1">
      <c r="A32" s="29"/>
      <c r="B32" s="30"/>
      <c r="C32" s="263">
        <f t="shared" si="4"/>
        <v>23</v>
      </c>
      <c r="D32" s="259">
        <f t="shared" si="1"/>
        <v>0</v>
      </c>
      <c r="E32" s="264">
        <f t="shared" si="2"/>
        <v>0.04099821747</v>
      </c>
      <c r="F32" s="259">
        <f t="shared" si="3"/>
        <v>0</v>
      </c>
      <c r="G32" s="208">
        <f t="shared" si="5"/>
        <v>0</v>
      </c>
      <c r="H32" s="30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29"/>
      <c r="T32" s="29"/>
      <c r="U32" s="29"/>
      <c r="V32" s="29"/>
      <c r="W32" s="29"/>
      <c r="X32" s="29"/>
      <c r="Y32" s="29"/>
      <c r="Z32" s="29"/>
      <c r="AA32" s="29"/>
    </row>
    <row r="33" ht="13.5" customHeight="1">
      <c r="A33" s="29"/>
      <c r="B33" s="30"/>
      <c r="C33" s="263">
        <f t="shared" si="4"/>
        <v>24</v>
      </c>
      <c r="D33" s="259">
        <f t="shared" si="1"/>
        <v>0</v>
      </c>
      <c r="E33" s="264">
        <f t="shared" si="2"/>
        <v>0.04278074866</v>
      </c>
      <c r="F33" s="259">
        <f t="shared" si="3"/>
        <v>0</v>
      </c>
      <c r="G33" s="208">
        <f t="shared" si="5"/>
        <v>0</v>
      </c>
      <c r="H33" s="30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29"/>
      <c r="T33" s="29"/>
      <c r="U33" s="29"/>
      <c r="V33" s="29"/>
      <c r="W33" s="29"/>
      <c r="X33" s="29"/>
      <c r="Y33" s="29"/>
      <c r="Z33" s="29"/>
      <c r="AA33" s="29"/>
    </row>
    <row r="34" ht="13.5" customHeight="1">
      <c r="A34" s="29"/>
      <c r="B34" s="30"/>
      <c r="C34" s="263">
        <f t="shared" si="4"/>
        <v>25</v>
      </c>
      <c r="D34" s="259">
        <f t="shared" si="1"/>
        <v>0</v>
      </c>
      <c r="E34" s="264">
        <f t="shared" si="2"/>
        <v>0.04456327986</v>
      </c>
      <c r="F34" s="259">
        <f t="shared" si="3"/>
        <v>0</v>
      </c>
      <c r="G34" s="208">
        <f t="shared" si="5"/>
        <v>0</v>
      </c>
      <c r="H34" s="30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29"/>
      <c r="T34" s="29"/>
      <c r="U34" s="29"/>
      <c r="V34" s="29"/>
      <c r="W34" s="29"/>
      <c r="X34" s="29"/>
      <c r="Y34" s="29"/>
      <c r="Z34" s="29"/>
      <c r="AA34" s="29"/>
    </row>
    <row r="35" ht="13.5" customHeight="1">
      <c r="A35" s="29"/>
      <c r="B35" s="30"/>
      <c r="C35" s="263">
        <f t="shared" si="4"/>
        <v>26</v>
      </c>
      <c r="D35" s="259">
        <f t="shared" si="1"/>
        <v>0</v>
      </c>
      <c r="E35" s="264">
        <f t="shared" si="2"/>
        <v>0.04634581105</v>
      </c>
      <c r="F35" s="259">
        <f t="shared" si="3"/>
        <v>0</v>
      </c>
      <c r="G35" s="208">
        <f t="shared" si="5"/>
        <v>0</v>
      </c>
      <c r="H35" s="30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29"/>
      <c r="T35" s="29"/>
      <c r="U35" s="29"/>
      <c r="V35" s="29"/>
      <c r="W35" s="29"/>
      <c r="X35" s="29"/>
      <c r="Y35" s="29"/>
      <c r="Z35" s="29"/>
      <c r="AA35" s="29"/>
    </row>
    <row r="36" ht="13.5" customHeight="1">
      <c r="A36" s="29"/>
      <c r="B36" s="30"/>
      <c r="C36" s="263">
        <f t="shared" si="4"/>
        <v>27</v>
      </c>
      <c r="D36" s="259">
        <f t="shared" si="1"/>
        <v>0</v>
      </c>
      <c r="E36" s="264">
        <f t="shared" si="2"/>
        <v>0.04812834225</v>
      </c>
      <c r="F36" s="259">
        <f t="shared" si="3"/>
        <v>0</v>
      </c>
      <c r="G36" s="208">
        <f t="shared" si="5"/>
        <v>0</v>
      </c>
      <c r="H36" s="30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29"/>
      <c r="T36" s="29"/>
      <c r="U36" s="29"/>
      <c r="V36" s="29"/>
      <c r="W36" s="29"/>
      <c r="X36" s="29"/>
      <c r="Y36" s="29"/>
      <c r="Z36" s="29"/>
      <c r="AA36" s="29"/>
    </row>
    <row r="37" ht="13.5" customHeight="1">
      <c r="A37" s="29"/>
      <c r="B37" s="30"/>
      <c r="C37" s="263">
        <f t="shared" si="4"/>
        <v>28</v>
      </c>
      <c r="D37" s="259">
        <f t="shared" si="1"/>
        <v>0</v>
      </c>
      <c r="E37" s="264">
        <f t="shared" si="2"/>
        <v>0.04991087344</v>
      </c>
      <c r="F37" s="259">
        <f t="shared" si="3"/>
        <v>0</v>
      </c>
      <c r="G37" s="208">
        <f t="shared" si="5"/>
        <v>0</v>
      </c>
      <c r="H37" s="30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29"/>
      <c r="T37" s="29"/>
      <c r="U37" s="29"/>
      <c r="V37" s="29"/>
      <c r="W37" s="29"/>
      <c r="X37" s="29"/>
      <c r="Y37" s="29"/>
      <c r="Z37" s="29"/>
      <c r="AA37" s="29"/>
    </row>
    <row r="38" ht="13.5" customHeight="1">
      <c r="A38" s="29"/>
      <c r="B38" s="30"/>
      <c r="C38" s="263">
        <f t="shared" si="4"/>
        <v>29</v>
      </c>
      <c r="D38" s="259">
        <f t="shared" si="1"/>
        <v>0</v>
      </c>
      <c r="E38" s="264">
        <f t="shared" si="2"/>
        <v>0.05169340463</v>
      </c>
      <c r="F38" s="259">
        <f t="shared" si="3"/>
        <v>0</v>
      </c>
      <c r="G38" s="208">
        <f t="shared" si="5"/>
        <v>0</v>
      </c>
      <c r="H38" s="30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29"/>
      <c r="T38" s="29"/>
      <c r="U38" s="29"/>
      <c r="V38" s="29"/>
      <c r="W38" s="29"/>
      <c r="X38" s="29"/>
      <c r="Y38" s="29"/>
      <c r="Z38" s="29"/>
      <c r="AA38" s="29"/>
    </row>
    <row r="39" ht="13.5" customHeight="1">
      <c r="A39" s="29"/>
      <c r="B39" s="30"/>
      <c r="C39" s="263">
        <f t="shared" si="4"/>
        <v>30</v>
      </c>
      <c r="D39" s="259">
        <f t="shared" si="1"/>
        <v>0</v>
      </c>
      <c r="E39" s="264">
        <f t="shared" si="2"/>
        <v>0.05347593583</v>
      </c>
      <c r="F39" s="259">
        <f t="shared" si="3"/>
        <v>0</v>
      </c>
      <c r="G39" s="208">
        <f t="shared" si="5"/>
        <v>0</v>
      </c>
      <c r="H39" s="30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29"/>
      <c r="T39" s="29"/>
      <c r="U39" s="29"/>
      <c r="V39" s="29"/>
      <c r="W39" s="29"/>
      <c r="X39" s="29"/>
      <c r="Y39" s="29"/>
      <c r="Z39" s="29"/>
      <c r="AA39" s="29"/>
    </row>
    <row r="40" ht="13.5" customHeight="1">
      <c r="A40" s="29"/>
      <c r="B40" s="30"/>
      <c r="C40" s="263">
        <f t="shared" si="4"/>
        <v>31</v>
      </c>
      <c r="D40" s="259">
        <f t="shared" si="1"/>
        <v>0</v>
      </c>
      <c r="E40" s="264">
        <f t="shared" si="2"/>
        <v>0.05525846702</v>
      </c>
      <c r="F40" s="259">
        <f t="shared" si="3"/>
        <v>0</v>
      </c>
      <c r="G40" s="208">
        <f t="shared" si="5"/>
        <v>0</v>
      </c>
      <c r="H40" s="30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29"/>
      <c r="T40" s="29"/>
      <c r="U40" s="29"/>
      <c r="V40" s="29"/>
      <c r="W40" s="29"/>
      <c r="X40" s="29"/>
      <c r="Y40" s="29"/>
      <c r="Z40" s="29"/>
      <c r="AA40" s="29"/>
    </row>
    <row r="41" ht="13.5" customHeight="1">
      <c r="A41" s="29"/>
      <c r="B41" s="30"/>
      <c r="C41" s="263">
        <f t="shared" si="4"/>
        <v>32</v>
      </c>
      <c r="D41" s="259">
        <f t="shared" si="1"/>
        <v>0</v>
      </c>
      <c r="E41" s="264">
        <f t="shared" si="2"/>
        <v>0.05704099822</v>
      </c>
      <c r="F41" s="259">
        <f t="shared" si="3"/>
        <v>0</v>
      </c>
      <c r="G41" s="208">
        <f t="shared" si="5"/>
        <v>0</v>
      </c>
      <c r="H41" s="30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29"/>
      <c r="T41" s="29"/>
      <c r="U41" s="29"/>
      <c r="V41" s="29"/>
      <c r="W41" s="29"/>
      <c r="X41" s="29"/>
      <c r="Y41" s="29"/>
      <c r="Z41" s="29"/>
      <c r="AA41" s="29"/>
    </row>
    <row r="42" ht="13.5" customHeight="1">
      <c r="A42" s="29"/>
      <c r="B42" s="30"/>
      <c r="C42" s="263">
        <f t="shared" si="4"/>
        <v>33</v>
      </c>
      <c r="D42" s="259">
        <f t="shared" si="1"/>
        <v>0</v>
      </c>
      <c r="E42" s="264">
        <f t="shared" si="2"/>
        <v>0.05882352941</v>
      </c>
      <c r="F42" s="259">
        <f t="shared" si="3"/>
        <v>0</v>
      </c>
      <c r="G42" s="208">
        <f t="shared" si="5"/>
        <v>0</v>
      </c>
      <c r="H42" s="3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29"/>
      <c r="T42" s="29"/>
      <c r="U42" s="29"/>
      <c r="V42" s="29"/>
      <c r="W42" s="29"/>
      <c r="X42" s="29"/>
      <c r="Y42" s="29"/>
      <c r="Z42" s="29"/>
      <c r="AA42" s="29"/>
    </row>
    <row r="43" ht="13.5" customHeight="1">
      <c r="A43" s="29"/>
      <c r="B43" s="30"/>
      <c r="C43" s="40"/>
      <c r="D43" s="265" t="s">
        <v>232</v>
      </c>
      <c r="E43" s="266">
        <f t="shared" ref="E43:F43" si="6">SUM(E10:E42)</f>
        <v>1</v>
      </c>
      <c r="F43" s="267">
        <f t="shared" si="6"/>
        <v>0</v>
      </c>
      <c r="G43" s="268">
        <f>+G42-D6</f>
        <v>0</v>
      </c>
      <c r="H43" s="30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29"/>
      <c r="T43" s="29"/>
      <c r="U43" s="29"/>
      <c r="V43" s="29"/>
      <c r="W43" s="29"/>
      <c r="X43" s="29"/>
      <c r="Y43" s="29"/>
      <c r="Z43" s="29"/>
      <c r="AA43" s="29"/>
    </row>
    <row r="44" ht="13.5" customHeight="1">
      <c r="A44" s="29"/>
      <c r="B44" s="30"/>
      <c r="C44" s="40"/>
      <c r="D44" s="269"/>
      <c r="E44" s="269"/>
      <c r="F44" s="270"/>
      <c r="G44" s="269"/>
      <c r="H44" s="271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29"/>
      <c r="T44" s="29"/>
      <c r="U44" s="29"/>
      <c r="V44" s="29"/>
      <c r="W44" s="29"/>
      <c r="X44" s="29"/>
      <c r="Y44" s="29"/>
      <c r="Z44" s="29"/>
      <c r="AA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</sheetData>
  <mergeCells count="1">
    <mergeCell ref="F5:G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75"/>
    <col customWidth="1" min="3" max="3" width="16.25"/>
    <col customWidth="1" min="4" max="4" width="16.13"/>
    <col customWidth="1" min="5" max="5" width="11.75"/>
    <col customWidth="1" min="6" max="6" width="13.25"/>
    <col customWidth="1" min="7" max="7" width="15.63"/>
    <col customWidth="1" min="8" max="8" width="9.88"/>
    <col customWidth="1" min="9" max="9" width="28.38"/>
    <col customWidth="1" min="10" max="18" width="11.25"/>
    <col customWidth="1" min="19" max="42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</row>
    <row r="2" ht="15.0" customHeight="1">
      <c r="A2" s="247"/>
      <c r="C2" s="248"/>
      <c r="D2" s="248"/>
      <c r="E2" s="248"/>
      <c r="F2" s="248"/>
      <c r="G2" s="248"/>
      <c r="H2" s="248"/>
      <c r="I2" s="272"/>
      <c r="J2" s="272"/>
      <c r="K2" s="272"/>
      <c r="L2" s="272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  <c r="AN2" s="249"/>
      <c r="AO2" s="249"/>
      <c r="AP2" s="249"/>
    </row>
    <row r="3" ht="15.75" customHeight="1">
      <c r="A3" s="247"/>
      <c r="C3" s="250" t="s">
        <v>236</v>
      </c>
      <c r="D3" s="248"/>
      <c r="E3" s="248"/>
      <c r="F3" s="248"/>
      <c r="G3" s="248"/>
      <c r="H3" s="248"/>
      <c r="I3" s="273" t="s">
        <v>237</v>
      </c>
      <c r="J3" s="272"/>
      <c r="K3" s="272"/>
      <c r="L3" s="272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  <c r="AN3" s="249"/>
      <c r="AO3" s="249"/>
      <c r="AP3" s="249"/>
    </row>
    <row r="4" ht="12.75" customHeight="1">
      <c r="A4" s="44"/>
      <c r="B4" s="40"/>
      <c r="C4" s="252"/>
      <c r="D4" s="248"/>
      <c r="E4" s="248"/>
      <c r="F4" s="248"/>
      <c r="G4" s="248"/>
      <c r="H4" s="248"/>
      <c r="I4" s="248"/>
      <c r="J4" s="248"/>
      <c r="K4" s="248"/>
      <c r="L4" s="248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  <c r="AN4" s="253"/>
      <c r="AO4" s="253"/>
      <c r="AP4" s="253"/>
    </row>
    <row r="5" ht="12.75" customHeight="1">
      <c r="A5" s="44"/>
      <c r="B5" s="40"/>
      <c r="C5" s="259" t="s">
        <v>226</v>
      </c>
      <c r="D5" s="259">
        <f>+J16</f>
        <v>0</v>
      </c>
      <c r="E5" s="248"/>
      <c r="F5" s="256" t="s">
        <v>238</v>
      </c>
      <c r="G5" s="102"/>
      <c r="H5" s="248"/>
      <c r="I5" s="49" t="s">
        <v>239</v>
      </c>
      <c r="J5" s="49" t="s">
        <v>240</v>
      </c>
      <c r="K5" s="49" t="s">
        <v>241</v>
      </c>
      <c r="L5" s="248"/>
      <c r="M5" s="253"/>
      <c r="N5" s="253"/>
      <c r="O5" s="253"/>
      <c r="P5" s="253"/>
      <c r="Q5" s="253"/>
      <c r="R5" s="253"/>
      <c r="S5" s="253"/>
      <c r="T5" s="253"/>
      <c r="U5" s="253"/>
      <c r="V5" s="274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  <c r="AN5" s="253"/>
      <c r="AO5" s="253"/>
      <c r="AP5" s="253"/>
    </row>
    <row r="6" ht="12.75" customHeight="1">
      <c r="A6" s="44"/>
      <c r="B6" s="40"/>
      <c r="C6" s="259" t="s">
        <v>228</v>
      </c>
      <c r="D6" s="259">
        <f>+K16</f>
        <v>0</v>
      </c>
      <c r="E6" s="248"/>
      <c r="F6" s="260" t="s">
        <v>242</v>
      </c>
      <c r="G6" s="260">
        <f>(COUNT(C10:C14)*(COUNT(C10:C14)+1))/2</f>
        <v>15</v>
      </c>
      <c r="H6" s="248"/>
      <c r="I6" s="275"/>
      <c r="J6" s="276"/>
      <c r="K6" s="276"/>
      <c r="L6" s="248"/>
      <c r="M6" s="253"/>
      <c r="N6" s="253"/>
      <c r="O6" s="253"/>
      <c r="P6" s="253"/>
      <c r="Q6" s="253"/>
      <c r="R6" s="253"/>
      <c r="S6" s="253"/>
      <c r="T6" s="253"/>
      <c r="U6" s="253"/>
      <c r="V6" s="274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  <c r="AN6" s="253"/>
      <c r="AO6" s="253"/>
      <c r="AP6" s="253"/>
    </row>
    <row r="7" ht="12.75" customHeight="1">
      <c r="A7" s="44"/>
      <c r="B7" s="40"/>
      <c r="C7" s="259" t="s">
        <v>230</v>
      </c>
      <c r="D7" s="259">
        <f>+D5-D6</f>
        <v>0</v>
      </c>
      <c r="E7" s="248"/>
      <c r="F7" s="40"/>
      <c r="G7" s="40"/>
      <c r="H7" s="248"/>
      <c r="I7" s="277"/>
      <c r="J7" s="276"/>
      <c r="K7" s="276"/>
      <c r="L7" s="248"/>
      <c r="M7" s="253"/>
      <c r="N7" s="253"/>
      <c r="O7" s="253"/>
      <c r="P7" s="253"/>
      <c r="Q7" s="253"/>
      <c r="R7" s="253"/>
      <c r="S7" s="253"/>
      <c r="T7" s="253"/>
      <c r="U7" s="253"/>
      <c r="V7" s="274" t="s">
        <v>243</v>
      </c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  <c r="AN7" s="253"/>
      <c r="AO7" s="253"/>
      <c r="AP7" s="253"/>
    </row>
    <row r="8" ht="12.75" customHeight="1">
      <c r="A8" s="44"/>
      <c r="B8" s="40"/>
      <c r="C8" s="248"/>
      <c r="D8" s="248"/>
      <c r="E8" s="40"/>
      <c r="F8" s="40"/>
      <c r="G8" s="40"/>
      <c r="H8" s="40"/>
      <c r="I8" s="277"/>
      <c r="J8" s="276"/>
      <c r="K8" s="276"/>
      <c r="L8" s="248"/>
      <c r="M8" s="253"/>
      <c r="N8" s="253"/>
      <c r="O8" s="253"/>
      <c r="P8" s="253"/>
      <c r="Q8" s="253"/>
      <c r="R8" s="253"/>
      <c r="S8" s="253"/>
      <c r="T8" s="253"/>
      <c r="U8" s="253"/>
      <c r="V8" s="274" t="s">
        <v>244</v>
      </c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  <c r="AN8" s="253"/>
      <c r="AO8" s="253"/>
      <c r="AP8" s="253"/>
    </row>
    <row r="9" ht="25.5" customHeight="1">
      <c r="A9" s="44"/>
      <c r="B9" s="40"/>
      <c r="C9" s="49" t="s">
        <v>231</v>
      </c>
      <c r="D9" s="49" t="s">
        <v>232</v>
      </c>
      <c r="E9" s="278" t="s">
        <v>245</v>
      </c>
      <c r="F9" s="49" t="s">
        <v>234</v>
      </c>
      <c r="G9" s="49" t="s">
        <v>235</v>
      </c>
      <c r="H9" s="262"/>
      <c r="I9" s="277"/>
      <c r="J9" s="276"/>
      <c r="K9" s="276"/>
      <c r="L9" s="248"/>
      <c r="M9" s="253"/>
      <c r="N9" s="253"/>
      <c r="O9" s="253"/>
      <c r="P9" s="253"/>
      <c r="Q9" s="253"/>
      <c r="R9" s="253"/>
      <c r="S9" s="253"/>
      <c r="T9" s="253"/>
      <c r="U9" s="253"/>
      <c r="V9" s="274" t="s">
        <v>246</v>
      </c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  <c r="AN9" s="253"/>
      <c r="AO9" s="253"/>
      <c r="AP9" s="253"/>
    </row>
    <row r="10" ht="13.5" customHeight="1">
      <c r="A10" s="29"/>
      <c r="B10" s="30"/>
      <c r="C10" s="263">
        <v>1.0</v>
      </c>
      <c r="D10" s="259">
        <f>$D$7</f>
        <v>0</v>
      </c>
      <c r="E10" s="279">
        <f>IF($E$9="Definir sistema",0,IF($E$9="Lineal",$C$10/5,IF($E$9="Decreciente",C14/$G$6,C10/$G$6)))</f>
        <v>0</v>
      </c>
      <c r="F10" s="259">
        <f t="shared" ref="F10:F14" si="1">D10*E10</f>
        <v>0</v>
      </c>
      <c r="G10" s="259">
        <f>D5-F10</f>
        <v>0</v>
      </c>
      <c r="H10" s="30"/>
      <c r="I10" s="42"/>
      <c r="J10" s="276"/>
      <c r="K10" s="276"/>
      <c r="L10" s="40"/>
      <c r="M10" s="44"/>
      <c r="N10" s="44"/>
      <c r="O10" s="44"/>
      <c r="P10" s="44"/>
      <c r="Q10" s="44"/>
      <c r="R10" s="44"/>
      <c r="S10" s="29"/>
      <c r="T10" s="29"/>
      <c r="U10" s="29"/>
      <c r="V10" s="280" t="s">
        <v>245</v>
      </c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</row>
    <row r="11" ht="13.5" customHeight="1">
      <c r="A11" s="29"/>
      <c r="B11" s="30"/>
      <c r="C11" s="263">
        <f t="shared" ref="C11:C14" si="2">C10+1</f>
        <v>2</v>
      </c>
      <c r="D11" s="259">
        <f t="shared" ref="D11:D14" si="3">+D10</f>
        <v>0</v>
      </c>
      <c r="E11" s="279">
        <f>IF($E$9="Definir sistema",0,IF($E$9="Lineal",$C$10/5,IF($E$9="Decreciente",C13/$G$6,C11/$G$6)))</f>
        <v>0</v>
      </c>
      <c r="F11" s="259">
        <f t="shared" si="1"/>
        <v>0</v>
      </c>
      <c r="G11" s="259">
        <f>D5-F10-F11</f>
        <v>0</v>
      </c>
      <c r="H11" s="30"/>
      <c r="I11" s="42"/>
      <c r="J11" s="276"/>
      <c r="K11" s="276"/>
      <c r="L11" s="40"/>
      <c r="M11" s="44"/>
      <c r="N11" s="44"/>
      <c r="O11" s="44"/>
      <c r="P11" s="44"/>
      <c r="Q11" s="44"/>
      <c r="R11" s="44"/>
      <c r="S11" s="29"/>
      <c r="T11" s="29"/>
      <c r="U11" s="29"/>
      <c r="V11" s="280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ht="13.5" customHeight="1">
      <c r="A12" s="29"/>
      <c r="B12" s="30"/>
      <c r="C12" s="263">
        <f t="shared" si="2"/>
        <v>3</v>
      </c>
      <c r="D12" s="259">
        <f t="shared" si="3"/>
        <v>0</v>
      </c>
      <c r="E12" s="279">
        <f>IF($E$9="Definir sistema",0,IF($E$9="Lineal",$C$10/5,IF($E$9="Decreciente",C12/$G$6,C12/$G$6)))</f>
        <v>0</v>
      </c>
      <c r="F12" s="259">
        <f t="shared" si="1"/>
        <v>0</v>
      </c>
      <c r="G12" s="259">
        <f>D5-F10-F11-F12</f>
        <v>0</v>
      </c>
      <c r="H12" s="30"/>
      <c r="I12" s="42"/>
      <c r="J12" s="276"/>
      <c r="K12" s="276"/>
      <c r="L12" s="40"/>
      <c r="M12" s="44"/>
      <c r="N12" s="44"/>
      <c r="O12" s="44"/>
      <c r="P12" s="44"/>
      <c r="Q12" s="44"/>
      <c r="R12" s="44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ht="13.5" customHeight="1">
      <c r="A13" s="29"/>
      <c r="B13" s="30"/>
      <c r="C13" s="263">
        <f t="shared" si="2"/>
        <v>4</v>
      </c>
      <c r="D13" s="259">
        <f t="shared" si="3"/>
        <v>0</v>
      </c>
      <c r="E13" s="279">
        <f>IF($E$9="Definir sistema",0,IF($E$9="Lineal",$C$10/5,IF($E$9="Decreciente",C11/$G$6,C13/$G$6)))</f>
        <v>0</v>
      </c>
      <c r="F13" s="259">
        <f t="shared" si="1"/>
        <v>0</v>
      </c>
      <c r="G13" s="259">
        <f>D5-F10-F11-F12-F13</f>
        <v>0</v>
      </c>
      <c r="H13" s="30"/>
      <c r="I13" s="42"/>
      <c r="J13" s="276"/>
      <c r="K13" s="276"/>
      <c r="L13" s="40"/>
      <c r="M13" s="44"/>
      <c r="N13" s="44"/>
      <c r="O13" s="44"/>
      <c r="P13" s="44"/>
      <c r="Q13" s="44"/>
      <c r="R13" s="44"/>
      <c r="S13" s="29"/>
      <c r="T13" s="29"/>
      <c r="U13" s="29"/>
      <c r="V13" s="280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ht="13.5" customHeight="1">
      <c r="A14" s="29"/>
      <c r="B14" s="30"/>
      <c r="C14" s="263">
        <f t="shared" si="2"/>
        <v>5</v>
      </c>
      <c r="D14" s="259">
        <f t="shared" si="3"/>
        <v>0</v>
      </c>
      <c r="E14" s="279">
        <f>IF($E$9="Definir sistema",0,IF($E$9="Lineal",$C$10/5,IF($E$9="Decreciente",C10/$G$6,C14/$G$6)))</f>
        <v>0</v>
      </c>
      <c r="F14" s="259">
        <f t="shared" si="1"/>
        <v>0</v>
      </c>
      <c r="G14" s="259">
        <f>D5-F10-F11-F12-F13-F14</f>
        <v>0</v>
      </c>
      <c r="H14" s="30"/>
      <c r="I14" s="42"/>
      <c r="J14" s="276"/>
      <c r="K14" s="276"/>
      <c r="L14" s="40"/>
      <c r="M14" s="44"/>
      <c r="N14" s="44"/>
      <c r="O14" s="44"/>
      <c r="P14" s="44"/>
      <c r="Q14" s="44"/>
      <c r="R14" s="44"/>
      <c r="S14" s="29"/>
      <c r="T14" s="29"/>
      <c r="U14" s="29"/>
      <c r="V14" s="280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ht="13.5" customHeight="1">
      <c r="A15" s="29"/>
      <c r="B15" s="30"/>
      <c r="C15" s="40"/>
      <c r="D15" s="265" t="s">
        <v>232</v>
      </c>
      <c r="E15" s="281">
        <f t="shared" ref="E15:F15" si="4">SUM(E10:E14)</f>
        <v>0</v>
      </c>
      <c r="F15" s="267">
        <f t="shared" si="4"/>
        <v>0</v>
      </c>
      <c r="G15" s="268">
        <f>+G14-D6</f>
        <v>0</v>
      </c>
      <c r="H15" s="30"/>
      <c r="I15" s="42"/>
      <c r="J15" s="276"/>
      <c r="K15" s="276"/>
      <c r="L15" s="40"/>
      <c r="M15" s="44"/>
      <c r="N15" s="44"/>
      <c r="O15" s="44"/>
      <c r="P15" s="44"/>
      <c r="Q15" s="44"/>
      <c r="R15" s="44"/>
      <c r="S15" s="29"/>
      <c r="T15" s="29"/>
      <c r="U15" s="29"/>
      <c r="V15" s="280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ht="14.25" customHeight="1">
      <c r="A16" s="29"/>
      <c r="B16" s="30"/>
      <c r="C16" s="40"/>
      <c r="D16" s="40"/>
      <c r="E16" s="40"/>
      <c r="F16" s="40"/>
      <c r="G16" s="40"/>
      <c r="H16" s="40"/>
      <c r="I16" s="248"/>
      <c r="J16" s="78">
        <f t="shared" ref="J16:K16" si="5">SUM(J6:J15)</f>
        <v>0</v>
      </c>
      <c r="K16" s="78">
        <f t="shared" si="5"/>
        <v>0</v>
      </c>
      <c r="L16" s="40"/>
      <c r="M16" s="44"/>
      <c r="N16" s="44"/>
      <c r="O16" s="44"/>
      <c r="P16" s="44"/>
      <c r="Q16" s="44"/>
      <c r="R16" s="44"/>
      <c r="S16" s="29"/>
      <c r="T16" s="29"/>
      <c r="U16" s="29"/>
      <c r="V16" s="280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ht="14.25" customHeight="1">
      <c r="A17" s="29"/>
      <c r="B17" s="30"/>
      <c r="C17" s="40"/>
      <c r="D17" s="40"/>
      <c r="E17" s="40"/>
      <c r="F17" s="40"/>
      <c r="G17" s="40"/>
      <c r="H17" s="40"/>
      <c r="I17" s="248"/>
      <c r="J17" s="248"/>
      <c r="K17" s="248"/>
      <c r="L17" s="40"/>
      <c r="M17" s="44"/>
      <c r="N17" s="44"/>
      <c r="O17" s="44"/>
      <c r="P17" s="44"/>
      <c r="Q17" s="44"/>
      <c r="R17" s="44"/>
      <c r="S17" s="29"/>
      <c r="T17" s="29"/>
      <c r="U17" s="29"/>
      <c r="V17" s="280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ht="14.25" customHeight="1">
      <c r="A18" s="29"/>
      <c r="B18" s="30"/>
      <c r="C18" s="40"/>
      <c r="D18" s="40"/>
      <c r="E18" s="40"/>
      <c r="F18" s="40"/>
      <c r="G18" s="40"/>
      <c r="H18" s="40"/>
      <c r="I18" s="248"/>
      <c r="J18" s="248"/>
      <c r="K18" s="248"/>
      <c r="L18" s="40"/>
      <c r="M18" s="44"/>
      <c r="N18" s="44"/>
      <c r="O18" s="44"/>
      <c r="P18" s="44"/>
      <c r="Q18" s="44"/>
      <c r="R18" s="44"/>
      <c r="S18" s="29"/>
      <c r="T18" s="29"/>
      <c r="U18" s="29"/>
      <c r="V18" s="280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ht="14.25" customHeight="1">
      <c r="A19" s="29"/>
      <c r="B19" s="30"/>
      <c r="C19" s="40"/>
      <c r="D19" s="40"/>
      <c r="E19" s="40"/>
      <c r="F19" s="40"/>
      <c r="G19" s="40"/>
      <c r="H19" s="40"/>
      <c r="I19" s="248"/>
      <c r="J19" s="248"/>
      <c r="K19" s="248"/>
      <c r="L19" s="40"/>
      <c r="M19" s="44"/>
      <c r="N19" s="44"/>
      <c r="O19" s="44"/>
      <c r="P19" s="44"/>
      <c r="Q19" s="44"/>
      <c r="R19" s="44"/>
      <c r="S19" s="29"/>
      <c r="T19" s="29"/>
      <c r="U19" s="29"/>
      <c r="V19" s="280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ht="14.25" customHeight="1">
      <c r="A20" s="29"/>
      <c r="B20" s="30"/>
      <c r="C20" s="40"/>
      <c r="D20" s="40"/>
      <c r="E20" s="40"/>
      <c r="F20" s="40"/>
      <c r="G20" s="40"/>
      <c r="H20" s="40"/>
      <c r="I20" s="248"/>
      <c r="J20" s="248"/>
      <c r="K20" s="248"/>
      <c r="L20" s="40"/>
      <c r="M20" s="44"/>
      <c r="N20" s="44"/>
      <c r="O20" s="44"/>
      <c r="P20" s="44"/>
      <c r="Q20" s="44"/>
      <c r="R20" s="44"/>
      <c r="S20" s="29"/>
      <c r="T20" s="29"/>
      <c r="U20" s="29"/>
      <c r="V20" s="280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ht="14.25" customHeight="1">
      <c r="A21" s="29"/>
      <c r="B21" s="29"/>
      <c r="C21" s="44"/>
      <c r="D21" s="44"/>
      <c r="E21" s="44"/>
      <c r="F21" s="44"/>
      <c r="G21" s="44"/>
      <c r="H21" s="29"/>
      <c r="I21" s="29"/>
      <c r="J21" s="29"/>
      <c r="K21" s="29"/>
      <c r="L21" s="29"/>
      <c r="M21" s="44"/>
      <c r="N21" s="44"/>
      <c r="O21" s="44"/>
      <c r="P21" s="44"/>
      <c r="Q21" s="44"/>
      <c r="R21" s="44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ht="14.25" customHeight="1">
      <c r="A22" s="29"/>
      <c r="B22" s="257"/>
      <c r="C22" s="44"/>
      <c r="D22" s="44"/>
      <c r="E22" s="44"/>
      <c r="F22" s="44"/>
      <c r="G22" s="44"/>
      <c r="H22" s="29"/>
      <c r="I22" s="29"/>
      <c r="J22" s="29"/>
      <c r="K22" s="29"/>
      <c r="L22" s="29"/>
      <c r="M22" s="44"/>
      <c r="N22" s="44"/>
      <c r="O22" s="44"/>
      <c r="P22" s="44"/>
      <c r="Q22" s="44"/>
      <c r="R22" s="4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ht="14.25" customHeight="1">
      <c r="A23" s="29"/>
      <c r="B23" s="29"/>
      <c r="C23" s="44"/>
      <c r="D23" s="44"/>
      <c r="E23" s="44"/>
      <c r="F23" s="44"/>
      <c r="G23" s="44"/>
      <c r="H23" s="29"/>
      <c r="I23" s="29"/>
      <c r="J23" s="29"/>
      <c r="K23" s="29"/>
      <c r="L23" s="29"/>
      <c r="M23" s="44"/>
      <c r="N23" s="44"/>
      <c r="O23" s="44"/>
      <c r="P23" s="44"/>
      <c r="Q23" s="44"/>
      <c r="R23" s="44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ht="14.25" customHeight="1">
      <c r="A24" s="29"/>
      <c r="B24" s="29"/>
      <c r="C24" s="44"/>
      <c r="D24" s="44"/>
      <c r="E24" s="44"/>
      <c r="F24" s="44"/>
      <c r="G24" s="44"/>
      <c r="H24" s="29"/>
      <c r="I24" s="29"/>
      <c r="J24" s="29"/>
      <c r="K24" s="29"/>
      <c r="L24" s="29"/>
      <c r="M24" s="44"/>
      <c r="N24" s="44"/>
      <c r="O24" s="44"/>
      <c r="P24" s="44"/>
      <c r="Q24" s="44"/>
      <c r="R24" s="44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</row>
  </sheetData>
  <mergeCells count="1">
    <mergeCell ref="F5:G5"/>
  </mergeCells>
  <dataValidations>
    <dataValidation type="list" allowBlank="1" showInputMessage="1" showErrorMessage="1" prompt=" - " sqref="E9">
      <formula1>$V$7:$V$10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75"/>
    <col customWidth="1" min="3" max="3" width="16.88"/>
    <col customWidth="1" min="4" max="4" width="16.13"/>
    <col customWidth="1" min="5" max="6" width="12.13"/>
    <col customWidth="1" min="7" max="7" width="15.63"/>
    <col customWidth="1" min="8" max="8" width="9.88"/>
    <col customWidth="1" min="9" max="9" width="28.38"/>
    <col customWidth="1" min="10" max="10" width="12.13"/>
    <col customWidth="1" min="11" max="18" width="11.25"/>
    <col customWidth="1" min="19" max="36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</row>
    <row r="2" ht="15.0" customHeight="1">
      <c r="A2" s="247"/>
      <c r="C2" s="248"/>
      <c r="D2" s="248"/>
      <c r="E2" s="248"/>
      <c r="F2" s="248"/>
      <c r="G2" s="248"/>
      <c r="H2" s="248"/>
      <c r="I2" s="272"/>
      <c r="J2" s="272"/>
      <c r="K2" s="272"/>
      <c r="L2" s="272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</row>
    <row r="3" ht="15.75" customHeight="1">
      <c r="A3" s="247"/>
      <c r="C3" s="250" t="s">
        <v>247</v>
      </c>
      <c r="D3" s="248"/>
      <c r="E3" s="248"/>
      <c r="F3" s="248"/>
      <c r="G3" s="248"/>
      <c r="H3" s="248"/>
      <c r="I3" s="273" t="s">
        <v>248</v>
      </c>
      <c r="J3" s="272"/>
      <c r="K3" s="272"/>
      <c r="L3" s="272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</row>
    <row r="4" ht="12.75" customHeight="1">
      <c r="A4" s="44"/>
      <c r="B4" s="40"/>
      <c r="C4" s="252"/>
      <c r="D4" s="248"/>
      <c r="E4" s="248"/>
      <c r="F4" s="248"/>
      <c r="G4" s="248"/>
      <c r="H4" s="248"/>
      <c r="I4" s="248"/>
      <c r="J4" s="248"/>
      <c r="K4" s="248"/>
      <c r="L4" s="248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</row>
    <row r="5" ht="12.75" customHeight="1">
      <c r="A5" s="44"/>
      <c r="B5" s="40"/>
      <c r="C5" s="259" t="s">
        <v>226</v>
      </c>
      <c r="D5" s="259">
        <f>+J16</f>
        <v>0</v>
      </c>
      <c r="E5" s="248"/>
      <c r="F5" s="256" t="s">
        <v>238</v>
      </c>
      <c r="G5" s="102"/>
      <c r="H5" s="248"/>
      <c r="I5" s="49" t="s">
        <v>249</v>
      </c>
      <c r="J5" s="49" t="s">
        <v>240</v>
      </c>
      <c r="K5" s="49" t="s">
        <v>241</v>
      </c>
      <c r="L5" s="248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</row>
    <row r="6" ht="12.75" customHeight="1">
      <c r="A6" s="44"/>
      <c r="B6" s="40"/>
      <c r="C6" s="259" t="s">
        <v>228</v>
      </c>
      <c r="D6" s="259">
        <f>+K16</f>
        <v>0</v>
      </c>
      <c r="E6" s="248"/>
      <c r="F6" s="260" t="s">
        <v>229</v>
      </c>
      <c r="G6" s="260">
        <f>(COUNT(C10:C14)*(COUNT(C10:C14)+1))/2</f>
        <v>15</v>
      </c>
      <c r="H6" s="248"/>
      <c r="I6" s="277"/>
      <c r="J6" s="276"/>
      <c r="K6" s="276"/>
      <c r="L6" s="248"/>
      <c r="M6" s="253"/>
      <c r="N6" s="253"/>
      <c r="O6" s="253"/>
      <c r="P6" s="274"/>
      <c r="Q6" s="253"/>
      <c r="R6" s="253"/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</row>
    <row r="7" ht="12.75" customHeight="1">
      <c r="A7" s="44"/>
      <c r="B7" s="40"/>
      <c r="C7" s="259" t="s">
        <v>230</v>
      </c>
      <c r="D7" s="259">
        <f>+D5-D6</f>
        <v>0</v>
      </c>
      <c r="E7" s="248"/>
      <c r="F7" s="40"/>
      <c r="G7" s="40"/>
      <c r="H7" s="248"/>
      <c r="I7" s="277"/>
      <c r="J7" s="276"/>
      <c r="K7" s="276"/>
      <c r="L7" s="248"/>
      <c r="M7" s="253"/>
      <c r="N7" s="253"/>
      <c r="O7" s="253"/>
      <c r="P7" s="274" t="s">
        <v>243</v>
      </c>
      <c r="Q7" s="253"/>
      <c r="R7" s="253"/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</row>
    <row r="8" ht="12.75" customHeight="1">
      <c r="A8" s="44"/>
      <c r="B8" s="40"/>
      <c r="C8" s="248"/>
      <c r="D8" s="248"/>
      <c r="E8" s="40"/>
      <c r="F8" s="40"/>
      <c r="G8" s="40"/>
      <c r="H8" s="40"/>
      <c r="I8" s="277"/>
      <c r="J8" s="276"/>
      <c r="K8" s="276"/>
      <c r="L8" s="248"/>
      <c r="M8" s="253"/>
      <c r="N8" s="253"/>
      <c r="O8" s="253"/>
      <c r="P8" s="274" t="s">
        <v>244</v>
      </c>
      <c r="Q8" s="253"/>
      <c r="R8" s="253"/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</row>
    <row r="9" ht="25.5" customHeight="1">
      <c r="A9" s="44"/>
      <c r="B9" s="40"/>
      <c r="C9" s="49" t="s">
        <v>231</v>
      </c>
      <c r="D9" s="49" t="s">
        <v>232</v>
      </c>
      <c r="E9" s="278" t="s">
        <v>245</v>
      </c>
      <c r="F9" s="49" t="s">
        <v>234</v>
      </c>
      <c r="G9" s="49" t="s">
        <v>235</v>
      </c>
      <c r="H9" s="262"/>
      <c r="I9" s="277"/>
      <c r="J9" s="276"/>
      <c r="K9" s="276"/>
      <c r="L9" s="248"/>
      <c r="M9" s="253"/>
      <c r="N9" s="253"/>
      <c r="O9" s="253"/>
      <c r="P9" s="274" t="s">
        <v>246</v>
      </c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</row>
    <row r="10" ht="13.5" customHeight="1">
      <c r="A10" s="29"/>
      <c r="B10" s="30"/>
      <c r="C10" s="263">
        <v>1.0</v>
      </c>
      <c r="D10" s="259">
        <f>$D$7</f>
        <v>0</v>
      </c>
      <c r="E10" s="279">
        <f>IF($E$9="Definir sistema",0,IF($E$9="Lineal",$C$10/5,IF($E$9="Decreciente",C14/$G$6,C10/$G$6)))</f>
        <v>0</v>
      </c>
      <c r="F10" s="259">
        <f t="shared" ref="F10:F14" si="1">D10*E10</f>
        <v>0</v>
      </c>
      <c r="G10" s="208">
        <f>D5-F10</f>
        <v>0</v>
      </c>
      <c r="H10" s="30"/>
      <c r="I10" s="42"/>
      <c r="J10" s="276"/>
      <c r="K10" s="276"/>
      <c r="L10" s="40"/>
      <c r="M10" s="44"/>
      <c r="N10" s="44"/>
      <c r="O10" s="44"/>
      <c r="P10" s="280" t="s">
        <v>245</v>
      </c>
      <c r="Q10" s="44"/>
      <c r="R10" s="4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</row>
    <row r="11" ht="13.5" customHeight="1">
      <c r="A11" s="29"/>
      <c r="B11" s="30"/>
      <c r="C11" s="263">
        <f t="shared" ref="C11:C14" si="2">C10+1</f>
        <v>2</v>
      </c>
      <c r="D11" s="259">
        <f t="shared" ref="D11:D14" si="3">+D10</f>
        <v>0</v>
      </c>
      <c r="E11" s="279">
        <f>IF($E$9="Definir sistema",0,IF($E$9="Lineal",$C$10/5,IF($E$9="Decreciente",C13/$G$6,C11/$G$6)))</f>
        <v>0</v>
      </c>
      <c r="F11" s="259">
        <f t="shared" si="1"/>
        <v>0</v>
      </c>
      <c r="G11" s="208">
        <f>D5-F10-F11</f>
        <v>0</v>
      </c>
      <c r="H11" s="30"/>
      <c r="I11" s="42"/>
      <c r="J11" s="276"/>
      <c r="K11" s="276"/>
      <c r="L11" s="40"/>
      <c r="M11" s="44"/>
      <c r="N11" s="44"/>
      <c r="O11" s="44"/>
      <c r="P11" s="280"/>
      <c r="Q11" s="44"/>
      <c r="R11" s="4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13.5" customHeight="1">
      <c r="A12" s="29"/>
      <c r="B12" s="30"/>
      <c r="C12" s="263">
        <f t="shared" si="2"/>
        <v>3</v>
      </c>
      <c r="D12" s="259">
        <f t="shared" si="3"/>
        <v>0</v>
      </c>
      <c r="E12" s="279">
        <f>IF($E$9="Definir sistema",0,IF($E$9="Lineal",$C$10/5,IF($E$9="Decreciente",C12/$G$6,C12/$G$6)))</f>
        <v>0</v>
      </c>
      <c r="F12" s="259">
        <f t="shared" si="1"/>
        <v>0</v>
      </c>
      <c r="G12" s="208">
        <f>D5-F10-F11-F12</f>
        <v>0</v>
      </c>
      <c r="H12" s="30"/>
      <c r="I12" s="42"/>
      <c r="J12" s="276"/>
      <c r="K12" s="276"/>
      <c r="L12" s="40"/>
      <c r="M12" s="44"/>
      <c r="N12" s="44"/>
      <c r="O12" s="44"/>
      <c r="P12" s="280"/>
      <c r="Q12" s="44"/>
      <c r="R12" s="44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</row>
    <row r="13" ht="13.5" customHeight="1">
      <c r="A13" s="29"/>
      <c r="B13" s="30"/>
      <c r="C13" s="263">
        <f t="shared" si="2"/>
        <v>4</v>
      </c>
      <c r="D13" s="259">
        <f t="shared" si="3"/>
        <v>0</v>
      </c>
      <c r="E13" s="279">
        <f>IF($E$9="Definir sistema",0,IF($E$9="Lineal",$C$10/5,IF($E$9="Decreciente",C11/$G$6,C13/$G$6)))</f>
        <v>0</v>
      </c>
      <c r="F13" s="259">
        <f t="shared" si="1"/>
        <v>0</v>
      </c>
      <c r="G13" s="208">
        <f>D5-F10-F11-F12-F13</f>
        <v>0</v>
      </c>
      <c r="H13" s="30"/>
      <c r="I13" s="42"/>
      <c r="J13" s="276"/>
      <c r="K13" s="276"/>
      <c r="L13" s="40"/>
      <c r="M13" s="44"/>
      <c r="N13" s="44"/>
      <c r="O13" s="44"/>
      <c r="P13" s="280"/>
      <c r="Q13" s="44"/>
      <c r="R13" s="44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</row>
    <row r="14" ht="13.5" customHeight="1">
      <c r="A14" s="29"/>
      <c r="B14" s="30"/>
      <c r="C14" s="263">
        <f t="shared" si="2"/>
        <v>5</v>
      </c>
      <c r="D14" s="259">
        <f t="shared" si="3"/>
        <v>0</v>
      </c>
      <c r="E14" s="279">
        <f>IF($E$9="Definir sistema",0,IF($E$9="Lineal",$C$10/5,IF($E$9="Decreciente",C10/$G$6,C14/$G$6)))</f>
        <v>0</v>
      </c>
      <c r="F14" s="259">
        <f t="shared" si="1"/>
        <v>0</v>
      </c>
      <c r="G14" s="208">
        <f>D5-F10-F11-F12-F13-F14</f>
        <v>0</v>
      </c>
      <c r="H14" s="30"/>
      <c r="I14" s="42"/>
      <c r="J14" s="276"/>
      <c r="K14" s="276"/>
      <c r="L14" s="40"/>
      <c r="M14" s="44"/>
      <c r="N14" s="44"/>
      <c r="O14" s="44"/>
      <c r="P14" s="280"/>
      <c r="Q14" s="44"/>
      <c r="R14" s="44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</row>
    <row r="15" ht="13.5" customHeight="1">
      <c r="A15" s="29"/>
      <c r="B15" s="30"/>
      <c r="C15" s="40"/>
      <c r="D15" s="265" t="s">
        <v>232</v>
      </c>
      <c r="E15" s="281">
        <f t="shared" ref="E15:F15" si="4">SUM(E10:E14)</f>
        <v>0</v>
      </c>
      <c r="F15" s="267">
        <f t="shared" si="4"/>
        <v>0</v>
      </c>
      <c r="G15" s="268">
        <f>+G14-D6</f>
        <v>0</v>
      </c>
      <c r="H15" s="30"/>
      <c r="I15" s="42"/>
      <c r="J15" s="276"/>
      <c r="K15" s="276"/>
      <c r="L15" s="40"/>
      <c r="M15" s="44"/>
      <c r="N15" s="44"/>
      <c r="O15" s="44"/>
      <c r="P15" s="44"/>
      <c r="Q15" s="44"/>
      <c r="R15" s="44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</row>
    <row r="16" ht="14.25" customHeight="1">
      <c r="A16" s="29"/>
      <c r="B16" s="30"/>
      <c r="C16" s="40"/>
      <c r="D16" s="40"/>
      <c r="E16" s="40"/>
      <c r="F16" s="40"/>
      <c r="G16" s="40"/>
      <c r="H16" s="40"/>
      <c r="I16" s="248"/>
      <c r="J16" s="78">
        <f t="shared" ref="J16:K16" si="5">SUM(J6:J15)</f>
        <v>0</v>
      </c>
      <c r="K16" s="78">
        <f t="shared" si="5"/>
        <v>0</v>
      </c>
      <c r="L16" s="40"/>
      <c r="M16" s="44"/>
      <c r="N16" s="44"/>
      <c r="O16" s="44"/>
      <c r="P16" s="44"/>
      <c r="Q16" s="44"/>
      <c r="R16" s="44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</row>
    <row r="17" ht="14.25" customHeight="1">
      <c r="A17" s="29"/>
      <c r="B17" s="30"/>
      <c r="C17" s="40"/>
      <c r="D17" s="40"/>
      <c r="E17" s="40"/>
      <c r="F17" s="40"/>
      <c r="G17" s="40"/>
      <c r="H17" s="40"/>
      <c r="I17" s="248"/>
      <c r="J17" s="248"/>
      <c r="K17" s="248"/>
      <c r="L17" s="40"/>
      <c r="M17" s="44"/>
      <c r="N17" s="44"/>
      <c r="O17" s="44"/>
      <c r="P17" s="44"/>
      <c r="Q17" s="44"/>
      <c r="R17" s="4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</row>
    <row r="18" ht="14.25" customHeight="1">
      <c r="A18" s="29"/>
      <c r="B18" s="30"/>
      <c r="C18" s="40"/>
      <c r="D18" s="40"/>
      <c r="E18" s="40"/>
      <c r="F18" s="40"/>
      <c r="G18" s="40"/>
      <c r="H18" s="40"/>
      <c r="I18" s="248"/>
      <c r="J18" s="248"/>
      <c r="K18" s="248"/>
      <c r="L18" s="40"/>
      <c r="M18" s="44"/>
      <c r="N18" s="44"/>
      <c r="O18" s="44"/>
      <c r="P18" s="44"/>
      <c r="Q18" s="44"/>
      <c r="R18" s="4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</row>
    <row r="19" ht="14.25" customHeight="1">
      <c r="A19" s="29"/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4"/>
      <c r="N19" s="44"/>
      <c r="O19" s="44"/>
      <c r="P19" s="44"/>
      <c r="Q19" s="44"/>
      <c r="R19" s="4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</row>
    <row r="20" ht="14.25" customHeight="1">
      <c r="A20" s="29"/>
      <c r="B20" s="29"/>
      <c r="C20" s="44"/>
      <c r="D20" s="44"/>
      <c r="E20" s="44"/>
      <c r="F20" s="44"/>
      <c r="G20" s="44"/>
      <c r="H20" s="29"/>
      <c r="I20" s="29"/>
      <c r="J20" s="29"/>
      <c r="K20" s="29"/>
      <c r="L20" s="29"/>
      <c r="M20" s="44"/>
      <c r="N20" s="44"/>
      <c r="O20" s="44"/>
      <c r="P20" s="44"/>
      <c r="Q20" s="44"/>
      <c r="R20" s="44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</row>
    <row r="21" ht="14.25" customHeight="1">
      <c r="A21" s="29"/>
      <c r="B21" s="257"/>
      <c r="C21" s="29"/>
      <c r="D21" s="44"/>
      <c r="E21" s="44"/>
      <c r="F21" s="44"/>
      <c r="G21" s="44"/>
      <c r="H21" s="29"/>
      <c r="I21" s="29"/>
      <c r="J21" s="29"/>
      <c r="K21" s="29"/>
      <c r="L21" s="29"/>
      <c r="M21" s="44"/>
      <c r="N21" s="44"/>
      <c r="O21" s="44"/>
      <c r="P21" s="44"/>
      <c r="Q21" s="44"/>
      <c r="R21" s="44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</row>
    <row r="22" ht="14.25" customHeight="1">
      <c r="A22" s="29"/>
      <c r="B22" s="29"/>
      <c r="C22" s="44"/>
      <c r="D22" s="44"/>
      <c r="E22" s="44"/>
      <c r="F22" s="44"/>
      <c r="G22" s="44"/>
      <c r="H22" s="29"/>
      <c r="I22" s="29"/>
      <c r="J22" s="29"/>
      <c r="K22" s="29"/>
      <c r="L22" s="29"/>
      <c r="M22" s="44"/>
      <c r="N22" s="44"/>
      <c r="O22" s="44"/>
      <c r="P22" s="44"/>
      <c r="Q22" s="44"/>
      <c r="R22" s="4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</row>
    <row r="23" ht="14.25" customHeight="1">
      <c r="A23" s="29"/>
      <c r="B23" s="29"/>
      <c r="C23" s="44"/>
      <c r="D23" s="44"/>
      <c r="E23" s="44"/>
      <c r="F23" s="44"/>
      <c r="G23" s="44"/>
      <c r="H23" s="29"/>
      <c r="I23" s="29"/>
      <c r="J23" s="29"/>
      <c r="K23" s="29"/>
      <c r="L23" s="29"/>
      <c r="M23" s="44"/>
      <c r="N23" s="44"/>
      <c r="O23" s="44"/>
      <c r="P23" s="44"/>
      <c r="Q23" s="44"/>
      <c r="R23" s="44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</row>
  </sheetData>
  <mergeCells count="1">
    <mergeCell ref="F5:G5"/>
  </mergeCells>
  <dataValidations>
    <dataValidation type="list" allowBlank="1" showInputMessage="1" showErrorMessage="1" prompt=" - " sqref="E9">
      <formula1>$P$7:$P$10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75"/>
    <col customWidth="1" min="3" max="4" width="15.75"/>
    <col customWidth="1" min="5" max="5" width="11.88"/>
    <col customWidth="1" min="6" max="6" width="11.13"/>
    <col customWidth="1" min="8" max="8" width="12.0"/>
    <col customWidth="1" min="9" max="9" width="35.63"/>
    <col customWidth="1" min="10" max="18" width="11.25"/>
    <col customWidth="1" min="19" max="38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ht="15.0" customHeight="1">
      <c r="A2" s="247"/>
      <c r="C2" s="248"/>
      <c r="D2" s="248"/>
      <c r="E2" s="248"/>
      <c r="F2" s="248"/>
      <c r="G2" s="248"/>
      <c r="H2" s="248"/>
      <c r="I2" s="272"/>
      <c r="J2" s="272"/>
      <c r="K2" s="272"/>
      <c r="L2" s="272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</row>
    <row r="3" ht="18.75" customHeight="1">
      <c r="A3" s="247"/>
      <c r="C3" s="282" t="s">
        <v>250</v>
      </c>
      <c r="D3" s="248"/>
      <c r="E3" s="248"/>
      <c r="F3" s="248"/>
      <c r="G3" s="248"/>
      <c r="H3" s="248"/>
      <c r="I3" s="273" t="s">
        <v>251</v>
      </c>
      <c r="J3" s="272"/>
      <c r="K3" s="272"/>
      <c r="L3" s="272"/>
      <c r="M3" s="249"/>
      <c r="N3" s="249"/>
      <c r="O3" s="249"/>
      <c r="P3" s="249"/>
      <c r="Q3" s="249"/>
      <c r="R3" s="249"/>
      <c r="S3" s="249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</row>
    <row r="4" ht="12.75" customHeight="1">
      <c r="A4" s="44"/>
      <c r="B4" s="40"/>
      <c r="C4" s="252"/>
      <c r="D4" s="248"/>
      <c r="E4" s="248"/>
      <c r="F4" s="248"/>
      <c r="G4" s="248"/>
      <c r="H4" s="248"/>
      <c r="I4" s="248"/>
      <c r="J4" s="248"/>
      <c r="K4" s="248"/>
      <c r="L4" s="248"/>
      <c r="M4" s="253"/>
      <c r="N4" s="253"/>
      <c r="O4" s="253"/>
      <c r="P4" s="253"/>
      <c r="Q4" s="253"/>
      <c r="R4" s="274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</row>
    <row r="5" ht="12.75" customHeight="1">
      <c r="A5" s="44"/>
      <c r="B5" s="40"/>
      <c r="C5" s="259" t="s">
        <v>226</v>
      </c>
      <c r="D5" s="259">
        <f>+J16</f>
        <v>0</v>
      </c>
      <c r="E5" s="248"/>
      <c r="F5" s="256" t="s">
        <v>252</v>
      </c>
      <c r="G5" s="102"/>
      <c r="H5" s="248"/>
      <c r="I5" s="49" t="s">
        <v>253</v>
      </c>
      <c r="J5" s="49" t="s">
        <v>240</v>
      </c>
      <c r="K5" s="49" t="s">
        <v>241</v>
      </c>
      <c r="L5" s="248"/>
      <c r="M5" s="253"/>
      <c r="N5" s="253"/>
      <c r="O5" s="253"/>
      <c r="P5" s="253"/>
      <c r="Q5" s="253"/>
      <c r="R5" s="274" t="s">
        <v>243</v>
      </c>
      <c r="S5" s="253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</row>
    <row r="6" ht="12.75" customHeight="1">
      <c r="A6" s="44"/>
      <c r="B6" s="40"/>
      <c r="C6" s="259" t="s">
        <v>228</v>
      </c>
      <c r="D6" s="259">
        <f>+K16</f>
        <v>0</v>
      </c>
      <c r="E6" s="248"/>
      <c r="F6" s="260" t="s">
        <v>229</v>
      </c>
      <c r="G6" s="261">
        <f>(COUNT(C10:C12)*(COUNT(C10:C12)+1))/2</f>
        <v>6</v>
      </c>
      <c r="H6" s="248"/>
      <c r="I6" s="277"/>
      <c r="J6" s="276"/>
      <c r="K6" s="276"/>
      <c r="L6" s="248"/>
      <c r="M6" s="253"/>
      <c r="N6" s="253"/>
      <c r="O6" s="253"/>
      <c r="P6" s="253"/>
      <c r="Q6" s="253"/>
      <c r="R6" s="274" t="s">
        <v>244</v>
      </c>
      <c r="S6" s="253"/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</row>
    <row r="7" ht="12.75" customHeight="1">
      <c r="A7" s="44"/>
      <c r="B7" s="40"/>
      <c r="C7" s="259" t="s">
        <v>230</v>
      </c>
      <c r="D7" s="259">
        <f>+D5-D6</f>
        <v>0</v>
      </c>
      <c r="E7" s="248"/>
      <c r="F7" s="40"/>
      <c r="G7" s="40"/>
      <c r="H7" s="248"/>
      <c r="I7" s="277"/>
      <c r="J7" s="276"/>
      <c r="K7" s="276"/>
      <c r="L7" s="248"/>
      <c r="M7" s="253"/>
      <c r="N7" s="253"/>
      <c r="O7" s="253"/>
      <c r="P7" s="253"/>
      <c r="Q7" s="253"/>
      <c r="R7" s="274" t="s">
        <v>246</v>
      </c>
      <c r="S7" s="253"/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</row>
    <row r="8" ht="12.75" customHeight="1">
      <c r="A8" s="44"/>
      <c r="B8" s="40"/>
      <c r="C8" s="248"/>
      <c r="D8" s="248"/>
      <c r="E8" s="40"/>
      <c r="F8" s="40"/>
      <c r="G8" s="40"/>
      <c r="H8" s="40"/>
      <c r="I8" s="277"/>
      <c r="J8" s="276"/>
      <c r="K8" s="276"/>
      <c r="L8" s="248"/>
      <c r="M8" s="253"/>
      <c r="N8" s="253"/>
      <c r="O8" s="253"/>
      <c r="P8" s="253"/>
      <c r="Q8" s="253"/>
      <c r="R8" s="274" t="s">
        <v>245</v>
      </c>
      <c r="S8" s="253"/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</row>
    <row r="9" ht="25.5" customHeight="1">
      <c r="A9" s="44"/>
      <c r="B9" s="40"/>
      <c r="C9" s="49" t="s">
        <v>231</v>
      </c>
      <c r="D9" s="49" t="s">
        <v>232</v>
      </c>
      <c r="E9" s="278" t="s">
        <v>245</v>
      </c>
      <c r="F9" s="49" t="s">
        <v>234</v>
      </c>
      <c r="G9" s="49" t="s">
        <v>235</v>
      </c>
      <c r="H9" s="262"/>
      <c r="I9" s="277"/>
      <c r="J9" s="276"/>
      <c r="K9" s="276"/>
      <c r="L9" s="248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</row>
    <row r="10" ht="13.5" customHeight="1">
      <c r="A10" s="29"/>
      <c r="B10" s="30"/>
      <c r="C10" s="263">
        <v>1.0</v>
      </c>
      <c r="D10" s="259">
        <f t="shared" ref="D10:D12" si="1">$D$7</f>
        <v>0</v>
      </c>
      <c r="E10" s="279">
        <f>IF($E$9="Definir sistema",0,IF($E$9="Lineal",$C$10/3,IF($E$9="Decreciente",C12/$G$6,C10/$G$6)))</f>
        <v>0</v>
      </c>
      <c r="F10" s="259">
        <f t="shared" ref="F10:F12" si="2">D10*E10</f>
        <v>0</v>
      </c>
      <c r="G10" s="208">
        <f>+D5-F10</f>
        <v>0</v>
      </c>
      <c r="H10" s="30"/>
      <c r="I10" s="42"/>
      <c r="J10" s="276"/>
      <c r="K10" s="276"/>
      <c r="L10" s="40"/>
      <c r="M10" s="44"/>
      <c r="N10" s="44"/>
      <c r="O10" s="44"/>
      <c r="P10" s="44"/>
      <c r="Q10" s="44"/>
      <c r="R10" s="44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ht="13.5" customHeight="1">
      <c r="A11" s="29"/>
      <c r="B11" s="30"/>
      <c r="C11" s="263">
        <v>2.0</v>
      </c>
      <c r="D11" s="259">
        <f t="shared" si="1"/>
        <v>0</v>
      </c>
      <c r="E11" s="279">
        <f>IF($E$9="Definir sistema",0,IF($E$9="Lineal",$C$10/3,IF($E$9="Decreciente",C11/$G$6,C11/$G$6)))</f>
        <v>0</v>
      </c>
      <c r="F11" s="259">
        <f t="shared" si="2"/>
        <v>0</v>
      </c>
      <c r="G11" s="208">
        <f t="shared" ref="G11:G12" si="3">+G10-F11</f>
        <v>0</v>
      </c>
      <c r="H11" s="30"/>
      <c r="I11" s="42"/>
      <c r="J11" s="276"/>
      <c r="K11" s="276"/>
      <c r="L11" s="40"/>
      <c r="M11" s="44"/>
      <c r="N11" s="44"/>
      <c r="O11" s="44"/>
      <c r="P11" s="44"/>
      <c r="Q11" s="44"/>
      <c r="R11" s="44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 ht="13.5" customHeight="1">
      <c r="A12" s="29"/>
      <c r="B12" s="30"/>
      <c r="C12" s="263">
        <v>3.0</v>
      </c>
      <c r="D12" s="259">
        <f t="shared" si="1"/>
        <v>0</v>
      </c>
      <c r="E12" s="279">
        <f>IF($E$9="Definir sistema",0,IF($E$9="Lineal",$C$10/3,IF($E$9="Decreciente",C10/$G$6,C12/$G$6)))</f>
        <v>0</v>
      </c>
      <c r="F12" s="259">
        <f t="shared" si="2"/>
        <v>0</v>
      </c>
      <c r="G12" s="208">
        <f t="shared" si="3"/>
        <v>0</v>
      </c>
      <c r="H12" s="30"/>
      <c r="I12" s="42"/>
      <c r="J12" s="276"/>
      <c r="K12" s="276"/>
      <c r="L12" s="40"/>
      <c r="M12" s="44"/>
      <c r="N12" s="44"/>
      <c r="O12" s="44"/>
      <c r="P12" s="44"/>
      <c r="Q12" s="44"/>
      <c r="R12" s="44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 ht="13.5" customHeight="1">
      <c r="A13" s="29"/>
      <c r="B13" s="30"/>
      <c r="C13" s="40"/>
      <c r="D13" s="265" t="s">
        <v>232</v>
      </c>
      <c r="E13" s="281">
        <f t="shared" ref="E13:F13" si="4">SUM(E10:E12)</f>
        <v>0</v>
      </c>
      <c r="F13" s="267">
        <f t="shared" si="4"/>
        <v>0</v>
      </c>
      <c r="G13" s="268">
        <f>+G12-D6</f>
        <v>0</v>
      </c>
      <c r="H13" s="30"/>
      <c r="I13" s="42"/>
      <c r="J13" s="276"/>
      <c r="K13" s="276"/>
      <c r="L13" s="40"/>
      <c r="M13" s="44"/>
      <c r="N13" s="44"/>
      <c r="O13" s="44"/>
      <c r="P13" s="44"/>
      <c r="Q13" s="44"/>
      <c r="R13" s="44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 ht="14.25" customHeight="1">
      <c r="A14" s="29"/>
      <c r="B14" s="30"/>
      <c r="C14" s="40"/>
      <c r="D14" s="40"/>
      <c r="E14" s="40"/>
      <c r="F14" s="40"/>
      <c r="G14" s="40"/>
      <c r="H14" s="40"/>
      <c r="I14" s="42"/>
      <c r="J14" s="276"/>
      <c r="K14" s="276"/>
      <c r="L14" s="40"/>
      <c r="M14" s="44"/>
      <c r="N14" s="44"/>
      <c r="O14" s="44"/>
      <c r="P14" s="44"/>
      <c r="Q14" s="44"/>
      <c r="R14" s="44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ht="14.25" customHeight="1">
      <c r="A15" s="29"/>
      <c r="B15" s="30"/>
      <c r="C15" s="40"/>
      <c r="D15" s="40"/>
      <c r="E15" s="248"/>
      <c r="F15" s="40"/>
      <c r="G15" s="40"/>
      <c r="H15" s="40"/>
      <c r="I15" s="42"/>
      <c r="J15" s="276"/>
      <c r="K15" s="276"/>
      <c r="L15" s="40"/>
      <c r="M15" s="44"/>
      <c r="N15" s="44"/>
      <c r="O15" s="44"/>
      <c r="P15" s="44"/>
      <c r="Q15" s="44"/>
      <c r="R15" s="44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ht="14.25" customHeight="1">
      <c r="A16" s="29"/>
      <c r="B16" s="30"/>
      <c r="C16" s="40"/>
      <c r="D16" s="40"/>
      <c r="E16" s="40"/>
      <c r="F16" s="40"/>
      <c r="G16" s="40"/>
      <c r="H16" s="40"/>
      <c r="I16" s="248"/>
      <c r="J16" s="78">
        <f t="shared" ref="J16:K16" si="5">SUM(J6:J15)</f>
        <v>0</v>
      </c>
      <c r="K16" s="78">
        <f t="shared" si="5"/>
        <v>0</v>
      </c>
      <c r="L16" s="40"/>
      <c r="M16" s="44"/>
      <c r="N16" s="44"/>
      <c r="O16" s="44"/>
      <c r="P16" s="44"/>
      <c r="Q16" s="44"/>
      <c r="R16" s="44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ht="14.25" customHeight="1">
      <c r="A17" s="29"/>
      <c r="B17" s="3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4"/>
      <c r="N17" s="44"/>
      <c r="O17" s="44"/>
      <c r="P17" s="44"/>
      <c r="Q17" s="44"/>
      <c r="R17" s="4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 ht="14.25" customHeight="1">
      <c r="A18" s="29"/>
      <c r="B18" s="29"/>
      <c r="C18" s="44"/>
      <c r="D18" s="44"/>
      <c r="E18" s="44"/>
      <c r="F18" s="44"/>
      <c r="G18" s="44"/>
      <c r="H18" s="29"/>
      <c r="I18" s="29"/>
      <c r="J18" s="29"/>
      <c r="K18" s="29"/>
      <c r="L18" s="29"/>
      <c r="M18" s="44"/>
      <c r="N18" s="44"/>
      <c r="O18" s="44"/>
      <c r="P18" s="44"/>
      <c r="Q18" s="44"/>
      <c r="R18" s="4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 ht="14.25" customHeight="1">
      <c r="A19" s="29"/>
      <c r="B19" s="29"/>
      <c r="C19" s="44"/>
      <c r="D19" s="44"/>
      <c r="E19" s="44"/>
      <c r="F19" s="44"/>
      <c r="G19" s="44"/>
      <c r="H19" s="29"/>
      <c r="I19" s="29"/>
      <c r="J19" s="29"/>
      <c r="K19" s="29"/>
      <c r="L19" s="29"/>
      <c r="M19" s="44"/>
      <c r="N19" s="44"/>
      <c r="O19" s="44"/>
      <c r="P19" s="44"/>
      <c r="Q19" s="44"/>
      <c r="R19" s="4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 ht="14.25" customHeight="1">
      <c r="A20" s="29"/>
      <c r="B20" s="257"/>
      <c r="C20" s="44"/>
      <c r="D20" s="44"/>
      <c r="E20" s="44"/>
      <c r="F20" s="44"/>
      <c r="G20" s="44"/>
      <c r="H20" s="29"/>
      <c r="I20" s="29"/>
      <c r="J20" s="29"/>
      <c r="K20" s="29"/>
      <c r="L20" s="29"/>
      <c r="M20" s="44"/>
      <c r="N20" s="44"/>
      <c r="O20" s="44"/>
      <c r="P20" s="44"/>
      <c r="Q20" s="44"/>
      <c r="R20" s="44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 ht="14.25" customHeight="1">
      <c r="A21" s="29"/>
      <c r="B21" s="29"/>
      <c r="C21" s="44"/>
      <c r="D21" s="44"/>
      <c r="E21" s="44"/>
      <c r="F21" s="44"/>
      <c r="G21" s="44"/>
      <c r="H21" s="29"/>
      <c r="I21" s="29"/>
      <c r="J21" s="29"/>
      <c r="K21" s="29"/>
      <c r="L21" s="29"/>
      <c r="M21" s="44"/>
      <c r="N21" s="44"/>
      <c r="O21" s="44"/>
      <c r="P21" s="44"/>
      <c r="Q21" s="44"/>
      <c r="R21" s="44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 ht="14.25" customHeight="1">
      <c r="A22" s="29"/>
      <c r="B22" s="29"/>
      <c r="C22" s="44"/>
      <c r="D22" s="44"/>
      <c r="E22" s="44"/>
      <c r="F22" s="44"/>
      <c r="G22" s="44"/>
      <c r="H22" s="29"/>
      <c r="I22" s="29"/>
      <c r="J22" s="29"/>
      <c r="K22" s="29"/>
      <c r="L22" s="29"/>
      <c r="M22" s="44"/>
      <c r="N22" s="44"/>
      <c r="O22" s="44"/>
      <c r="P22" s="44"/>
      <c r="Q22" s="44"/>
      <c r="R22" s="4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</row>
  </sheetData>
  <mergeCells count="1">
    <mergeCell ref="F5:G5"/>
  </mergeCells>
  <dataValidations>
    <dataValidation type="list" allowBlank="1" showInputMessage="1" showErrorMessage="1" prompt=" - " sqref="E9">
      <formula1>$R$5:$R$8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66"/>
    <pageSetUpPr/>
  </sheetPr>
  <sheetViews>
    <sheetView showGridLines="0" workbookViewId="0"/>
  </sheetViews>
  <sheetFormatPr customHeight="1" defaultColWidth="12.63" defaultRowHeight="15.0"/>
  <cols>
    <col customWidth="1" min="1" max="1" width="12.38"/>
    <col customWidth="1" min="2" max="2" width="2.75"/>
    <col customWidth="1" min="3" max="3" width="18.88"/>
    <col customWidth="1" min="4" max="4" width="16.13"/>
    <col customWidth="1" min="5" max="5" width="11.25"/>
    <col customWidth="1" min="6" max="6" width="12.13"/>
    <col customWidth="1" min="8" max="8" width="11.38"/>
    <col customWidth="1" min="9" max="9" width="23.63"/>
    <col customWidth="1" min="10" max="11" width="12.13"/>
    <col customWidth="1" min="12" max="12" width="11.38"/>
    <col customWidth="1" min="13" max="18" width="11.25"/>
    <col customWidth="1" min="19" max="39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47"/>
      <c r="I1" s="247"/>
      <c r="J1" s="247"/>
      <c r="K1" s="247"/>
      <c r="L1" s="247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</row>
    <row r="2" ht="15.0" customHeight="1">
      <c r="A2" s="247"/>
      <c r="C2" s="248"/>
      <c r="D2" s="248"/>
      <c r="E2" s="248"/>
      <c r="F2" s="248"/>
      <c r="G2" s="248"/>
      <c r="H2" s="248"/>
      <c r="I2" s="272"/>
      <c r="J2" s="272"/>
      <c r="K2" s="272"/>
      <c r="M2" s="272"/>
      <c r="N2" s="249"/>
      <c r="O2" s="249"/>
      <c r="P2" s="249"/>
      <c r="Q2" s="249"/>
      <c r="R2" s="249"/>
      <c r="S2" s="274"/>
      <c r="T2" s="249"/>
      <c r="U2" s="249"/>
      <c r="V2" s="249"/>
      <c r="W2" s="249"/>
      <c r="X2" s="249"/>
      <c r="Y2" s="249"/>
      <c r="Z2" s="249"/>
      <c r="AA2" s="249"/>
      <c r="AB2" s="249"/>
      <c r="AC2" s="249"/>
      <c r="AD2" s="249"/>
      <c r="AE2" s="249"/>
      <c r="AF2" s="249"/>
      <c r="AG2" s="249"/>
      <c r="AH2" s="249"/>
      <c r="AI2" s="249"/>
      <c r="AJ2" s="249"/>
      <c r="AK2" s="249"/>
      <c r="AL2" s="249"/>
      <c r="AM2" s="249"/>
    </row>
    <row r="3" ht="18.75" customHeight="1">
      <c r="A3" s="247"/>
      <c r="C3" s="282" t="s">
        <v>254</v>
      </c>
      <c r="D3" s="248"/>
      <c r="E3" s="248"/>
      <c r="F3" s="248"/>
      <c r="G3" s="248"/>
      <c r="H3" s="248"/>
      <c r="I3" s="273" t="s">
        <v>255</v>
      </c>
      <c r="J3" s="272"/>
      <c r="K3" s="272"/>
      <c r="M3" s="272"/>
      <c r="N3" s="249"/>
      <c r="O3" s="249"/>
      <c r="P3" s="249"/>
      <c r="Q3" s="249"/>
      <c r="R3" s="249"/>
      <c r="S3" s="274"/>
      <c r="T3" s="249"/>
      <c r="U3" s="249"/>
      <c r="V3" s="249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  <c r="AK3" s="249"/>
      <c r="AL3" s="249"/>
      <c r="AM3" s="249"/>
    </row>
    <row r="4" ht="15.0" customHeight="1">
      <c r="A4" s="44"/>
      <c r="B4" s="40"/>
      <c r="C4" s="252"/>
      <c r="D4" s="248"/>
      <c r="E4" s="248"/>
      <c r="F4" s="248"/>
      <c r="G4" s="248"/>
      <c r="H4" s="248"/>
      <c r="I4" s="272"/>
      <c r="J4" s="272"/>
      <c r="K4" s="272"/>
      <c r="M4" s="248"/>
      <c r="N4" s="253"/>
      <c r="O4" s="253"/>
      <c r="P4" s="253"/>
      <c r="Q4" s="253"/>
      <c r="R4" s="253"/>
      <c r="S4" s="274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3"/>
      <c r="AM4" s="253"/>
    </row>
    <row r="5" ht="25.5" customHeight="1">
      <c r="A5" s="44"/>
      <c r="B5" s="40"/>
      <c r="C5" s="259" t="s">
        <v>226</v>
      </c>
      <c r="D5" s="259">
        <f>+K16</f>
        <v>300000</v>
      </c>
      <c r="E5" s="248"/>
      <c r="F5" s="256" t="s">
        <v>238</v>
      </c>
      <c r="G5" s="102"/>
      <c r="H5" s="40"/>
      <c r="I5" s="283" t="s">
        <v>256</v>
      </c>
      <c r="J5" s="49" t="s">
        <v>253</v>
      </c>
      <c r="K5" s="49" t="s">
        <v>240</v>
      </c>
      <c r="L5" s="49" t="s">
        <v>228</v>
      </c>
      <c r="M5" s="248"/>
      <c r="N5" s="253"/>
      <c r="O5" s="253"/>
      <c r="P5" s="253"/>
      <c r="Q5" s="253"/>
      <c r="R5" s="253"/>
      <c r="S5" s="274"/>
      <c r="T5" s="253"/>
      <c r="U5" s="253"/>
      <c r="V5" s="253"/>
      <c r="W5" s="253"/>
      <c r="X5" s="253"/>
      <c r="Y5" s="253"/>
      <c r="Z5" s="253"/>
      <c r="AA5" s="253"/>
      <c r="AB5" s="253"/>
      <c r="AC5" s="253"/>
      <c r="AD5" s="253"/>
      <c r="AE5" s="253"/>
      <c r="AF5" s="253"/>
      <c r="AG5" s="253"/>
      <c r="AH5" s="253"/>
      <c r="AI5" s="253"/>
      <c r="AJ5" s="253"/>
      <c r="AK5" s="253"/>
      <c r="AL5" s="253"/>
      <c r="AM5" s="253"/>
    </row>
    <row r="6" ht="12.75" customHeight="1">
      <c r="A6" s="44"/>
      <c r="B6" s="40"/>
      <c r="C6" s="259" t="s">
        <v>228</v>
      </c>
      <c r="D6" s="259">
        <f>+L16</f>
        <v>150000</v>
      </c>
      <c r="E6" s="248"/>
      <c r="F6" s="260" t="s">
        <v>229</v>
      </c>
      <c r="G6" s="261">
        <f>(COUNT(C10:C14)*(COUNT(C10:C14)+1))/2</f>
        <v>15</v>
      </c>
      <c r="H6" s="40"/>
      <c r="I6" s="275">
        <v>5.0</v>
      </c>
      <c r="J6" s="284" t="s">
        <v>257</v>
      </c>
      <c r="K6" s="38">
        <v>300000.0</v>
      </c>
      <c r="L6" s="38">
        <v>150000.0</v>
      </c>
      <c r="M6" s="248"/>
      <c r="N6" s="253"/>
      <c r="O6" s="253"/>
      <c r="P6" s="253"/>
      <c r="Q6" s="253"/>
      <c r="R6" s="253"/>
      <c r="S6" s="274" t="s">
        <v>243</v>
      </c>
      <c r="T6" s="253"/>
      <c r="U6" s="253"/>
      <c r="V6" s="253"/>
      <c r="W6" s="253"/>
      <c r="X6" s="253"/>
      <c r="Y6" s="253"/>
      <c r="Z6" s="253"/>
      <c r="AA6" s="253"/>
      <c r="AB6" s="253"/>
      <c r="AC6" s="253"/>
      <c r="AD6" s="253"/>
      <c r="AE6" s="253"/>
      <c r="AF6" s="253"/>
      <c r="AG6" s="253"/>
      <c r="AH6" s="253"/>
      <c r="AI6" s="253"/>
      <c r="AJ6" s="253"/>
      <c r="AK6" s="253"/>
      <c r="AL6" s="253"/>
      <c r="AM6" s="253"/>
    </row>
    <row r="7" ht="12.75" customHeight="1">
      <c r="A7" s="44"/>
      <c r="B7" s="40"/>
      <c r="C7" s="259" t="s">
        <v>230</v>
      </c>
      <c r="D7" s="259">
        <f>+D5-D6</f>
        <v>150000</v>
      </c>
      <c r="E7" s="248"/>
      <c r="F7" s="40"/>
      <c r="G7" s="40"/>
      <c r="H7" s="40"/>
      <c r="I7" s="277"/>
      <c r="J7" s="285"/>
      <c r="K7" s="276"/>
      <c r="L7" s="276"/>
      <c r="M7" s="248"/>
      <c r="N7" s="253"/>
      <c r="O7" s="253"/>
      <c r="P7" s="253"/>
      <c r="Q7" s="253"/>
      <c r="R7" s="253"/>
      <c r="S7" s="274" t="s">
        <v>244</v>
      </c>
      <c r="T7" s="253"/>
      <c r="U7" s="253"/>
      <c r="V7" s="253"/>
      <c r="W7" s="253"/>
      <c r="X7" s="253"/>
      <c r="Y7" s="253"/>
      <c r="Z7" s="253"/>
      <c r="AA7" s="253"/>
      <c r="AB7" s="253"/>
      <c r="AC7" s="253"/>
      <c r="AD7" s="253"/>
      <c r="AE7" s="253"/>
      <c r="AF7" s="253"/>
      <c r="AG7" s="253"/>
      <c r="AH7" s="253"/>
      <c r="AI7" s="253"/>
      <c r="AJ7" s="253"/>
      <c r="AK7" s="253"/>
      <c r="AL7" s="253"/>
      <c r="AM7" s="253"/>
    </row>
    <row r="8" ht="12.75" customHeight="1">
      <c r="A8" s="44"/>
      <c r="B8" s="40"/>
      <c r="C8" s="248"/>
      <c r="D8" s="248"/>
      <c r="E8" s="40"/>
      <c r="F8" s="40"/>
      <c r="G8" s="40"/>
      <c r="H8" s="40"/>
      <c r="I8" s="42"/>
      <c r="J8" s="285"/>
      <c r="K8" s="276"/>
      <c r="L8" s="276"/>
      <c r="M8" s="248"/>
      <c r="N8" s="253"/>
      <c r="O8" s="253"/>
      <c r="P8" s="253"/>
      <c r="Q8" s="253"/>
      <c r="R8" s="253"/>
      <c r="S8" s="274" t="s">
        <v>246</v>
      </c>
      <c r="T8" s="253"/>
      <c r="U8" s="253"/>
      <c r="V8" s="253"/>
      <c r="W8" s="253"/>
      <c r="X8" s="253"/>
      <c r="Y8" s="253"/>
      <c r="Z8" s="253"/>
      <c r="AA8" s="253"/>
      <c r="AB8" s="253"/>
      <c r="AC8" s="253"/>
      <c r="AD8" s="253"/>
      <c r="AE8" s="253"/>
      <c r="AF8" s="253"/>
      <c r="AG8" s="253"/>
      <c r="AH8" s="253"/>
      <c r="AI8" s="253"/>
      <c r="AJ8" s="253"/>
      <c r="AK8" s="253"/>
      <c r="AL8" s="253"/>
      <c r="AM8" s="253"/>
    </row>
    <row r="9" ht="35.25" customHeight="1">
      <c r="A9" s="44"/>
      <c r="B9" s="40"/>
      <c r="C9" s="49" t="s">
        <v>231</v>
      </c>
      <c r="D9" s="49" t="s">
        <v>232</v>
      </c>
      <c r="E9" s="286" t="s">
        <v>243</v>
      </c>
      <c r="F9" s="49" t="s">
        <v>234</v>
      </c>
      <c r="G9" s="49" t="s">
        <v>235</v>
      </c>
      <c r="H9" s="40"/>
      <c r="I9" s="287"/>
      <c r="J9" s="285"/>
      <c r="K9" s="276"/>
      <c r="L9" s="276"/>
      <c r="M9" s="248"/>
      <c r="N9" s="253"/>
      <c r="O9" s="253"/>
      <c r="P9" s="253"/>
      <c r="Q9" s="253"/>
      <c r="R9" s="253"/>
      <c r="S9" s="274" t="s">
        <v>245</v>
      </c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G9" s="253"/>
      <c r="AH9" s="253"/>
      <c r="AI9" s="253"/>
      <c r="AJ9" s="253"/>
      <c r="AK9" s="253"/>
      <c r="AL9" s="253"/>
      <c r="AM9" s="253"/>
    </row>
    <row r="10" ht="13.5" customHeight="1">
      <c r="A10" s="29"/>
      <c r="B10" s="30"/>
      <c r="C10" s="263">
        <v>1.0</v>
      </c>
      <c r="D10" s="259">
        <f t="shared" ref="D10:D14" si="1">$D$7</f>
        <v>150000</v>
      </c>
      <c r="E10" s="279">
        <f>IF($E$9="Definir sistema",0,IF($E$9="Lineal",$C$10/5,IF($E$9="Decreciente",C14/$G$6,C10/$G$6)))</f>
        <v>0.06666666667</v>
      </c>
      <c r="F10" s="208">
        <f t="shared" ref="F10:F14" si="2">D10*E10</f>
        <v>10000</v>
      </c>
      <c r="G10" s="208">
        <f>D5-F10</f>
        <v>290000</v>
      </c>
      <c r="H10" s="288"/>
      <c r="I10" s="289"/>
      <c r="J10" s="290"/>
      <c r="K10" s="276"/>
      <c r="L10" s="276"/>
      <c r="M10" s="40"/>
      <c r="N10" s="44"/>
      <c r="O10" s="44"/>
      <c r="P10" s="44"/>
      <c r="Q10" s="44"/>
      <c r="R10" s="44"/>
      <c r="S10" s="274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</row>
    <row r="11" ht="13.5" customHeight="1">
      <c r="A11" s="29"/>
      <c r="B11" s="30"/>
      <c r="C11" s="263">
        <v>2.0</v>
      </c>
      <c r="D11" s="259">
        <f t="shared" si="1"/>
        <v>150000</v>
      </c>
      <c r="E11" s="279">
        <f>IF($E$9="Definir sistema",0,IF($E$9="Lineal",$C$10/5,IF($E$9="Decreciente",C13/$G$6,C11/$G$6)))</f>
        <v>0.1333333333</v>
      </c>
      <c r="F11" s="208">
        <f t="shared" si="2"/>
        <v>20000</v>
      </c>
      <c r="G11" s="208">
        <f t="shared" ref="G11:G14" si="3">G10-F11</f>
        <v>270000</v>
      </c>
      <c r="H11" s="288"/>
      <c r="I11" s="289"/>
      <c r="J11" s="290"/>
      <c r="K11" s="276"/>
      <c r="L11" s="276"/>
      <c r="M11" s="40"/>
      <c r="N11" s="44"/>
      <c r="O11" s="44"/>
      <c r="P11" s="44"/>
      <c r="Q11" s="44"/>
      <c r="R11" s="44"/>
      <c r="S11" s="274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</row>
    <row r="12" ht="13.5" customHeight="1">
      <c r="A12" s="29"/>
      <c r="B12" s="30"/>
      <c r="C12" s="263">
        <v>3.0</v>
      </c>
      <c r="D12" s="259">
        <f t="shared" si="1"/>
        <v>150000</v>
      </c>
      <c r="E12" s="279">
        <f>IF($E$9="Definir sistema",0,IF($E$9="Lineal",$C$10/5,IF($E$9="Decreciente",C12/$G$6,C12/$G$6)))</f>
        <v>0.2</v>
      </c>
      <c r="F12" s="208">
        <f t="shared" si="2"/>
        <v>30000</v>
      </c>
      <c r="G12" s="208">
        <f t="shared" si="3"/>
        <v>240000</v>
      </c>
      <c r="H12" s="288"/>
      <c r="I12" s="289"/>
      <c r="J12" s="290"/>
      <c r="K12" s="276"/>
      <c r="L12" s="276"/>
      <c r="M12" s="40"/>
      <c r="N12" s="44"/>
      <c r="O12" s="44"/>
      <c r="P12" s="44"/>
      <c r="Q12" s="44"/>
      <c r="R12" s="44"/>
      <c r="S12" s="274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</row>
    <row r="13" ht="13.5" customHeight="1">
      <c r="A13" s="29"/>
      <c r="B13" s="30"/>
      <c r="C13" s="263">
        <v>4.0</v>
      </c>
      <c r="D13" s="259">
        <f t="shared" si="1"/>
        <v>150000</v>
      </c>
      <c r="E13" s="279">
        <f>IF($E$9="Definir sistema",0,IF($E$9="Lineal",$C$10/5,IF($E$9="Decreciente",C11/$G$6,C13/$G$6)))</f>
        <v>0.2666666667</v>
      </c>
      <c r="F13" s="208">
        <f t="shared" si="2"/>
        <v>40000</v>
      </c>
      <c r="G13" s="208">
        <f t="shared" si="3"/>
        <v>200000</v>
      </c>
      <c r="H13" s="288"/>
      <c r="I13" s="289"/>
      <c r="J13" s="290"/>
      <c r="K13" s="276"/>
      <c r="L13" s="276"/>
      <c r="M13" s="40"/>
      <c r="N13" s="44"/>
      <c r="O13" s="44"/>
      <c r="P13" s="44"/>
      <c r="Q13" s="44"/>
      <c r="R13" s="44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</row>
    <row r="14" ht="13.5" customHeight="1">
      <c r="A14" s="29"/>
      <c r="B14" s="30"/>
      <c r="C14" s="263">
        <v>5.0</v>
      </c>
      <c r="D14" s="259">
        <f t="shared" si="1"/>
        <v>150000</v>
      </c>
      <c r="E14" s="279">
        <f>IF($E$9="Definir sistema",0,IF($E$9="Lineal",$C$10/5,IF($E$9="Decreciente",C10/$G$6,C14/$G$6)))</f>
        <v>0.3333333333</v>
      </c>
      <c r="F14" s="208">
        <f t="shared" si="2"/>
        <v>50000</v>
      </c>
      <c r="G14" s="208">
        <f t="shared" si="3"/>
        <v>150000</v>
      </c>
      <c r="H14" s="288"/>
      <c r="I14" s="289"/>
      <c r="J14" s="290"/>
      <c r="K14" s="276"/>
      <c r="L14" s="276"/>
      <c r="M14" s="40"/>
      <c r="N14" s="44"/>
      <c r="O14" s="44"/>
      <c r="P14" s="44"/>
      <c r="Q14" s="44"/>
      <c r="R14" s="44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</row>
    <row r="15" ht="13.5" customHeight="1">
      <c r="A15" s="29"/>
      <c r="B15" s="30"/>
      <c r="C15" s="40"/>
      <c r="D15" s="265" t="s">
        <v>232</v>
      </c>
      <c r="E15" s="281">
        <f t="shared" ref="E15:F15" si="4">SUM(E10:E14)</f>
        <v>1</v>
      </c>
      <c r="F15" s="267">
        <f t="shared" si="4"/>
        <v>150000</v>
      </c>
      <c r="G15" s="268">
        <f>+G14-D6</f>
        <v>0</v>
      </c>
      <c r="H15" s="30"/>
      <c r="I15" s="289"/>
      <c r="J15" s="290"/>
      <c r="K15" s="276"/>
      <c r="L15" s="276"/>
      <c r="M15" s="40"/>
      <c r="N15" s="44"/>
      <c r="O15" s="44"/>
      <c r="P15" s="44"/>
      <c r="Q15" s="44"/>
      <c r="R15" s="44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</row>
    <row r="16" ht="14.25" customHeight="1">
      <c r="A16" s="29"/>
      <c r="B16" s="30"/>
      <c r="C16" s="40"/>
      <c r="D16" s="269"/>
      <c r="E16" s="269"/>
      <c r="F16" s="269"/>
      <c r="G16" s="269"/>
      <c r="H16" s="30"/>
      <c r="I16" s="289"/>
      <c r="J16" s="291" t="s">
        <v>8</v>
      </c>
      <c r="K16" s="78">
        <f t="shared" ref="K16:L16" si="5">SUM(K6:K15)</f>
        <v>300000</v>
      </c>
      <c r="L16" s="78">
        <f t="shared" si="5"/>
        <v>150000</v>
      </c>
      <c r="M16" s="40"/>
      <c r="N16" s="44"/>
      <c r="O16" s="44"/>
      <c r="P16" s="44"/>
      <c r="Q16" s="44"/>
      <c r="R16" s="44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</row>
    <row r="17" ht="14.25" customHeight="1">
      <c r="A17" s="29"/>
      <c r="C17" s="248"/>
      <c r="D17" s="248"/>
      <c r="E17" s="248"/>
      <c r="F17" s="248"/>
      <c r="G17" s="248"/>
      <c r="H17" s="288"/>
      <c r="I17" s="289"/>
      <c r="J17" s="292">
        <v>0.0</v>
      </c>
      <c r="K17" s="272"/>
      <c r="L17" s="272"/>
      <c r="M17" s="40"/>
      <c r="N17" s="44"/>
      <c r="O17" s="44"/>
      <c r="P17" s="44"/>
      <c r="Q17" s="44"/>
      <c r="R17" s="44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</row>
    <row r="18" ht="14.25" customHeight="1">
      <c r="A18" s="29"/>
      <c r="C18" s="248"/>
      <c r="D18" s="248"/>
      <c r="E18" s="248"/>
      <c r="F18" s="248"/>
      <c r="G18" s="248"/>
      <c r="H18" s="293"/>
      <c r="I18" s="294"/>
      <c r="J18" s="272"/>
      <c r="K18" s="272"/>
      <c r="M18" s="40"/>
      <c r="N18" s="44"/>
      <c r="O18" s="44"/>
      <c r="P18" s="44"/>
      <c r="Q18" s="44"/>
      <c r="R18" s="44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</row>
    <row r="19" ht="14.25" customHeight="1">
      <c r="A19" s="29"/>
      <c r="C19" s="248"/>
      <c r="D19" s="248"/>
      <c r="E19" s="248"/>
      <c r="F19" s="248"/>
      <c r="G19" s="248"/>
      <c r="H19" s="293"/>
      <c r="I19" s="294"/>
      <c r="J19" s="272"/>
      <c r="K19" s="272"/>
      <c r="M19" s="40"/>
      <c r="N19" s="44"/>
      <c r="O19" s="44"/>
      <c r="P19" s="44"/>
      <c r="Q19" s="44"/>
      <c r="R19" s="44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</row>
    <row r="20" ht="14.25" customHeight="1">
      <c r="A20" s="29"/>
      <c r="C20" s="248"/>
      <c r="D20" s="248"/>
      <c r="E20" s="248"/>
      <c r="F20" s="248"/>
      <c r="G20" s="248"/>
      <c r="H20" s="293"/>
      <c r="I20" s="294"/>
      <c r="J20" s="272"/>
      <c r="K20" s="272"/>
      <c r="M20" s="40"/>
      <c r="N20" s="44"/>
      <c r="O20" s="44"/>
      <c r="P20" s="44"/>
      <c r="Q20" s="44"/>
      <c r="R20" s="44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</row>
    <row r="21" ht="14.25" customHeight="1">
      <c r="A21" s="29"/>
      <c r="B21" s="30"/>
      <c r="C21" s="295" t="str">
        <f>+IF((-J17-'Gastos Fijos de Fabricación'!I8-'Gastos Fijos de Fabricación'!I9=0),"","La cantidad de Máquinas difiere en"&amp;" "&amp;(-I17)&amp;" unidades de la cantidad declarada en la hoja Gastos Fijos de Fabricación")</f>
        <v>La cantidad de Máquinas difiere en 0 unidades de la cantidad declarada en la hoja Gastos Fijos de Fabricación</v>
      </c>
      <c r="D21" s="40"/>
      <c r="E21" s="40"/>
      <c r="F21" s="40"/>
      <c r="G21" s="40"/>
      <c r="H21" s="288"/>
      <c r="I21" s="288"/>
      <c r="J21" s="288"/>
      <c r="K21" s="288"/>
      <c r="L21" s="288"/>
      <c r="M21" s="40"/>
      <c r="N21" s="44"/>
      <c r="O21" s="44"/>
      <c r="P21" s="44"/>
      <c r="Q21" s="44"/>
      <c r="R21" s="44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</row>
    <row r="22" ht="14.25" customHeight="1">
      <c r="A22" s="29"/>
      <c r="B22" s="30"/>
      <c r="C22" s="40"/>
      <c r="D22" s="40"/>
      <c r="E22" s="40"/>
      <c r="F22" s="40"/>
      <c r="G22" s="40"/>
      <c r="H22" s="288"/>
      <c r="I22" s="288"/>
      <c r="J22" s="288"/>
      <c r="K22" s="288"/>
      <c r="L22" s="288"/>
      <c r="M22" s="40"/>
      <c r="N22" s="44"/>
      <c r="O22" s="44"/>
      <c r="P22" s="44"/>
      <c r="Q22" s="44"/>
      <c r="R22" s="44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</row>
    <row r="23" ht="14.25" customHeight="1">
      <c r="A23" s="29"/>
      <c r="B23" s="29"/>
      <c r="C23" s="44"/>
      <c r="D23" s="44"/>
      <c r="E23" s="44"/>
      <c r="F23" s="44"/>
      <c r="G23" s="44"/>
      <c r="H23" s="247"/>
      <c r="I23" s="247"/>
      <c r="J23" s="247"/>
      <c r="K23" s="247"/>
      <c r="L23" s="247"/>
      <c r="M23" s="44"/>
      <c r="N23" s="44"/>
      <c r="O23" s="44"/>
      <c r="P23" s="44"/>
      <c r="Q23" s="44"/>
      <c r="R23" s="44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</row>
    <row r="24" ht="14.25" customHeight="1">
      <c r="A24" s="29"/>
      <c r="B24" s="29"/>
      <c r="C24" s="44"/>
      <c r="D24" s="44"/>
      <c r="E24" s="44"/>
      <c r="F24" s="44"/>
      <c r="G24" s="44"/>
      <c r="H24" s="247"/>
      <c r="I24" s="247"/>
      <c r="J24" s="247"/>
      <c r="K24" s="247"/>
      <c r="L24" s="247"/>
      <c r="M24" s="44"/>
      <c r="N24" s="44"/>
      <c r="O24" s="44"/>
      <c r="P24" s="44"/>
      <c r="Q24" s="44"/>
      <c r="R24" s="44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</row>
    <row r="25" ht="14.25" customHeight="1">
      <c r="A25" s="29"/>
      <c r="B25" s="29"/>
      <c r="C25" s="257"/>
      <c r="D25" s="44"/>
      <c r="E25" s="44"/>
      <c r="F25" s="44"/>
      <c r="G25" s="44"/>
      <c r="H25" s="247"/>
      <c r="I25" s="247"/>
      <c r="J25" s="247"/>
      <c r="K25" s="247"/>
      <c r="L25" s="247"/>
      <c r="M25" s="44"/>
      <c r="N25" s="44"/>
      <c r="O25" s="44"/>
      <c r="P25" s="44"/>
      <c r="Q25" s="44"/>
      <c r="R25" s="44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</row>
    <row r="26" ht="15.75" customHeight="1">
      <c r="A26" s="29"/>
      <c r="B26" s="29"/>
      <c r="C26" s="29"/>
      <c r="D26" s="29"/>
      <c r="E26" s="29"/>
      <c r="F26" s="29"/>
      <c r="G26" s="29"/>
      <c r="H26" s="247"/>
      <c r="I26" s="247"/>
      <c r="J26" s="247"/>
      <c r="K26" s="247"/>
      <c r="L26" s="247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</row>
    <row r="27" ht="15.75" customHeight="1">
      <c r="A27" s="29"/>
      <c r="B27" s="29"/>
      <c r="C27" s="29"/>
      <c r="D27" s="29"/>
      <c r="E27" s="29"/>
      <c r="F27" s="29"/>
      <c r="G27" s="29"/>
      <c r="H27" s="247"/>
      <c r="I27" s="247"/>
      <c r="J27" s="247"/>
      <c r="K27" s="247"/>
      <c r="L27" s="247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</row>
    <row r="28" ht="15.75" customHeight="1">
      <c r="A28" s="29"/>
      <c r="B28" s="29"/>
      <c r="C28" s="29"/>
      <c r="D28" s="29"/>
      <c r="E28" s="29"/>
      <c r="F28" s="29"/>
      <c r="G28" s="29"/>
      <c r="H28" s="247"/>
      <c r="I28" s="247"/>
      <c r="J28" s="247"/>
      <c r="K28" s="247"/>
      <c r="L28" s="247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</row>
    <row r="29" ht="15.75" customHeight="1">
      <c r="A29" s="29"/>
      <c r="B29" s="29"/>
      <c r="C29" s="29"/>
      <c r="D29" s="29"/>
      <c r="E29" s="29"/>
      <c r="F29" s="29"/>
      <c r="G29" s="29"/>
      <c r="H29" s="247"/>
      <c r="I29" s="247"/>
      <c r="J29" s="247"/>
      <c r="K29" s="247"/>
      <c r="L29" s="247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</row>
    <row r="30" ht="15.75" customHeight="1">
      <c r="A30" s="29"/>
      <c r="B30" s="29"/>
      <c r="C30" s="29"/>
      <c r="D30" s="29"/>
      <c r="E30" s="29"/>
      <c r="F30" s="29"/>
      <c r="G30" s="29"/>
      <c r="H30" s="247"/>
      <c r="I30" s="247"/>
      <c r="J30" s="247"/>
      <c r="K30" s="247"/>
      <c r="L30" s="247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</row>
    <row r="31" ht="15.75" customHeight="1">
      <c r="A31" s="29"/>
      <c r="B31" s="29"/>
      <c r="C31" s="29"/>
      <c r="D31" s="29"/>
      <c r="E31" s="29"/>
      <c r="F31" s="29"/>
      <c r="G31" s="29"/>
      <c r="H31" s="247"/>
      <c r="I31" s="247"/>
      <c r="J31" s="247"/>
      <c r="K31" s="247"/>
      <c r="L31" s="247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</row>
    <row r="32" ht="15.75" customHeight="1">
      <c r="A32" s="29"/>
      <c r="B32" s="29"/>
      <c r="C32" s="29"/>
      <c r="D32" s="29"/>
      <c r="E32" s="29"/>
      <c r="F32" s="29"/>
      <c r="G32" s="29"/>
      <c r="H32" s="247"/>
      <c r="I32" s="247"/>
      <c r="J32" s="247"/>
      <c r="K32" s="247"/>
      <c r="L32" s="247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</row>
    <row r="33" ht="15.75" customHeight="1">
      <c r="A33" s="29"/>
      <c r="B33" s="29"/>
      <c r="C33" s="29"/>
      <c r="D33" s="29"/>
      <c r="E33" s="29"/>
      <c r="F33" s="29"/>
      <c r="G33" s="29"/>
      <c r="H33" s="247"/>
      <c r="I33" s="247"/>
      <c r="J33" s="247"/>
      <c r="K33" s="247"/>
      <c r="L33" s="247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</row>
    <row r="34" ht="15.75" customHeight="1">
      <c r="A34" s="29"/>
      <c r="B34" s="29"/>
      <c r="C34" s="29"/>
      <c r="D34" s="29"/>
      <c r="E34" s="29"/>
      <c r="F34" s="29"/>
      <c r="G34" s="29"/>
      <c r="H34" s="247"/>
      <c r="I34" s="247"/>
      <c r="J34" s="247"/>
      <c r="K34" s="247"/>
      <c r="L34" s="247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</row>
    <row r="35" ht="15.75" customHeight="1">
      <c r="A35" s="29"/>
      <c r="B35" s="29"/>
      <c r="C35" s="29"/>
      <c r="D35" s="29"/>
      <c r="E35" s="29"/>
      <c r="F35" s="29"/>
      <c r="G35" s="29"/>
      <c r="H35" s="247"/>
      <c r="I35" s="247"/>
      <c r="J35" s="247"/>
      <c r="K35" s="247"/>
      <c r="L35" s="247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</row>
    <row r="36" ht="15.75" customHeight="1">
      <c r="A36" s="29"/>
      <c r="B36" s="29"/>
      <c r="C36" s="29"/>
      <c r="D36" s="29"/>
      <c r="E36" s="29"/>
      <c r="F36" s="29"/>
      <c r="G36" s="29"/>
      <c r="H36" s="247"/>
      <c r="I36" s="247"/>
      <c r="J36" s="247"/>
      <c r="K36" s="247"/>
      <c r="L36" s="247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</row>
    <row r="37" ht="15.75" customHeight="1">
      <c r="A37" s="29"/>
      <c r="B37" s="29"/>
      <c r="C37" s="29"/>
      <c r="D37" s="29"/>
      <c r="E37" s="29"/>
      <c r="F37" s="29"/>
      <c r="G37" s="29"/>
      <c r="H37" s="247"/>
      <c r="I37" s="247"/>
      <c r="J37" s="247"/>
      <c r="K37" s="247"/>
      <c r="L37" s="247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</row>
    <row r="38" ht="15.75" customHeight="1">
      <c r="A38" s="29"/>
      <c r="B38" s="29"/>
      <c r="C38" s="29"/>
      <c r="D38" s="29"/>
      <c r="E38" s="29"/>
      <c r="F38" s="29"/>
      <c r="G38" s="29"/>
      <c r="H38" s="247"/>
      <c r="I38" s="247"/>
      <c r="J38" s="247"/>
      <c r="K38" s="247"/>
      <c r="L38" s="247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</row>
    <row r="39" ht="15.75" customHeight="1">
      <c r="A39" s="29"/>
      <c r="B39" s="29"/>
      <c r="C39" s="29"/>
      <c r="D39" s="29"/>
      <c r="E39" s="29"/>
      <c r="F39" s="29"/>
      <c r="G39" s="29"/>
      <c r="H39" s="247"/>
      <c r="I39" s="247"/>
      <c r="J39" s="247"/>
      <c r="K39" s="247"/>
      <c r="L39" s="247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</row>
    <row r="40" ht="15.75" customHeight="1">
      <c r="A40" s="29"/>
      <c r="B40" s="29"/>
      <c r="C40" s="29"/>
      <c r="D40" s="29"/>
      <c r="E40" s="29"/>
      <c r="F40" s="29"/>
      <c r="G40" s="29"/>
      <c r="H40" s="247"/>
      <c r="I40" s="247"/>
      <c r="J40" s="247"/>
      <c r="K40" s="247"/>
      <c r="L40" s="247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</row>
    <row r="41" ht="15.75" customHeight="1">
      <c r="A41" s="29"/>
      <c r="B41" s="29"/>
      <c r="C41" s="29"/>
      <c r="D41" s="29"/>
      <c r="E41" s="29"/>
      <c r="F41" s="29"/>
      <c r="G41" s="29"/>
      <c r="H41" s="247"/>
      <c r="I41" s="247"/>
      <c r="J41" s="247"/>
      <c r="K41" s="247"/>
      <c r="L41" s="247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</row>
    <row r="42" ht="15.75" customHeight="1">
      <c r="A42" s="29"/>
      <c r="B42" s="29"/>
      <c r="C42" s="29"/>
      <c r="D42" s="29"/>
      <c r="E42" s="29"/>
      <c r="F42" s="29"/>
      <c r="G42" s="29"/>
      <c r="H42" s="247"/>
      <c r="I42" s="247"/>
      <c r="J42" s="247"/>
      <c r="K42" s="247"/>
      <c r="L42" s="247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</row>
    <row r="43" ht="15.75" customHeight="1">
      <c r="A43" s="29"/>
      <c r="B43" s="29"/>
      <c r="C43" s="29"/>
      <c r="D43" s="29"/>
      <c r="E43" s="29"/>
      <c r="F43" s="29"/>
      <c r="G43" s="29"/>
      <c r="H43" s="247"/>
      <c r="I43" s="247"/>
      <c r="J43" s="247"/>
      <c r="K43" s="247"/>
      <c r="L43" s="247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</row>
    <row r="44" ht="15.75" customHeight="1">
      <c r="A44" s="29"/>
      <c r="B44" s="29"/>
      <c r="C44" s="29"/>
      <c r="D44" s="29"/>
      <c r="E44" s="29"/>
      <c r="F44" s="29"/>
      <c r="G44" s="29"/>
      <c r="H44" s="247"/>
      <c r="I44" s="247"/>
      <c r="J44" s="247"/>
      <c r="K44" s="247"/>
      <c r="L44" s="247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</row>
    <row r="45" ht="15.75" customHeight="1">
      <c r="A45" s="29"/>
      <c r="B45" s="29"/>
      <c r="C45" s="29"/>
      <c r="D45" s="29"/>
      <c r="E45" s="29"/>
      <c r="F45" s="29"/>
      <c r="G45" s="29"/>
      <c r="H45" s="247"/>
      <c r="I45" s="247"/>
      <c r="J45" s="247"/>
      <c r="K45" s="247"/>
      <c r="L45" s="247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</row>
    <row r="46" ht="15.75" customHeight="1">
      <c r="A46" s="29"/>
      <c r="B46" s="29"/>
      <c r="C46" s="29"/>
      <c r="D46" s="29"/>
      <c r="E46" s="29"/>
      <c r="F46" s="29"/>
      <c r="G46" s="29"/>
      <c r="H46" s="247"/>
      <c r="I46" s="247"/>
      <c r="J46" s="247"/>
      <c r="K46" s="247"/>
      <c r="L46" s="247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</row>
    <row r="47" ht="15.75" customHeight="1">
      <c r="A47" s="29"/>
      <c r="B47" s="29"/>
      <c r="C47" s="29"/>
      <c r="D47" s="29"/>
      <c r="E47" s="29"/>
      <c r="F47" s="29"/>
      <c r="G47" s="29"/>
      <c r="H47" s="247"/>
      <c r="I47" s="247"/>
      <c r="J47" s="247"/>
      <c r="K47" s="247"/>
      <c r="L47" s="247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</row>
    <row r="48" ht="15.75" customHeight="1">
      <c r="A48" s="29"/>
      <c r="B48" s="29"/>
      <c r="C48" s="29"/>
      <c r="D48" s="29"/>
      <c r="E48" s="29"/>
      <c r="F48" s="29"/>
      <c r="G48" s="29"/>
      <c r="H48" s="247"/>
      <c r="I48" s="247"/>
      <c r="J48" s="247"/>
      <c r="K48" s="247"/>
      <c r="L48" s="247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</row>
    <row r="49" ht="15.75" customHeight="1">
      <c r="A49" s="29"/>
      <c r="B49" s="29"/>
      <c r="C49" s="29"/>
      <c r="D49" s="29"/>
      <c r="E49" s="29"/>
      <c r="F49" s="29"/>
      <c r="G49" s="29"/>
      <c r="H49" s="247"/>
      <c r="I49" s="247"/>
      <c r="J49" s="247"/>
      <c r="K49" s="247"/>
      <c r="L49" s="247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</row>
    <row r="50" ht="15.75" customHeight="1">
      <c r="A50" s="29"/>
      <c r="B50" s="29"/>
      <c r="C50" s="29"/>
      <c r="D50" s="29"/>
      <c r="E50" s="29"/>
      <c r="F50" s="29"/>
      <c r="G50" s="29"/>
      <c r="H50" s="247"/>
      <c r="I50" s="247"/>
      <c r="J50" s="247"/>
      <c r="K50" s="247"/>
      <c r="L50" s="247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</row>
    <row r="51" ht="15.75" customHeight="1">
      <c r="A51" s="29"/>
      <c r="B51" s="29"/>
      <c r="C51" s="29"/>
      <c r="D51" s="29"/>
      <c r="E51" s="29"/>
      <c r="F51" s="29"/>
      <c r="G51" s="29"/>
      <c r="H51" s="247"/>
      <c r="I51" s="247"/>
      <c r="J51" s="247"/>
      <c r="K51" s="247"/>
      <c r="L51" s="247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</row>
    <row r="52" ht="15.75" customHeight="1">
      <c r="A52" s="29"/>
      <c r="B52" s="29"/>
      <c r="C52" s="29"/>
      <c r="D52" s="29"/>
      <c r="E52" s="29"/>
      <c r="F52" s="29"/>
      <c r="G52" s="29"/>
      <c r="H52" s="247"/>
      <c r="I52" s="247"/>
      <c r="J52" s="247"/>
      <c r="K52" s="247"/>
      <c r="L52" s="247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</row>
    <row r="53" ht="15.75" customHeight="1">
      <c r="A53" s="29"/>
      <c r="B53" s="29"/>
      <c r="C53" s="29"/>
      <c r="D53" s="29"/>
      <c r="E53" s="29"/>
      <c r="F53" s="29"/>
      <c r="G53" s="29"/>
      <c r="H53" s="247"/>
      <c r="I53" s="247"/>
      <c r="J53" s="247"/>
      <c r="K53" s="247"/>
      <c r="L53" s="247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</row>
    <row r="54" ht="15.75" customHeight="1">
      <c r="A54" s="29"/>
      <c r="B54" s="29"/>
      <c r="C54" s="29"/>
      <c r="D54" s="29"/>
      <c r="E54" s="29"/>
      <c r="F54" s="29"/>
      <c r="G54" s="29"/>
      <c r="H54" s="247"/>
      <c r="I54" s="247"/>
      <c r="J54" s="247"/>
      <c r="K54" s="247"/>
      <c r="L54" s="247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</row>
    <row r="55" ht="15.75" customHeight="1">
      <c r="A55" s="29"/>
      <c r="B55" s="29"/>
      <c r="C55" s="29"/>
      <c r="D55" s="29"/>
      <c r="E55" s="29"/>
      <c r="F55" s="29"/>
      <c r="G55" s="29"/>
      <c r="H55" s="247"/>
      <c r="I55" s="247"/>
      <c r="J55" s="247"/>
      <c r="K55" s="247"/>
      <c r="L55" s="247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</row>
    <row r="56" ht="15.75" customHeight="1">
      <c r="A56" s="29"/>
      <c r="B56" s="29"/>
      <c r="C56" s="29"/>
      <c r="D56" s="29"/>
      <c r="E56" s="29"/>
      <c r="F56" s="29"/>
      <c r="G56" s="29"/>
      <c r="H56" s="247"/>
      <c r="I56" s="247"/>
      <c r="J56" s="247"/>
      <c r="K56" s="247"/>
      <c r="L56" s="247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</row>
    <row r="57" ht="15.75" customHeight="1">
      <c r="A57" s="29"/>
      <c r="B57" s="29"/>
      <c r="C57" s="29"/>
      <c r="D57" s="29"/>
      <c r="E57" s="29"/>
      <c r="F57" s="29"/>
      <c r="G57" s="29"/>
      <c r="H57" s="247"/>
      <c r="I57" s="247"/>
      <c r="J57" s="247"/>
      <c r="K57" s="247"/>
      <c r="L57" s="247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</row>
    <row r="58" ht="15.75" customHeight="1">
      <c r="A58" s="29"/>
      <c r="B58" s="29"/>
      <c r="C58" s="29"/>
      <c r="D58" s="29"/>
      <c r="E58" s="29"/>
      <c r="F58" s="29"/>
      <c r="G58" s="29"/>
      <c r="H58" s="247"/>
      <c r="I58" s="247"/>
      <c r="J58" s="247"/>
      <c r="K58" s="247"/>
      <c r="L58" s="247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</row>
    <row r="59" ht="15.75" customHeight="1">
      <c r="A59" s="29"/>
      <c r="B59" s="29"/>
      <c r="C59" s="29"/>
      <c r="D59" s="29"/>
      <c r="E59" s="29"/>
      <c r="F59" s="29"/>
      <c r="G59" s="29"/>
      <c r="H59" s="247"/>
      <c r="I59" s="247"/>
      <c r="J59" s="247"/>
      <c r="K59" s="247"/>
      <c r="L59" s="247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</row>
    <row r="60" ht="15.75" customHeight="1">
      <c r="A60" s="29"/>
      <c r="B60" s="29"/>
      <c r="C60" s="29"/>
      <c r="D60" s="29"/>
      <c r="E60" s="29"/>
      <c r="F60" s="29"/>
      <c r="G60" s="29"/>
      <c r="H60" s="247"/>
      <c r="I60" s="247"/>
      <c r="J60" s="247"/>
      <c r="K60" s="247"/>
      <c r="L60" s="247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</row>
    <row r="61" ht="15.75" customHeight="1">
      <c r="A61" s="29"/>
      <c r="B61" s="29"/>
      <c r="C61" s="29"/>
      <c r="D61" s="29"/>
      <c r="E61" s="29"/>
      <c r="F61" s="29"/>
      <c r="G61" s="29"/>
      <c r="H61" s="247"/>
      <c r="I61" s="247"/>
      <c r="J61" s="247"/>
      <c r="K61" s="247"/>
      <c r="L61" s="247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</row>
    <row r="62" ht="15.75" customHeight="1">
      <c r="A62" s="29"/>
      <c r="B62" s="29"/>
      <c r="C62" s="29"/>
      <c r="D62" s="29"/>
      <c r="E62" s="29"/>
      <c r="F62" s="29"/>
      <c r="G62" s="29"/>
      <c r="H62" s="247"/>
      <c r="I62" s="247"/>
      <c r="J62" s="247"/>
      <c r="K62" s="247"/>
      <c r="L62" s="247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</row>
    <row r="63" ht="15.75" customHeight="1">
      <c r="A63" s="29"/>
      <c r="B63" s="29"/>
      <c r="C63" s="29"/>
      <c r="D63" s="29"/>
      <c r="E63" s="29"/>
      <c r="F63" s="29"/>
      <c r="G63" s="29"/>
      <c r="H63" s="247"/>
      <c r="I63" s="247"/>
      <c r="J63" s="247"/>
      <c r="K63" s="247"/>
      <c r="L63" s="247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</row>
    <row r="64" ht="15.75" customHeight="1">
      <c r="A64" s="29"/>
      <c r="B64" s="29"/>
      <c r="C64" s="29"/>
      <c r="D64" s="29"/>
      <c r="E64" s="29"/>
      <c r="F64" s="29"/>
      <c r="G64" s="29"/>
      <c r="H64" s="247"/>
      <c r="I64" s="247"/>
      <c r="J64" s="247"/>
      <c r="K64" s="247"/>
      <c r="L64" s="247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</row>
    <row r="65" ht="15.75" customHeight="1">
      <c r="A65" s="29"/>
      <c r="B65" s="29"/>
      <c r="C65" s="29"/>
      <c r="D65" s="29"/>
      <c r="E65" s="29"/>
      <c r="F65" s="29"/>
      <c r="G65" s="29"/>
      <c r="H65" s="247"/>
      <c r="I65" s="247"/>
      <c r="J65" s="247"/>
      <c r="K65" s="247"/>
      <c r="L65" s="247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</row>
    <row r="66" ht="15.75" customHeight="1">
      <c r="A66" s="29"/>
      <c r="B66" s="29"/>
      <c r="C66" s="29"/>
      <c r="D66" s="29"/>
      <c r="E66" s="29"/>
      <c r="F66" s="29"/>
      <c r="G66" s="29"/>
      <c r="H66" s="247"/>
      <c r="I66" s="247"/>
      <c r="J66" s="247"/>
      <c r="K66" s="247"/>
      <c r="L66" s="247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</row>
    <row r="67" ht="15.75" customHeight="1">
      <c r="A67" s="29"/>
      <c r="B67" s="29"/>
      <c r="C67" s="29"/>
      <c r="D67" s="29"/>
      <c r="E67" s="29"/>
      <c r="F67" s="29"/>
      <c r="G67" s="29"/>
      <c r="H67" s="247"/>
      <c r="I67" s="247"/>
      <c r="J67" s="247"/>
      <c r="K67" s="247"/>
      <c r="L67" s="247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</row>
    <row r="68" ht="15.75" customHeight="1">
      <c r="A68" s="29"/>
      <c r="B68" s="29"/>
      <c r="C68" s="29"/>
      <c r="D68" s="29"/>
      <c r="E68" s="29"/>
      <c r="F68" s="29"/>
      <c r="G68" s="29"/>
      <c r="H68" s="247"/>
      <c r="I68" s="247"/>
      <c r="J68" s="247"/>
      <c r="K68" s="247"/>
      <c r="L68" s="247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</row>
    <row r="69" ht="15.75" customHeight="1">
      <c r="A69" s="29"/>
      <c r="B69" s="29"/>
      <c r="C69" s="29"/>
      <c r="D69" s="29"/>
      <c r="E69" s="29"/>
      <c r="F69" s="29"/>
      <c r="G69" s="29"/>
      <c r="H69" s="247"/>
      <c r="I69" s="247"/>
      <c r="J69" s="247"/>
      <c r="K69" s="247"/>
      <c r="L69" s="247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</row>
    <row r="70" ht="15.75" customHeight="1">
      <c r="A70" s="29"/>
      <c r="B70" s="29"/>
      <c r="C70" s="29"/>
      <c r="D70" s="29"/>
      <c r="E70" s="29"/>
      <c r="F70" s="29"/>
      <c r="G70" s="29"/>
      <c r="H70" s="247"/>
      <c r="I70" s="247"/>
      <c r="J70" s="247"/>
      <c r="K70" s="247"/>
      <c r="L70" s="247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</row>
    <row r="71" ht="15.75" customHeight="1">
      <c r="A71" s="29"/>
      <c r="B71" s="29"/>
      <c r="C71" s="29"/>
      <c r="D71" s="29"/>
      <c r="E71" s="29"/>
      <c r="F71" s="29"/>
      <c r="G71" s="29"/>
      <c r="H71" s="247"/>
      <c r="I71" s="247"/>
      <c r="J71" s="247"/>
      <c r="K71" s="247"/>
      <c r="L71" s="247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</row>
    <row r="72" ht="15.75" customHeight="1">
      <c r="A72" s="29"/>
      <c r="B72" s="29"/>
      <c r="C72" s="29"/>
      <c r="D72" s="29"/>
      <c r="E72" s="29"/>
      <c r="F72" s="29"/>
      <c r="G72" s="29"/>
      <c r="H72" s="247"/>
      <c r="I72" s="247"/>
      <c r="J72" s="247"/>
      <c r="K72" s="247"/>
      <c r="L72" s="247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</row>
    <row r="73" ht="15.75" customHeight="1">
      <c r="A73" s="29"/>
      <c r="B73" s="29"/>
      <c r="C73" s="29"/>
      <c r="D73" s="29"/>
      <c r="E73" s="29"/>
      <c r="F73" s="29"/>
      <c r="G73" s="29"/>
      <c r="H73" s="247"/>
      <c r="I73" s="247"/>
      <c r="J73" s="247"/>
      <c r="K73" s="247"/>
      <c r="L73" s="247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</row>
    <row r="74" ht="15.75" customHeight="1">
      <c r="A74" s="29"/>
      <c r="B74" s="29"/>
      <c r="C74" s="29"/>
      <c r="D74" s="29"/>
      <c r="E74" s="29"/>
      <c r="F74" s="29"/>
      <c r="G74" s="29"/>
      <c r="H74" s="247"/>
      <c r="I74" s="247"/>
      <c r="J74" s="247"/>
      <c r="K74" s="247"/>
      <c r="L74" s="247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</row>
    <row r="75" ht="15.75" customHeight="1">
      <c r="A75" s="29"/>
      <c r="B75" s="29"/>
      <c r="C75" s="29"/>
      <c r="D75" s="29"/>
      <c r="E75" s="29"/>
      <c r="F75" s="29"/>
      <c r="G75" s="29"/>
      <c r="H75" s="247"/>
      <c r="I75" s="247"/>
      <c r="J75" s="247"/>
      <c r="K75" s="247"/>
      <c r="L75" s="247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</row>
    <row r="76" ht="15.75" customHeight="1">
      <c r="A76" s="29"/>
      <c r="B76" s="29"/>
      <c r="C76" s="29"/>
      <c r="D76" s="29"/>
      <c r="E76" s="29"/>
      <c r="F76" s="29"/>
      <c r="G76" s="29"/>
      <c r="H76" s="247"/>
      <c r="I76" s="247"/>
      <c r="J76" s="247"/>
      <c r="K76" s="247"/>
      <c r="L76" s="247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</row>
    <row r="77" ht="15.75" customHeight="1">
      <c r="A77" s="29"/>
      <c r="B77" s="29"/>
      <c r="C77" s="29"/>
      <c r="D77" s="29"/>
      <c r="E77" s="29"/>
      <c r="F77" s="29"/>
      <c r="G77" s="29"/>
      <c r="H77" s="247"/>
      <c r="I77" s="247"/>
      <c r="J77" s="247"/>
      <c r="K77" s="247"/>
      <c r="L77" s="247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</row>
    <row r="78" ht="15.75" customHeight="1">
      <c r="A78" s="29"/>
      <c r="B78" s="29"/>
      <c r="C78" s="29"/>
      <c r="D78" s="29"/>
      <c r="E78" s="29"/>
      <c r="F78" s="29"/>
      <c r="G78" s="29"/>
      <c r="H78" s="247"/>
      <c r="I78" s="247"/>
      <c r="J78" s="247"/>
      <c r="K78" s="247"/>
      <c r="L78" s="247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</row>
    <row r="79" ht="15.75" customHeight="1">
      <c r="A79" s="29"/>
      <c r="B79" s="29"/>
      <c r="C79" s="29"/>
      <c r="D79" s="29"/>
      <c r="E79" s="29"/>
      <c r="F79" s="29"/>
      <c r="G79" s="29"/>
      <c r="H79" s="247"/>
      <c r="I79" s="247"/>
      <c r="J79" s="247"/>
      <c r="K79" s="247"/>
      <c r="L79" s="247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</row>
    <row r="80" ht="15.75" customHeight="1">
      <c r="A80" s="29"/>
      <c r="B80" s="29"/>
      <c r="C80" s="29"/>
      <c r="D80" s="29"/>
      <c r="E80" s="29"/>
      <c r="F80" s="29"/>
      <c r="G80" s="29"/>
      <c r="H80" s="247"/>
      <c r="I80" s="247"/>
      <c r="J80" s="247"/>
      <c r="K80" s="247"/>
      <c r="L80" s="247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</row>
    <row r="81" ht="15.75" customHeight="1">
      <c r="A81" s="29"/>
      <c r="B81" s="29"/>
      <c r="C81" s="29"/>
      <c r="D81" s="29"/>
      <c r="E81" s="29"/>
      <c r="F81" s="29"/>
      <c r="G81" s="29"/>
      <c r="H81" s="247"/>
      <c r="I81" s="247"/>
      <c r="J81" s="247"/>
      <c r="K81" s="247"/>
      <c r="L81" s="247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</row>
    <row r="82" ht="15.75" customHeight="1">
      <c r="A82" s="29"/>
      <c r="B82" s="29"/>
      <c r="C82" s="29"/>
      <c r="D82" s="29"/>
      <c r="E82" s="29"/>
      <c r="F82" s="29"/>
      <c r="G82" s="29"/>
      <c r="H82" s="247"/>
      <c r="I82" s="247"/>
      <c r="J82" s="247"/>
      <c r="K82" s="247"/>
      <c r="L82" s="247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</row>
    <row r="83" ht="15.75" customHeight="1">
      <c r="A83" s="29"/>
      <c r="B83" s="29"/>
      <c r="C83" s="29"/>
      <c r="D83" s="29"/>
      <c r="E83" s="29"/>
      <c r="F83" s="29"/>
      <c r="G83" s="29"/>
      <c r="H83" s="247"/>
      <c r="I83" s="247"/>
      <c r="J83" s="247"/>
      <c r="K83" s="247"/>
      <c r="L83" s="247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</row>
    <row r="84" ht="15.75" customHeight="1">
      <c r="A84" s="29"/>
      <c r="B84" s="29"/>
      <c r="C84" s="29"/>
      <c r="D84" s="29"/>
      <c r="E84" s="29"/>
      <c r="F84" s="29"/>
      <c r="G84" s="29"/>
      <c r="H84" s="247"/>
      <c r="I84" s="247"/>
      <c r="J84" s="247"/>
      <c r="K84" s="247"/>
      <c r="L84" s="247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</row>
    <row r="85" ht="15.75" customHeight="1">
      <c r="A85" s="29"/>
      <c r="B85" s="29"/>
      <c r="C85" s="29"/>
      <c r="D85" s="29"/>
      <c r="E85" s="29"/>
      <c r="F85" s="29"/>
      <c r="G85" s="29"/>
      <c r="H85" s="247"/>
      <c r="I85" s="247"/>
      <c r="J85" s="247"/>
      <c r="K85" s="247"/>
      <c r="L85" s="247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</row>
    <row r="86" ht="15.75" customHeight="1">
      <c r="A86" s="29"/>
      <c r="B86" s="29"/>
      <c r="C86" s="29"/>
      <c r="D86" s="29"/>
      <c r="E86" s="29"/>
      <c r="F86" s="29"/>
      <c r="G86" s="29"/>
      <c r="H86" s="247"/>
      <c r="I86" s="247"/>
      <c r="J86" s="247"/>
      <c r="K86" s="247"/>
      <c r="L86" s="247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</row>
    <row r="87" ht="15.75" customHeight="1">
      <c r="A87" s="29"/>
      <c r="B87" s="29"/>
      <c r="C87" s="29"/>
      <c r="D87" s="29"/>
      <c r="E87" s="29"/>
      <c r="F87" s="29"/>
      <c r="G87" s="29"/>
      <c r="H87" s="247"/>
      <c r="I87" s="247"/>
      <c r="J87" s="247"/>
      <c r="K87" s="247"/>
      <c r="L87" s="247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</row>
    <row r="88" ht="15.75" customHeight="1">
      <c r="A88" s="29"/>
      <c r="B88" s="29"/>
      <c r="C88" s="29"/>
      <c r="D88" s="29"/>
      <c r="E88" s="29"/>
      <c r="F88" s="29"/>
      <c r="G88" s="29"/>
      <c r="H88" s="247"/>
      <c r="I88" s="247"/>
      <c r="J88" s="247"/>
      <c r="K88" s="247"/>
      <c r="L88" s="247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</row>
    <row r="89" ht="15.75" customHeight="1">
      <c r="A89" s="29"/>
      <c r="B89" s="29"/>
      <c r="C89" s="29"/>
      <c r="D89" s="29"/>
      <c r="E89" s="29"/>
      <c r="F89" s="29"/>
      <c r="G89" s="29"/>
      <c r="H89" s="247"/>
      <c r="I89" s="247"/>
      <c r="J89" s="247"/>
      <c r="K89" s="247"/>
      <c r="L89" s="247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</row>
    <row r="90" ht="15.75" customHeight="1">
      <c r="A90" s="29"/>
      <c r="B90" s="29"/>
      <c r="C90" s="29"/>
      <c r="D90" s="29"/>
      <c r="E90" s="29"/>
      <c r="F90" s="29"/>
      <c r="G90" s="29"/>
      <c r="H90" s="247"/>
      <c r="I90" s="247"/>
      <c r="J90" s="247"/>
      <c r="K90" s="247"/>
      <c r="L90" s="247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</row>
    <row r="91" ht="15.75" customHeight="1">
      <c r="A91" s="29"/>
      <c r="B91" s="29"/>
      <c r="C91" s="29"/>
      <c r="D91" s="29"/>
      <c r="E91" s="29"/>
      <c r="F91" s="29"/>
      <c r="G91" s="29"/>
      <c r="H91" s="247"/>
      <c r="I91" s="247"/>
      <c r="J91" s="247"/>
      <c r="K91" s="247"/>
      <c r="L91" s="247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</row>
    <row r="92" ht="15.75" customHeight="1">
      <c r="A92" s="29"/>
      <c r="B92" s="29"/>
      <c r="C92" s="29"/>
      <c r="D92" s="29"/>
      <c r="E92" s="29"/>
      <c r="F92" s="29"/>
      <c r="G92" s="29"/>
      <c r="H92" s="247"/>
      <c r="I92" s="247"/>
      <c r="J92" s="247"/>
      <c r="K92" s="247"/>
      <c r="L92" s="247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</row>
    <row r="93" ht="15.75" customHeight="1">
      <c r="A93" s="29"/>
      <c r="B93" s="29"/>
      <c r="C93" s="29"/>
      <c r="D93" s="29"/>
      <c r="E93" s="29"/>
      <c r="F93" s="29"/>
      <c r="G93" s="29"/>
      <c r="H93" s="247"/>
      <c r="I93" s="247"/>
      <c r="J93" s="247"/>
      <c r="K93" s="247"/>
      <c r="L93" s="247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</row>
    <row r="94" ht="15.75" customHeight="1">
      <c r="A94" s="29"/>
      <c r="B94" s="29"/>
      <c r="C94" s="29"/>
      <c r="D94" s="29"/>
      <c r="E94" s="29"/>
      <c r="F94" s="29"/>
      <c r="G94" s="29"/>
      <c r="H94" s="247"/>
      <c r="I94" s="247"/>
      <c r="J94" s="247"/>
      <c r="K94" s="247"/>
      <c r="L94" s="247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</row>
    <row r="95" ht="15.75" customHeight="1">
      <c r="A95" s="29"/>
      <c r="B95" s="29"/>
      <c r="C95" s="29"/>
      <c r="D95" s="29"/>
      <c r="E95" s="29"/>
      <c r="F95" s="29"/>
      <c r="G95" s="29"/>
      <c r="H95" s="247"/>
      <c r="I95" s="247"/>
      <c r="J95" s="247"/>
      <c r="K95" s="247"/>
      <c r="L95" s="247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</row>
    <row r="96" ht="15.75" customHeight="1">
      <c r="A96" s="29"/>
      <c r="B96" s="29"/>
      <c r="C96" s="29"/>
      <c r="D96" s="29"/>
      <c r="E96" s="29"/>
      <c r="F96" s="29"/>
      <c r="G96" s="29"/>
      <c r="H96" s="247"/>
      <c r="I96" s="247"/>
      <c r="J96" s="247"/>
      <c r="K96" s="247"/>
      <c r="L96" s="247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</row>
    <row r="97" ht="15.75" customHeight="1">
      <c r="A97" s="29"/>
      <c r="B97" s="29"/>
      <c r="C97" s="29"/>
      <c r="D97" s="29"/>
      <c r="E97" s="29"/>
      <c r="F97" s="29"/>
      <c r="G97" s="29"/>
      <c r="H97" s="247"/>
      <c r="I97" s="247"/>
      <c r="J97" s="247"/>
      <c r="K97" s="247"/>
      <c r="L97" s="247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</row>
    <row r="98" ht="15.75" customHeight="1">
      <c r="A98" s="29"/>
      <c r="B98" s="29"/>
      <c r="C98" s="29"/>
      <c r="D98" s="29"/>
      <c r="E98" s="29"/>
      <c r="F98" s="29"/>
      <c r="G98" s="29"/>
      <c r="H98" s="247"/>
      <c r="I98" s="247"/>
      <c r="J98" s="247"/>
      <c r="K98" s="247"/>
      <c r="L98" s="247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</row>
    <row r="99" ht="15.75" customHeight="1">
      <c r="A99" s="29"/>
      <c r="B99" s="29"/>
      <c r="C99" s="29"/>
      <c r="D99" s="29"/>
      <c r="E99" s="29"/>
      <c r="F99" s="29"/>
      <c r="G99" s="29"/>
      <c r="H99" s="247"/>
      <c r="I99" s="247"/>
      <c r="J99" s="247"/>
      <c r="K99" s="247"/>
      <c r="L99" s="247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47"/>
      <c r="I100" s="247"/>
      <c r="J100" s="247"/>
      <c r="K100" s="247"/>
      <c r="L100" s="247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47"/>
      <c r="I101" s="247"/>
      <c r="J101" s="247"/>
      <c r="K101" s="247"/>
      <c r="L101" s="247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47"/>
      <c r="I102" s="247"/>
      <c r="J102" s="247"/>
      <c r="K102" s="247"/>
      <c r="L102" s="247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47"/>
      <c r="I103" s="247"/>
      <c r="J103" s="247"/>
      <c r="K103" s="247"/>
      <c r="L103" s="247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47"/>
      <c r="I104" s="247"/>
      <c r="J104" s="247"/>
      <c r="K104" s="247"/>
      <c r="L104" s="247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47"/>
      <c r="I105" s="247"/>
      <c r="J105" s="247"/>
      <c r="K105" s="247"/>
      <c r="L105" s="247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47"/>
      <c r="I106" s="247"/>
      <c r="J106" s="247"/>
      <c r="K106" s="247"/>
      <c r="L106" s="247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47"/>
      <c r="I107" s="247"/>
      <c r="J107" s="247"/>
      <c r="K107" s="247"/>
      <c r="L107" s="247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47"/>
      <c r="I108" s="247"/>
      <c r="J108" s="247"/>
      <c r="K108" s="247"/>
      <c r="L108" s="247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47"/>
      <c r="I109" s="247"/>
      <c r="J109" s="247"/>
      <c r="K109" s="247"/>
      <c r="L109" s="247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47"/>
      <c r="I110" s="247"/>
      <c r="J110" s="247"/>
      <c r="K110" s="247"/>
      <c r="L110" s="247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47"/>
      <c r="I111" s="247"/>
      <c r="J111" s="247"/>
      <c r="K111" s="247"/>
      <c r="L111" s="247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47"/>
      <c r="I112" s="247"/>
      <c r="J112" s="247"/>
      <c r="K112" s="247"/>
      <c r="L112" s="247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47"/>
      <c r="I113" s="247"/>
      <c r="J113" s="247"/>
      <c r="K113" s="247"/>
      <c r="L113" s="247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47"/>
      <c r="I114" s="247"/>
      <c r="J114" s="247"/>
      <c r="K114" s="247"/>
      <c r="L114" s="247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47"/>
      <c r="I115" s="247"/>
      <c r="J115" s="247"/>
      <c r="K115" s="247"/>
      <c r="L115" s="247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47"/>
      <c r="I116" s="247"/>
      <c r="J116" s="247"/>
      <c r="K116" s="247"/>
      <c r="L116" s="247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47"/>
      <c r="I117" s="247"/>
      <c r="J117" s="247"/>
      <c r="K117" s="247"/>
      <c r="L117" s="247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47"/>
      <c r="I118" s="247"/>
      <c r="J118" s="247"/>
      <c r="K118" s="247"/>
      <c r="L118" s="247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47"/>
      <c r="I119" s="247"/>
      <c r="J119" s="247"/>
      <c r="K119" s="247"/>
      <c r="L119" s="247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47"/>
      <c r="I120" s="247"/>
      <c r="J120" s="247"/>
      <c r="K120" s="247"/>
      <c r="L120" s="247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47"/>
      <c r="I121" s="247"/>
      <c r="J121" s="247"/>
      <c r="K121" s="247"/>
      <c r="L121" s="247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47"/>
      <c r="I122" s="247"/>
      <c r="J122" s="247"/>
      <c r="K122" s="247"/>
      <c r="L122" s="247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47"/>
      <c r="I123" s="247"/>
      <c r="J123" s="247"/>
      <c r="K123" s="247"/>
      <c r="L123" s="247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47"/>
      <c r="I124" s="247"/>
      <c r="J124" s="247"/>
      <c r="K124" s="247"/>
      <c r="L124" s="247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47"/>
      <c r="I125" s="247"/>
      <c r="J125" s="247"/>
      <c r="K125" s="247"/>
      <c r="L125" s="247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47"/>
      <c r="I126" s="247"/>
      <c r="J126" s="247"/>
      <c r="K126" s="247"/>
      <c r="L126" s="247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47"/>
      <c r="I127" s="247"/>
      <c r="J127" s="247"/>
      <c r="K127" s="247"/>
      <c r="L127" s="247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47"/>
      <c r="I128" s="247"/>
      <c r="J128" s="247"/>
      <c r="K128" s="247"/>
      <c r="L128" s="247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47"/>
      <c r="I129" s="247"/>
      <c r="J129" s="247"/>
      <c r="K129" s="247"/>
      <c r="L129" s="247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47"/>
      <c r="I130" s="247"/>
      <c r="J130" s="247"/>
      <c r="K130" s="247"/>
      <c r="L130" s="247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47"/>
      <c r="I131" s="247"/>
      <c r="J131" s="247"/>
      <c r="K131" s="247"/>
      <c r="L131" s="247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47"/>
      <c r="I132" s="247"/>
      <c r="J132" s="247"/>
      <c r="K132" s="247"/>
      <c r="L132" s="247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47"/>
      <c r="I133" s="247"/>
      <c r="J133" s="247"/>
      <c r="K133" s="247"/>
      <c r="L133" s="247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47"/>
      <c r="I134" s="247"/>
      <c r="J134" s="247"/>
      <c r="K134" s="247"/>
      <c r="L134" s="247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47"/>
      <c r="I135" s="247"/>
      <c r="J135" s="247"/>
      <c r="K135" s="247"/>
      <c r="L135" s="247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47"/>
      <c r="I136" s="247"/>
      <c r="J136" s="247"/>
      <c r="K136" s="247"/>
      <c r="L136" s="247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47"/>
      <c r="I137" s="247"/>
      <c r="J137" s="247"/>
      <c r="K137" s="247"/>
      <c r="L137" s="247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47"/>
      <c r="I138" s="247"/>
      <c r="J138" s="247"/>
      <c r="K138" s="247"/>
      <c r="L138" s="247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47"/>
      <c r="I139" s="247"/>
      <c r="J139" s="247"/>
      <c r="K139" s="247"/>
      <c r="L139" s="247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47"/>
      <c r="I140" s="247"/>
      <c r="J140" s="247"/>
      <c r="K140" s="247"/>
      <c r="L140" s="247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47"/>
      <c r="I141" s="247"/>
      <c r="J141" s="247"/>
      <c r="K141" s="247"/>
      <c r="L141" s="247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47"/>
      <c r="I142" s="247"/>
      <c r="J142" s="247"/>
      <c r="K142" s="247"/>
      <c r="L142" s="247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47"/>
      <c r="I143" s="247"/>
      <c r="J143" s="247"/>
      <c r="K143" s="247"/>
      <c r="L143" s="247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47"/>
      <c r="I144" s="247"/>
      <c r="J144" s="247"/>
      <c r="K144" s="247"/>
      <c r="L144" s="247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47"/>
      <c r="I145" s="247"/>
      <c r="J145" s="247"/>
      <c r="K145" s="247"/>
      <c r="L145" s="247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47"/>
      <c r="I146" s="247"/>
      <c r="J146" s="247"/>
      <c r="K146" s="247"/>
      <c r="L146" s="247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47"/>
      <c r="I147" s="247"/>
      <c r="J147" s="247"/>
      <c r="K147" s="247"/>
      <c r="L147" s="247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47"/>
      <c r="I148" s="247"/>
      <c r="J148" s="247"/>
      <c r="K148" s="247"/>
      <c r="L148" s="247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47"/>
      <c r="I149" s="247"/>
      <c r="J149" s="247"/>
      <c r="K149" s="247"/>
      <c r="L149" s="247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47"/>
      <c r="I150" s="247"/>
      <c r="J150" s="247"/>
      <c r="K150" s="247"/>
      <c r="L150" s="247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47"/>
      <c r="I151" s="247"/>
      <c r="J151" s="247"/>
      <c r="K151" s="247"/>
      <c r="L151" s="247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47"/>
      <c r="I152" s="247"/>
      <c r="J152" s="247"/>
      <c r="K152" s="247"/>
      <c r="L152" s="247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47"/>
      <c r="I153" s="247"/>
      <c r="J153" s="247"/>
      <c r="K153" s="247"/>
      <c r="L153" s="247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47"/>
      <c r="I154" s="247"/>
      <c r="J154" s="247"/>
      <c r="K154" s="247"/>
      <c r="L154" s="247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47"/>
      <c r="I155" s="247"/>
      <c r="J155" s="247"/>
      <c r="K155" s="247"/>
      <c r="L155" s="247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47"/>
      <c r="I156" s="247"/>
      <c r="J156" s="247"/>
      <c r="K156" s="247"/>
      <c r="L156" s="247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47"/>
      <c r="I157" s="247"/>
      <c r="J157" s="247"/>
      <c r="K157" s="247"/>
      <c r="L157" s="247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47"/>
      <c r="I158" s="247"/>
      <c r="J158" s="247"/>
      <c r="K158" s="247"/>
      <c r="L158" s="247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47"/>
      <c r="I159" s="247"/>
      <c r="J159" s="247"/>
      <c r="K159" s="247"/>
      <c r="L159" s="247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47"/>
      <c r="I160" s="247"/>
      <c r="J160" s="247"/>
      <c r="K160" s="247"/>
      <c r="L160" s="247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47"/>
      <c r="I161" s="247"/>
      <c r="J161" s="247"/>
      <c r="K161" s="247"/>
      <c r="L161" s="247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47"/>
      <c r="I162" s="247"/>
      <c r="J162" s="247"/>
      <c r="K162" s="247"/>
      <c r="L162" s="247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47"/>
      <c r="I163" s="247"/>
      <c r="J163" s="247"/>
      <c r="K163" s="247"/>
      <c r="L163" s="247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47"/>
      <c r="I164" s="247"/>
      <c r="J164" s="247"/>
      <c r="K164" s="247"/>
      <c r="L164" s="247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47"/>
      <c r="I165" s="247"/>
      <c r="J165" s="247"/>
      <c r="K165" s="247"/>
      <c r="L165" s="247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47"/>
      <c r="I166" s="247"/>
      <c r="J166" s="247"/>
      <c r="K166" s="247"/>
      <c r="L166" s="247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47"/>
      <c r="I167" s="247"/>
      <c r="J167" s="247"/>
      <c r="K167" s="247"/>
      <c r="L167" s="247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47"/>
      <c r="I168" s="247"/>
      <c r="J168" s="247"/>
      <c r="K168" s="247"/>
      <c r="L168" s="247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47"/>
      <c r="I169" s="247"/>
      <c r="J169" s="247"/>
      <c r="K169" s="247"/>
      <c r="L169" s="247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47"/>
      <c r="I170" s="247"/>
      <c r="J170" s="247"/>
      <c r="K170" s="247"/>
      <c r="L170" s="247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47"/>
      <c r="I171" s="247"/>
      <c r="J171" s="247"/>
      <c r="K171" s="247"/>
      <c r="L171" s="247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47"/>
      <c r="I172" s="247"/>
      <c r="J172" s="247"/>
      <c r="K172" s="247"/>
      <c r="L172" s="247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47"/>
      <c r="I173" s="247"/>
      <c r="J173" s="247"/>
      <c r="K173" s="247"/>
      <c r="L173" s="247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47"/>
      <c r="I174" s="247"/>
      <c r="J174" s="247"/>
      <c r="K174" s="247"/>
      <c r="L174" s="247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47"/>
      <c r="I175" s="247"/>
      <c r="J175" s="247"/>
      <c r="K175" s="247"/>
      <c r="L175" s="247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47"/>
      <c r="I176" s="247"/>
      <c r="J176" s="247"/>
      <c r="K176" s="247"/>
      <c r="L176" s="247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47"/>
      <c r="I177" s="247"/>
      <c r="J177" s="247"/>
      <c r="K177" s="247"/>
      <c r="L177" s="247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47"/>
      <c r="I178" s="247"/>
      <c r="J178" s="247"/>
      <c r="K178" s="247"/>
      <c r="L178" s="247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47"/>
      <c r="I179" s="247"/>
      <c r="J179" s="247"/>
      <c r="K179" s="247"/>
      <c r="L179" s="247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47"/>
      <c r="I180" s="247"/>
      <c r="J180" s="247"/>
      <c r="K180" s="247"/>
      <c r="L180" s="247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47"/>
      <c r="I181" s="247"/>
      <c r="J181" s="247"/>
      <c r="K181" s="247"/>
      <c r="L181" s="247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47"/>
      <c r="I182" s="247"/>
      <c r="J182" s="247"/>
      <c r="K182" s="247"/>
      <c r="L182" s="247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47"/>
      <c r="I183" s="247"/>
      <c r="J183" s="247"/>
      <c r="K183" s="247"/>
      <c r="L183" s="247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47"/>
      <c r="I184" s="247"/>
      <c r="J184" s="247"/>
      <c r="K184" s="247"/>
      <c r="L184" s="247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47"/>
      <c r="I185" s="247"/>
      <c r="J185" s="247"/>
      <c r="K185" s="247"/>
      <c r="L185" s="247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47"/>
      <c r="I186" s="247"/>
      <c r="J186" s="247"/>
      <c r="K186" s="247"/>
      <c r="L186" s="247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47"/>
      <c r="I187" s="247"/>
      <c r="J187" s="247"/>
      <c r="K187" s="247"/>
      <c r="L187" s="247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47"/>
      <c r="I188" s="247"/>
      <c r="J188" s="247"/>
      <c r="K188" s="247"/>
      <c r="L188" s="247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47"/>
      <c r="I189" s="247"/>
      <c r="J189" s="247"/>
      <c r="K189" s="247"/>
      <c r="L189" s="247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47"/>
      <c r="I190" s="247"/>
      <c r="J190" s="247"/>
      <c r="K190" s="247"/>
      <c r="L190" s="247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47"/>
      <c r="I191" s="247"/>
      <c r="J191" s="247"/>
      <c r="K191" s="247"/>
      <c r="L191" s="247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47"/>
      <c r="I192" s="247"/>
      <c r="J192" s="247"/>
      <c r="K192" s="247"/>
      <c r="L192" s="247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47"/>
      <c r="I193" s="247"/>
      <c r="J193" s="247"/>
      <c r="K193" s="247"/>
      <c r="L193" s="247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47"/>
      <c r="I194" s="247"/>
      <c r="J194" s="247"/>
      <c r="K194" s="247"/>
      <c r="L194" s="247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47"/>
      <c r="I195" s="247"/>
      <c r="J195" s="247"/>
      <c r="K195" s="247"/>
      <c r="L195" s="247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47"/>
      <c r="I196" s="247"/>
      <c r="J196" s="247"/>
      <c r="K196" s="247"/>
      <c r="L196" s="247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47"/>
      <c r="I197" s="247"/>
      <c r="J197" s="247"/>
      <c r="K197" s="247"/>
      <c r="L197" s="247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47"/>
      <c r="I198" s="247"/>
      <c r="J198" s="247"/>
      <c r="K198" s="247"/>
      <c r="L198" s="247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47"/>
      <c r="I199" s="247"/>
      <c r="J199" s="247"/>
      <c r="K199" s="247"/>
      <c r="L199" s="247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47"/>
      <c r="I200" s="247"/>
      <c r="J200" s="247"/>
      <c r="K200" s="247"/>
      <c r="L200" s="247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47"/>
      <c r="I201" s="247"/>
      <c r="J201" s="247"/>
      <c r="K201" s="247"/>
      <c r="L201" s="247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47"/>
      <c r="I202" s="247"/>
      <c r="J202" s="247"/>
      <c r="K202" s="247"/>
      <c r="L202" s="247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47"/>
      <c r="I203" s="247"/>
      <c r="J203" s="247"/>
      <c r="K203" s="247"/>
      <c r="L203" s="247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47"/>
      <c r="I204" s="247"/>
      <c r="J204" s="247"/>
      <c r="K204" s="247"/>
      <c r="L204" s="247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47"/>
      <c r="I205" s="247"/>
      <c r="J205" s="247"/>
      <c r="K205" s="247"/>
      <c r="L205" s="247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47"/>
      <c r="I206" s="247"/>
      <c r="J206" s="247"/>
      <c r="K206" s="247"/>
      <c r="L206" s="247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47"/>
      <c r="I207" s="247"/>
      <c r="J207" s="247"/>
      <c r="K207" s="247"/>
      <c r="L207" s="247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47"/>
      <c r="I208" s="247"/>
      <c r="J208" s="247"/>
      <c r="K208" s="247"/>
      <c r="L208" s="247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47"/>
      <c r="I209" s="247"/>
      <c r="J209" s="247"/>
      <c r="K209" s="247"/>
      <c r="L209" s="247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47"/>
      <c r="I210" s="247"/>
      <c r="J210" s="247"/>
      <c r="K210" s="247"/>
      <c r="L210" s="247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47"/>
      <c r="I211" s="247"/>
      <c r="J211" s="247"/>
      <c r="K211" s="247"/>
      <c r="L211" s="247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47"/>
      <c r="I212" s="247"/>
      <c r="J212" s="247"/>
      <c r="K212" s="247"/>
      <c r="L212" s="247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47"/>
      <c r="I213" s="247"/>
      <c r="J213" s="247"/>
      <c r="K213" s="247"/>
      <c r="L213" s="247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47"/>
      <c r="I214" s="247"/>
      <c r="J214" s="247"/>
      <c r="K214" s="247"/>
      <c r="L214" s="247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47"/>
      <c r="I215" s="247"/>
      <c r="J215" s="247"/>
      <c r="K215" s="247"/>
      <c r="L215" s="247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47"/>
      <c r="I216" s="247"/>
      <c r="J216" s="247"/>
      <c r="K216" s="247"/>
      <c r="L216" s="247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47"/>
      <c r="I217" s="247"/>
      <c r="J217" s="247"/>
      <c r="K217" s="247"/>
      <c r="L217" s="247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47"/>
      <c r="I218" s="247"/>
      <c r="J218" s="247"/>
      <c r="K218" s="247"/>
      <c r="L218" s="247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47"/>
      <c r="I219" s="247"/>
      <c r="J219" s="247"/>
      <c r="K219" s="247"/>
      <c r="L219" s="247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47"/>
      <c r="I220" s="247"/>
      <c r="J220" s="247"/>
      <c r="K220" s="247"/>
      <c r="L220" s="247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47"/>
      <c r="I221" s="247"/>
      <c r="J221" s="247"/>
      <c r="K221" s="247"/>
      <c r="L221" s="247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47"/>
      <c r="I222" s="247"/>
      <c r="J222" s="247"/>
      <c r="K222" s="247"/>
      <c r="L222" s="247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47"/>
      <c r="I223" s="247"/>
      <c r="J223" s="247"/>
      <c r="K223" s="247"/>
      <c r="L223" s="247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47"/>
      <c r="I224" s="247"/>
      <c r="J224" s="247"/>
      <c r="K224" s="247"/>
      <c r="L224" s="247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47"/>
      <c r="I225" s="247"/>
      <c r="J225" s="247"/>
      <c r="K225" s="247"/>
      <c r="L225" s="247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47"/>
      <c r="I226" s="247"/>
      <c r="J226" s="247"/>
      <c r="K226" s="247"/>
      <c r="L226" s="247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47"/>
      <c r="I227" s="247"/>
      <c r="J227" s="247"/>
      <c r="K227" s="247"/>
      <c r="L227" s="247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47"/>
      <c r="I228" s="247"/>
      <c r="J228" s="247"/>
      <c r="K228" s="247"/>
      <c r="L228" s="247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47"/>
      <c r="I229" s="247"/>
      <c r="J229" s="247"/>
      <c r="K229" s="247"/>
      <c r="L229" s="247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47"/>
      <c r="I230" s="247"/>
      <c r="J230" s="247"/>
      <c r="K230" s="247"/>
      <c r="L230" s="247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47"/>
      <c r="I231" s="247"/>
      <c r="J231" s="247"/>
      <c r="K231" s="247"/>
      <c r="L231" s="247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47"/>
      <c r="I232" s="247"/>
      <c r="J232" s="247"/>
      <c r="K232" s="247"/>
      <c r="L232" s="247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47"/>
      <c r="I233" s="247"/>
      <c r="J233" s="247"/>
      <c r="K233" s="247"/>
      <c r="L233" s="247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47"/>
      <c r="I234" s="247"/>
      <c r="J234" s="247"/>
      <c r="K234" s="247"/>
      <c r="L234" s="247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47"/>
      <c r="I235" s="247"/>
      <c r="J235" s="247"/>
      <c r="K235" s="247"/>
      <c r="L235" s="247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47"/>
      <c r="I236" s="247"/>
      <c r="J236" s="247"/>
      <c r="K236" s="247"/>
      <c r="L236" s="247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47"/>
      <c r="I237" s="247"/>
      <c r="J237" s="247"/>
      <c r="K237" s="247"/>
      <c r="L237" s="247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47"/>
      <c r="I238" s="247"/>
      <c r="J238" s="247"/>
      <c r="K238" s="247"/>
      <c r="L238" s="247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47"/>
      <c r="I239" s="247"/>
      <c r="J239" s="247"/>
      <c r="K239" s="247"/>
      <c r="L239" s="247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47"/>
      <c r="I240" s="247"/>
      <c r="J240" s="247"/>
      <c r="K240" s="247"/>
      <c r="L240" s="247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47"/>
      <c r="I241" s="247"/>
      <c r="J241" s="247"/>
      <c r="K241" s="247"/>
      <c r="L241" s="247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47"/>
      <c r="I242" s="247"/>
      <c r="J242" s="247"/>
      <c r="K242" s="247"/>
      <c r="L242" s="247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47"/>
      <c r="I243" s="247"/>
      <c r="J243" s="247"/>
      <c r="K243" s="247"/>
      <c r="L243" s="247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47"/>
      <c r="I244" s="247"/>
      <c r="J244" s="247"/>
      <c r="K244" s="247"/>
      <c r="L244" s="247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47"/>
      <c r="I245" s="247"/>
      <c r="J245" s="247"/>
      <c r="K245" s="247"/>
      <c r="L245" s="247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47"/>
      <c r="I246" s="247"/>
      <c r="J246" s="247"/>
      <c r="K246" s="247"/>
      <c r="L246" s="247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47"/>
      <c r="I247" s="247"/>
      <c r="J247" s="247"/>
      <c r="K247" s="247"/>
      <c r="L247" s="247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47"/>
      <c r="I248" s="247"/>
      <c r="J248" s="247"/>
      <c r="K248" s="247"/>
      <c r="L248" s="247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47"/>
      <c r="I249" s="247"/>
      <c r="J249" s="247"/>
      <c r="K249" s="247"/>
      <c r="L249" s="247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47"/>
      <c r="I250" s="247"/>
      <c r="J250" s="247"/>
      <c r="K250" s="247"/>
      <c r="L250" s="247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47"/>
      <c r="I251" s="247"/>
      <c r="J251" s="247"/>
      <c r="K251" s="247"/>
      <c r="L251" s="247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47"/>
      <c r="I252" s="247"/>
      <c r="J252" s="247"/>
      <c r="K252" s="247"/>
      <c r="L252" s="247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47"/>
      <c r="I253" s="247"/>
      <c r="J253" s="247"/>
      <c r="K253" s="247"/>
      <c r="L253" s="247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47"/>
      <c r="I254" s="247"/>
      <c r="J254" s="247"/>
      <c r="K254" s="247"/>
      <c r="L254" s="247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47"/>
      <c r="I255" s="247"/>
      <c r="J255" s="247"/>
      <c r="K255" s="247"/>
      <c r="L255" s="247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47"/>
      <c r="I256" s="247"/>
      <c r="J256" s="247"/>
      <c r="K256" s="247"/>
      <c r="L256" s="247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47"/>
      <c r="I257" s="247"/>
      <c r="J257" s="247"/>
      <c r="K257" s="247"/>
      <c r="L257" s="247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47"/>
      <c r="I258" s="247"/>
      <c r="J258" s="247"/>
      <c r="K258" s="247"/>
      <c r="L258" s="247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47"/>
      <c r="I259" s="247"/>
      <c r="J259" s="247"/>
      <c r="K259" s="247"/>
      <c r="L259" s="247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47"/>
      <c r="I260" s="247"/>
      <c r="J260" s="247"/>
      <c r="K260" s="247"/>
      <c r="L260" s="247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47"/>
      <c r="I261" s="247"/>
      <c r="J261" s="247"/>
      <c r="K261" s="247"/>
      <c r="L261" s="247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47"/>
      <c r="I262" s="247"/>
      <c r="J262" s="247"/>
      <c r="K262" s="247"/>
      <c r="L262" s="247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47"/>
      <c r="I263" s="247"/>
      <c r="J263" s="247"/>
      <c r="K263" s="247"/>
      <c r="L263" s="247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47"/>
      <c r="I264" s="247"/>
      <c r="J264" s="247"/>
      <c r="K264" s="247"/>
      <c r="L264" s="247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47"/>
      <c r="I265" s="247"/>
      <c r="J265" s="247"/>
      <c r="K265" s="247"/>
      <c r="L265" s="247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47"/>
      <c r="I266" s="247"/>
      <c r="J266" s="247"/>
      <c r="K266" s="247"/>
      <c r="L266" s="247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47"/>
      <c r="I267" s="247"/>
      <c r="J267" s="247"/>
      <c r="K267" s="247"/>
      <c r="L267" s="247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47"/>
      <c r="I268" s="247"/>
      <c r="J268" s="247"/>
      <c r="K268" s="247"/>
      <c r="L268" s="247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47"/>
      <c r="I269" s="247"/>
      <c r="J269" s="247"/>
      <c r="K269" s="247"/>
      <c r="L269" s="247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47"/>
      <c r="I270" s="247"/>
      <c r="J270" s="247"/>
      <c r="K270" s="247"/>
      <c r="L270" s="247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47"/>
      <c r="I271" s="247"/>
      <c r="J271" s="247"/>
      <c r="K271" s="247"/>
      <c r="L271" s="247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47"/>
      <c r="I272" s="247"/>
      <c r="J272" s="247"/>
      <c r="K272" s="247"/>
      <c r="L272" s="247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47"/>
      <c r="I273" s="247"/>
      <c r="J273" s="247"/>
      <c r="K273" s="247"/>
      <c r="L273" s="247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47"/>
      <c r="I274" s="247"/>
      <c r="J274" s="247"/>
      <c r="K274" s="247"/>
      <c r="L274" s="247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47"/>
      <c r="I275" s="247"/>
      <c r="J275" s="247"/>
      <c r="K275" s="247"/>
      <c r="L275" s="247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47"/>
      <c r="I276" s="247"/>
      <c r="J276" s="247"/>
      <c r="K276" s="247"/>
      <c r="L276" s="247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47"/>
      <c r="I277" s="247"/>
      <c r="J277" s="247"/>
      <c r="K277" s="247"/>
      <c r="L277" s="247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47"/>
      <c r="I278" s="247"/>
      <c r="J278" s="247"/>
      <c r="K278" s="247"/>
      <c r="L278" s="247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47"/>
      <c r="I279" s="247"/>
      <c r="J279" s="247"/>
      <c r="K279" s="247"/>
      <c r="L279" s="247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47"/>
      <c r="I280" s="247"/>
      <c r="J280" s="247"/>
      <c r="K280" s="247"/>
      <c r="L280" s="247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47"/>
      <c r="I281" s="247"/>
      <c r="J281" s="247"/>
      <c r="K281" s="247"/>
      <c r="L281" s="247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47"/>
      <c r="I282" s="247"/>
      <c r="J282" s="247"/>
      <c r="K282" s="247"/>
      <c r="L282" s="247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47"/>
      <c r="I283" s="247"/>
      <c r="J283" s="247"/>
      <c r="K283" s="247"/>
      <c r="L283" s="247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47"/>
      <c r="I284" s="247"/>
      <c r="J284" s="247"/>
      <c r="K284" s="247"/>
      <c r="L284" s="247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47"/>
      <c r="I285" s="247"/>
      <c r="J285" s="247"/>
      <c r="K285" s="247"/>
      <c r="L285" s="247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47"/>
      <c r="I286" s="247"/>
      <c r="J286" s="247"/>
      <c r="K286" s="247"/>
      <c r="L286" s="247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47"/>
      <c r="I287" s="247"/>
      <c r="J287" s="247"/>
      <c r="K287" s="247"/>
      <c r="L287" s="247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47"/>
      <c r="I288" s="247"/>
      <c r="J288" s="247"/>
      <c r="K288" s="247"/>
      <c r="L288" s="247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47"/>
      <c r="I289" s="247"/>
      <c r="J289" s="247"/>
      <c r="K289" s="247"/>
      <c r="L289" s="247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47"/>
      <c r="I290" s="247"/>
      <c r="J290" s="247"/>
      <c r="K290" s="247"/>
      <c r="L290" s="247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47"/>
      <c r="I291" s="247"/>
      <c r="J291" s="247"/>
      <c r="K291" s="247"/>
      <c r="L291" s="247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47"/>
      <c r="I292" s="247"/>
      <c r="J292" s="247"/>
      <c r="K292" s="247"/>
      <c r="L292" s="247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47"/>
      <c r="I293" s="247"/>
      <c r="J293" s="247"/>
      <c r="K293" s="247"/>
      <c r="L293" s="247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47"/>
      <c r="I294" s="247"/>
      <c r="J294" s="247"/>
      <c r="K294" s="247"/>
      <c r="L294" s="247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47"/>
      <c r="I295" s="247"/>
      <c r="J295" s="247"/>
      <c r="K295" s="247"/>
      <c r="L295" s="247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47"/>
      <c r="I296" s="247"/>
      <c r="J296" s="247"/>
      <c r="K296" s="247"/>
      <c r="L296" s="247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47"/>
      <c r="I297" s="247"/>
      <c r="J297" s="247"/>
      <c r="K297" s="247"/>
      <c r="L297" s="247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47"/>
      <c r="I298" s="247"/>
      <c r="J298" s="247"/>
      <c r="K298" s="247"/>
      <c r="L298" s="247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47"/>
      <c r="I299" s="247"/>
      <c r="J299" s="247"/>
      <c r="K299" s="247"/>
      <c r="L299" s="247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47"/>
      <c r="I300" s="247"/>
      <c r="J300" s="247"/>
      <c r="K300" s="247"/>
      <c r="L300" s="247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47"/>
      <c r="I301" s="247"/>
      <c r="J301" s="247"/>
      <c r="K301" s="247"/>
      <c r="L301" s="247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47"/>
      <c r="I302" s="247"/>
      <c r="J302" s="247"/>
      <c r="K302" s="247"/>
      <c r="L302" s="247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47"/>
      <c r="I303" s="247"/>
      <c r="J303" s="247"/>
      <c r="K303" s="247"/>
      <c r="L303" s="247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47"/>
      <c r="I304" s="247"/>
      <c r="J304" s="247"/>
      <c r="K304" s="247"/>
      <c r="L304" s="247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47"/>
      <c r="I305" s="247"/>
      <c r="J305" s="247"/>
      <c r="K305" s="247"/>
      <c r="L305" s="247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47"/>
      <c r="I306" s="247"/>
      <c r="J306" s="247"/>
      <c r="K306" s="247"/>
      <c r="L306" s="247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47"/>
      <c r="I307" s="247"/>
      <c r="J307" s="247"/>
      <c r="K307" s="247"/>
      <c r="L307" s="247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47"/>
      <c r="I308" s="247"/>
      <c r="J308" s="247"/>
      <c r="K308" s="247"/>
      <c r="L308" s="247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47"/>
      <c r="I309" s="247"/>
      <c r="J309" s="247"/>
      <c r="K309" s="247"/>
      <c r="L309" s="247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47"/>
      <c r="I310" s="247"/>
      <c r="J310" s="247"/>
      <c r="K310" s="247"/>
      <c r="L310" s="247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47"/>
      <c r="I311" s="247"/>
      <c r="J311" s="247"/>
      <c r="K311" s="247"/>
      <c r="L311" s="247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47"/>
      <c r="I312" s="247"/>
      <c r="J312" s="247"/>
      <c r="K312" s="247"/>
      <c r="L312" s="247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47"/>
      <c r="I313" s="247"/>
      <c r="J313" s="247"/>
      <c r="K313" s="247"/>
      <c r="L313" s="247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47"/>
      <c r="I314" s="247"/>
      <c r="J314" s="247"/>
      <c r="K314" s="247"/>
      <c r="L314" s="247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47"/>
      <c r="I315" s="247"/>
      <c r="J315" s="247"/>
      <c r="K315" s="247"/>
      <c r="L315" s="247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47"/>
      <c r="I316" s="247"/>
      <c r="J316" s="247"/>
      <c r="K316" s="247"/>
      <c r="L316" s="247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47"/>
      <c r="I317" s="247"/>
      <c r="J317" s="247"/>
      <c r="K317" s="247"/>
      <c r="L317" s="247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47"/>
      <c r="I318" s="247"/>
      <c r="J318" s="247"/>
      <c r="K318" s="247"/>
      <c r="L318" s="247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47"/>
      <c r="I319" s="247"/>
      <c r="J319" s="247"/>
      <c r="K319" s="247"/>
      <c r="L319" s="247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47"/>
      <c r="I320" s="247"/>
      <c r="J320" s="247"/>
      <c r="K320" s="247"/>
      <c r="L320" s="247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47"/>
      <c r="I321" s="247"/>
      <c r="J321" s="247"/>
      <c r="K321" s="247"/>
      <c r="L321" s="247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47"/>
      <c r="I322" s="247"/>
      <c r="J322" s="247"/>
      <c r="K322" s="247"/>
      <c r="L322" s="247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47"/>
      <c r="I323" s="247"/>
      <c r="J323" s="247"/>
      <c r="K323" s="247"/>
      <c r="L323" s="247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47"/>
      <c r="I324" s="247"/>
      <c r="J324" s="247"/>
      <c r="K324" s="247"/>
      <c r="L324" s="247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47"/>
      <c r="I325" s="247"/>
      <c r="J325" s="247"/>
      <c r="K325" s="247"/>
      <c r="L325" s="247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47"/>
      <c r="I326" s="247"/>
      <c r="J326" s="247"/>
      <c r="K326" s="247"/>
      <c r="L326" s="247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47"/>
      <c r="I327" s="247"/>
      <c r="J327" s="247"/>
      <c r="K327" s="247"/>
      <c r="L327" s="247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47"/>
      <c r="I328" s="247"/>
      <c r="J328" s="247"/>
      <c r="K328" s="247"/>
      <c r="L328" s="247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47"/>
      <c r="I329" s="247"/>
      <c r="J329" s="247"/>
      <c r="K329" s="247"/>
      <c r="L329" s="247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47"/>
      <c r="I330" s="247"/>
      <c r="J330" s="247"/>
      <c r="K330" s="247"/>
      <c r="L330" s="247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47"/>
      <c r="I331" s="247"/>
      <c r="J331" s="247"/>
      <c r="K331" s="247"/>
      <c r="L331" s="247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47"/>
      <c r="I332" s="247"/>
      <c r="J332" s="247"/>
      <c r="K332" s="247"/>
      <c r="L332" s="247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47"/>
      <c r="I333" s="247"/>
      <c r="J333" s="247"/>
      <c r="K333" s="247"/>
      <c r="L333" s="247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47"/>
      <c r="I334" s="247"/>
      <c r="J334" s="247"/>
      <c r="K334" s="247"/>
      <c r="L334" s="247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47"/>
      <c r="I335" s="247"/>
      <c r="J335" s="247"/>
      <c r="K335" s="247"/>
      <c r="L335" s="247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47"/>
      <c r="I336" s="247"/>
      <c r="J336" s="247"/>
      <c r="K336" s="247"/>
      <c r="L336" s="247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47"/>
      <c r="I337" s="247"/>
      <c r="J337" s="247"/>
      <c r="K337" s="247"/>
      <c r="L337" s="247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47"/>
      <c r="I338" s="247"/>
      <c r="J338" s="247"/>
      <c r="K338" s="247"/>
      <c r="L338" s="247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47"/>
      <c r="I339" s="247"/>
      <c r="J339" s="247"/>
      <c r="K339" s="247"/>
      <c r="L339" s="247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47"/>
      <c r="I340" s="247"/>
      <c r="J340" s="247"/>
      <c r="K340" s="247"/>
      <c r="L340" s="247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47"/>
      <c r="I341" s="247"/>
      <c r="J341" s="247"/>
      <c r="K341" s="247"/>
      <c r="L341" s="247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47"/>
      <c r="I342" s="247"/>
      <c r="J342" s="247"/>
      <c r="K342" s="247"/>
      <c r="L342" s="247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47"/>
      <c r="I343" s="247"/>
      <c r="J343" s="247"/>
      <c r="K343" s="247"/>
      <c r="L343" s="247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47"/>
      <c r="I344" s="247"/>
      <c r="J344" s="247"/>
      <c r="K344" s="247"/>
      <c r="L344" s="247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47"/>
      <c r="I345" s="247"/>
      <c r="J345" s="247"/>
      <c r="K345" s="247"/>
      <c r="L345" s="247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47"/>
      <c r="I346" s="247"/>
      <c r="J346" s="247"/>
      <c r="K346" s="247"/>
      <c r="L346" s="247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47"/>
      <c r="I347" s="247"/>
      <c r="J347" s="247"/>
      <c r="K347" s="247"/>
      <c r="L347" s="247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47"/>
      <c r="I348" s="247"/>
      <c r="J348" s="247"/>
      <c r="K348" s="247"/>
      <c r="L348" s="247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47"/>
      <c r="I349" s="247"/>
      <c r="J349" s="247"/>
      <c r="K349" s="247"/>
      <c r="L349" s="247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47"/>
      <c r="I350" s="247"/>
      <c r="J350" s="247"/>
      <c r="K350" s="247"/>
      <c r="L350" s="247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47"/>
      <c r="I351" s="247"/>
      <c r="J351" s="247"/>
      <c r="K351" s="247"/>
      <c r="L351" s="247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47"/>
      <c r="I352" s="247"/>
      <c r="J352" s="247"/>
      <c r="K352" s="247"/>
      <c r="L352" s="247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47"/>
      <c r="I353" s="247"/>
      <c r="J353" s="247"/>
      <c r="K353" s="247"/>
      <c r="L353" s="247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47"/>
      <c r="I354" s="247"/>
      <c r="J354" s="247"/>
      <c r="K354" s="247"/>
      <c r="L354" s="247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47"/>
      <c r="I355" s="247"/>
      <c r="J355" s="247"/>
      <c r="K355" s="247"/>
      <c r="L355" s="247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47"/>
      <c r="I356" s="247"/>
      <c r="J356" s="247"/>
      <c r="K356" s="247"/>
      <c r="L356" s="247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47"/>
      <c r="I357" s="247"/>
      <c r="J357" s="247"/>
      <c r="K357" s="247"/>
      <c r="L357" s="247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47"/>
      <c r="I358" s="247"/>
      <c r="J358" s="247"/>
      <c r="K358" s="247"/>
      <c r="L358" s="247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47"/>
      <c r="I359" s="247"/>
      <c r="J359" s="247"/>
      <c r="K359" s="247"/>
      <c r="L359" s="247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47"/>
      <c r="I360" s="247"/>
      <c r="J360" s="247"/>
      <c r="K360" s="247"/>
      <c r="L360" s="247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47"/>
      <c r="I361" s="247"/>
      <c r="J361" s="247"/>
      <c r="K361" s="247"/>
      <c r="L361" s="247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47"/>
      <c r="I362" s="247"/>
      <c r="J362" s="247"/>
      <c r="K362" s="247"/>
      <c r="L362" s="247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47"/>
      <c r="I363" s="247"/>
      <c r="J363" s="247"/>
      <c r="K363" s="247"/>
      <c r="L363" s="247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47"/>
      <c r="I364" s="247"/>
      <c r="J364" s="247"/>
      <c r="K364" s="247"/>
      <c r="L364" s="247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47"/>
      <c r="I365" s="247"/>
      <c r="J365" s="247"/>
      <c r="K365" s="247"/>
      <c r="L365" s="247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47"/>
      <c r="I366" s="247"/>
      <c r="J366" s="247"/>
      <c r="K366" s="247"/>
      <c r="L366" s="247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47"/>
      <c r="I367" s="247"/>
      <c r="J367" s="247"/>
      <c r="K367" s="247"/>
      <c r="L367" s="247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47"/>
      <c r="I368" s="247"/>
      <c r="J368" s="247"/>
      <c r="K368" s="247"/>
      <c r="L368" s="247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47"/>
      <c r="I369" s="247"/>
      <c r="J369" s="247"/>
      <c r="K369" s="247"/>
      <c r="L369" s="247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47"/>
      <c r="I370" s="247"/>
      <c r="J370" s="247"/>
      <c r="K370" s="247"/>
      <c r="L370" s="247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47"/>
      <c r="I371" s="247"/>
      <c r="J371" s="247"/>
      <c r="K371" s="247"/>
      <c r="L371" s="247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47"/>
      <c r="I372" s="247"/>
      <c r="J372" s="247"/>
      <c r="K372" s="247"/>
      <c r="L372" s="247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47"/>
      <c r="I373" s="247"/>
      <c r="J373" s="247"/>
      <c r="K373" s="247"/>
      <c r="L373" s="247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47"/>
      <c r="I374" s="247"/>
      <c r="J374" s="247"/>
      <c r="K374" s="247"/>
      <c r="L374" s="247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47"/>
      <c r="I375" s="247"/>
      <c r="J375" s="247"/>
      <c r="K375" s="247"/>
      <c r="L375" s="247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47"/>
      <c r="I376" s="247"/>
      <c r="J376" s="247"/>
      <c r="K376" s="247"/>
      <c r="L376" s="247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47"/>
      <c r="I377" s="247"/>
      <c r="J377" s="247"/>
      <c r="K377" s="247"/>
      <c r="L377" s="247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47"/>
      <c r="I378" s="247"/>
      <c r="J378" s="247"/>
      <c r="K378" s="247"/>
      <c r="L378" s="247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47"/>
      <c r="I379" s="247"/>
      <c r="J379" s="247"/>
      <c r="K379" s="247"/>
      <c r="L379" s="247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47"/>
      <c r="I380" s="247"/>
      <c r="J380" s="247"/>
      <c r="K380" s="247"/>
      <c r="L380" s="247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47"/>
      <c r="I381" s="247"/>
      <c r="J381" s="247"/>
      <c r="K381" s="247"/>
      <c r="L381" s="247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47"/>
      <c r="I382" s="247"/>
      <c r="J382" s="247"/>
      <c r="K382" s="247"/>
      <c r="L382" s="247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47"/>
      <c r="I383" s="247"/>
      <c r="J383" s="247"/>
      <c r="K383" s="247"/>
      <c r="L383" s="247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47"/>
      <c r="I384" s="247"/>
      <c r="J384" s="247"/>
      <c r="K384" s="247"/>
      <c r="L384" s="247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47"/>
      <c r="I385" s="247"/>
      <c r="J385" s="247"/>
      <c r="K385" s="247"/>
      <c r="L385" s="247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47"/>
      <c r="I386" s="247"/>
      <c r="J386" s="247"/>
      <c r="K386" s="247"/>
      <c r="L386" s="247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47"/>
      <c r="I387" s="247"/>
      <c r="J387" s="247"/>
      <c r="K387" s="247"/>
      <c r="L387" s="247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47"/>
      <c r="I388" s="247"/>
      <c r="J388" s="247"/>
      <c r="K388" s="247"/>
      <c r="L388" s="247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47"/>
      <c r="I389" s="247"/>
      <c r="J389" s="247"/>
      <c r="K389" s="247"/>
      <c r="L389" s="247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47"/>
      <c r="I390" s="247"/>
      <c r="J390" s="247"/>
      <c r="K390" s="247"/>
      <c r="L390" s="247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47"/>
      <c r="I391" s="247"/>
      <c r="J391" s="247"/>
      <c r="K391" s="247"/>
      <c r="L391" s="247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47"/>
      <c r="I392" s="247"/>
      <c r="J392" s="247"/>
      <c r="K392" s="247"/>
      <c r="L392" s="247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47"/>
      <c r="I393" s="247"/>
      <c r="J393" s="247"/>
      <c r="K393" s="247"/>
      <c r="L393" s="247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47"/>
      <c r="I394" s="247"/>
      <c r="J394" s="247"/>
      <c r="K394" s="247"/>
      <c r="L394" s="247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47"/>
      <c r="I395" s="247"/>
      <c r="J395" s="247"/>
      <c r="K395" s="247"/>
      <c r="L395" s="247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47"/>
      <c r="I396" s="247"/>
      <c r="J396" s="247"/>
      <c r="K396" s="247"/>
      <c r="L396" s="247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47"/>
      <c r="I397" s="247"/>
      <c r="J397" s="247"/>
      <c r="K397" s="247"/>
      <c r="L397" s="247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47"/>
      <c r="I398" s="247"/>
      <c r="J398" s="247"/>
      <c r="K398" s="247"/>
      <c r="L398" s="247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47"/>
      <c r="I399" s="247"/>
      <c r="J399" s="247"/>
      <c r="K399" s="247"/>
      <c r="L399" s="247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47"/>
      <c r="I400" s="247"/>
      <c r="J400" s="247"/>
      <c r="K400" s="247"/>
      <c r="L400" s="247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47"/>
      <c r="I401" s="247"/>
      <c r="J401" s="247"/>
      <c r="K401" s="247"/>
      <c r="L401" s="247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47"/>
      <c r="I402" s="247"/>
      <c r="J402" s="247"/>
      <c r="K402" s="247"/>
      <c r="L402" s="247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47"/>
      <c r="I403" s="247"/>
      <c r="J403" s="247"/>
      <c r="K403" s="247"/>
      <c r="L403" s="247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47"/>
      <c r="I404" s="247"/>
      <c r="J404" s="247"/>
      <c r="K404" s="247"/>
      <c r="L404" s="247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47"/>
      <c r="I405" s="247"/>
      <c r="J405" s="247"/>
      <c r="K405" s="247"/>
      <c r="L405" s="247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47"/>
      <c r="I406" s="247"/>
      <c r="J406" s="247"/>
      <c r="K406" s="247"/>
      <c r="L406" s="247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47"/>
      <c r="I407" s="247"/>
      <c r="J407" s="247"/>
      <c r="K407" s="247"/>
      <c r="L407" s="247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47"/>
      <c r="I408" s="247"/>
      <c r="J408" s="247"/>
      <c r="K408" s="247"/>
      <c r="L408" s="247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47"/>
      <c r="I409" s="247"/>
      <c r="J409" s="247"/>
      <c r="K409" s="247"/>
      <c r="L409" s="247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47"/>
      <c r="I410" s="247"/>
      <c r="J410" s="247"/>
      <c r="K410" s="247"/>
      <c r="L410" s="247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47"/>
      <c r="I411" s="247"/>
      <c r="J411" s="247"/>
      <c r="K411" s="247"/>
      <c r="L411" s="247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47"/>
      <c r="I412" s="247"/>
      <c r="J412" s="247"/>
      <c r="K412" s="247"/>
      <c r="L412" s="247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47"/>
      <c r="I413" s="247"/>
      <c r="J413" s="247"/>
      <c r="K413" s="247"/>
      <c r="L413" s="247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47"/>
      <c r="I414" s="247"/>
      <c r="J414" s="247"/>
      <c r="K414" s="247"/>
      <c r="L414" s="247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47"/>
      <c r="I415" s="247"/>
      <c r="J415" s="247"/>
      <c r="K415" s="247"/>
      <c r="L415" s="247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47"/>
      <c r="I416" s="247"/>
      <c r="J416" s="247"/>
      <c r="K416" s="247"/>
      <c r="L416" s="247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47"/>
      <c r="I417" s="247"/>
      <c r="J417" s="247"/>
      <c r="K417" s="247"/>
      <c r="L417" s="247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47"/>
      <c r="I418" s="247"/>
      <c r="J418" s="247"/>
      <c r="K418" s="247"/>
      <c r="L418" s="247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47"/>
      <c r="I419" s="247"/>
      <c r="J419" s="247"/>
      <c r="K419" s="247"/>
      <c r="L419" s="247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47"/>
      <c r="I420" s="247"/>
      <c r="J420" s="247"/>
      <c r="K420" s="247"/>
      <c r="L420" s="247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47"/>
      <c r="I421" s="247"/>
      <c r="J421" s="247"/>
      <c r="K421" s="247"/>
      <c r="L421" s="247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47"/>
      <c r="I422" s="247"/>
      <c r="J422" s="247"/>
      <c r="K422" s="247"/>
      <c r="L422" s="247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47"/>
      <c r="I423" s="247"/>
      <c r="J423" s="247"/>
      <c r="K423" s="247"/>
      <c r="L423" s="247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47"/>
      <c r="I424" s="247"/>
      <c r="J424" s="247"/>
      <c r="K424" s="247"/>
      <c r="L424" s="247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47"/>
      <c r="I425" s="247"/>
      <c r="J425" s="247"/>
      <c r="K425" s="247"/>
      <c r="L425" s="247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47"/>
      <c r="I426" s="247"/>
      <c r="J426" s="247"/>
      <c r="K426" s="247"/>
      <c r="L426" s="247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47"/>
      <c r="I427" s="247"/>
      <c r="J427" s="247"/>
      <c r="K427" s="247"/>
      <c r="L427" s="247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47"/>
      <c r="I428" s="247"/>
      <c r="J428" s="247"/>
      <c r="K428" s="247"/>
      <c r="L428" s="247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47"/>
      <c r="I429" s="247"/>
      <c r="J429" s="247"/>
      <c r="K429" s="247"/>
      <c r="L429" s="247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47"/>
      <c r="I430" s="247"/>
      <c r="J430" s="247"/>
      <c r="K430" s="247"/>
      <c r="L430" s="247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47"/>
      <c r="I431" s="247"/>
      <c r="J431" s="247"/>
      <c r="K431" s="247"/>
      <c r="L431" s="247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47"/>
      <c r="I432" s="247"/>
      <c r="J432" s="247"/>
      <c r="K432" s="247"/>
      <c r="L432" s="247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47"/>
      <c r="I433" s="247"/>
      <c r="J433" s="247"/>
      <c r="K433" s="247"/>
      <c r="L433" s="247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47"/>
      <c r="I434" s="247"/>
      <c r="J434" s="247"/>
      <c r="K434" s="247"/>
      <c r="L434" s="247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47"/>
      <c r="I435" s="247"/>
      <c r="J435" s="247"/>
      <c r="K435" s="247"/>
      <c r="L435" s="247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47"/>
      <c r="I436" s="247"/>
      <c r="J436" s="247"/>
      <c r="K436" s="247"/>
      <c r="L436" s="247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47"/>
      <c r="I437" s="247"/>
      <c r="J437" s="247"/>
      <c r="K437" s="247"/>
      <c r="L437" s="247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47"/>
      <c r="I438" s="247"/>
      <c r="J438" s="247"/>
      <c r="K438" s="247"/>
      <c r="L438" s="247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47"/>
      <c r="I439" s="247"/>
      <c r="J439" s="247"/>
      <c r="K439" s="247"/>
      <c r="L439" s="247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47"/>
      <c r="I440" s="247"/>
      <c r="J440" s="247"/>
      <c r="K440" s="247"/>
      <c r="L440" s="247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47"/>
      <c r="I441" s="247"/>
      <c r="J441" s="247"/>
      <c r="K441" s="247"/>
      <c r="L441" s="247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47"/>
      <c r="I442" s="247"/>
      <c r="J442" s="247"/>
      <c r="K442" s="247"/>
      <c r="L442" s="247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47"/>
      <c r="I443" s="247"/>
      <c r="J443" s="247"/>
      <c r="K443" s="247"/>
      <c r="L443" s="247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47"/>
      <c r="I444" s="247"/>
      <c r="J444" s="247"/>
      <c r="K444" s="247"/>
      <c r="L444" s="247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47"/>
      <c r="I445" s="247"/>
      <c r="J445" s="247"/>
      <c r="K445" s="247"/>
      <c r="L445" s="247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47"/>
      <c r="I446" s="247"/>
      <c r="J446" s="247"/>
      <c r="K446" s="247"/>
      <c r="L446" s="247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47"/>
      <c r="I447" s="247"/>
      <c r="J447" s="247"/>
      <c r="K447" s="247"/>
      <c r="L447" s="247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47"/>
      <c r="I448" s="247"/>
      <c r="J448" s="247"/>
      <c r="K448" s="247"/>
      <c r="L448" s="247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47"/>
      <c r="I449" s="247"/>
      <c r="J449" s="247"/>
      <c r="K449" s="247"/>
      <c r="L449" s="247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47"/>
      <c r="I450" s="247"/>
      <c r="J450" s="247"/>
      <c r="K450" s="247"/>
      <c r="L450" s="247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47"/>
      <c r="I451" s="247"/>
      <c r="J451" s="247"/>
      <c r="K451" s="247"/>
      <c r="L451" s="247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47"/>
      <c r="I452" s="247"/>
      <c r="J452" s="247"/>
      <c r="K452" s="247"/>
      <c r="L452" s="247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47"/>
      <c r="I453" s="247"/>
      <c r="J453" s="247"/>
      <c r="K453" s="247"/>
      <c r="L453" s="247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47"/>
      <c r="I454" s="247"/>
      <c r="J454" s="247"/>
      <c r="K454" s="247"/>
      <c r="L454" s="247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47"/>
      <c r="I455" s="247"/>
      <c r="J455" s="247"/>
      <c r="K455" s="247"/>
      <c r="L455" s="247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47"/>
      <c r="I456" s="247"/>
      <c r="J456" s="247"/>
      <c r="K456" s="247"/>
      <c r="L456" s="247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47"/>
      <c r="I457" s="247"/>
      <c r="J457" s="247"/>
      <c r="K457" s="247"/>
      <c r="L457" s="247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47"/>
      <c r="I458" s="247"/>
      <c r="J458" s="247"/>
      <c r="K458" s="247"/>
      <c r="L458" s="247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47"/>
      <c r="I459" s="247"/>
      <c r="J459" s="247"/>
      <c r="K459" s="247"/>
      <c r="L459" s="247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47"/>
      <c r="I460" s="247"/>
      <c r="J460" s="247"/>
      <c r="K460" s="247"/>
      <c r="L460" s="247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47"/>
      <c r="I461" s="247"/>
      <c r="J461" s="247"/>
      <c r="K461" s="247"/>
      <c r="L461" s="247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47"/>
      <c r="I462" s="247"/>
      <c r="J462" s="247"/>
      <c r="K462" s="247"/>
      <c r="L462" s="247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47"/>
      <c r="I463" s="247"/>
      <c r="J463" s="247"/>
      <c r="K463" s="247"/>
      <c r="L463" s="247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47"/>
      <c r="I464" s="247"/>
      <c r="J464" s="247"/>
      <c r="K464" s="247"/>
      <c r="L464" s="247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47"/>
      <c r="I465" s="247"/>
      <c r="J465" s="247"/>
      <c r="K465" s="247"/>
      <c r="L465" s="247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47"/>
      <c r="I466" s="247"/>
      <c r="J466" s="247"/>
      <c r="K466" s="247"/>
      <c r="L466" s="247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47"/>
      <c r="I467" s="247"/>
      <c r="J467" s="247"/>
      <c r="K467" s="247"/>
      <c r="L467" s="247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47"/>
      <c r="I468" s="247"/>
      <c r="J468" s="247"/>
      <c r="K468" s="247"/>
      <c r="L468" s="247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47"/>
      <c r="I469" s="247"/>
      <c r="J469" s="247"/>
      <c r="K469" s="247"/>
      <c r="L469" s="247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47"/>
      <c r="I470" s="247"/>
      <c r="J470" s="247"/>
      <c r="K470" s="247"/>
      <c r="L470" s="247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47"/>
      <c r="I471" s="247"/>
      <c r="J471" s="247"/>
      <c r="K471" s="247"/>
      <c r="L471" s="247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47"/>
      <c r="I472" s="247"/>
      <c r="J472" s="247"/>
      <c r="K472" s="247"/>
      <c r="L472" s="247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47"/>
      <c r="I473" s="247"/>
      <c r="J473" s="247"/>
      <c r="K473" s="247"/>
      <c r="L473" s="247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47"/>
      <c r="I474" s="247"/>
      <c r="J474" s="247"/>
      <c r="K474" s="247"/>
      <c r="L474" s="247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47"/>
      <c r="I475" s="247"/>
      <c r="J475" s="247"/>
      <c r="K475" s="247"/>
      <c r="L475" s="247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47"/>
      <c r="I476" s="247"/>
      <c r="J476" s="247"/>
      <c r="K476" s="247"/>
      <c r="L476" s="247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47"/>
      <c r="I477" s="247"/>
      <c r="J477" s="247"/>
      <c r="K477" s="247"/>
      <c r="L477" s="247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47"/>
      <c r="I478" s="247"/>
      <c r="J478" s="247"/>
      <c r="K478" s="247"/>
      <c r="L478" s="247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47"/>
      <c r="I479" s="247"/>
      <c r="J479" s="247"/>
      <c r="K479" s="247"/>
      <c r="L479" s="247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47"/>
      <c r="I480" s="247"/>
      <c r="J480" s="247"/>
      <c r="K480" s="247"/>
      <c r="L480" s="247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47"/>
      <c r="I481" s="247"/>
      <c r="J481" s="247"/>
      <c r="K481" s="247"/>
      <c r="L481" s="247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47"/>
      <c r="I482" s="247"/>
      <c r="J482" s="247"/>
      <c r="K482" s="247"/>
      <c r="L482" s="247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47"/>
      <c r="I483" s="247"/>
      <c r="J483" s="247"/>
      <c r="K483" s="247"/>
      <c r="L483" s="247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47"/>
      <c r="I484" s="247"/>
      <c r="J484" s="247"/>
      <c r="K484" s="247"/>
      <c r="L484" s="247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47"/>
      <c r="I485" s="247"/>
      <c r="J485" s="247"/>
      <c r="K485" s="247"/>
      <c r="L485" s="247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47"/>
      <c r="I486" s="247"/>
      <c r="J486" s="247"/>
      <c r="K486" s="247"/>
      <c r="L486" s="247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47"/>
      <c r="I487" s="247"/>
      <c r="J487" s="247"/>
      <c r="K487" s="247"/>
      <c r="L487" s="247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47"/>
      <c r="I488" s="247"/>
      <c r="J488" s="247"/>
      <c r="K488" s="247"/>
      <c r="L488" s="247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47"/>
      <c r="I489" s="247"/>
      <c r="J489" s="247"/>
      <c r="K489" s="247"/>
      <c r="L489" s="247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47"/>
      <c r="I490" s="247"/>
      <c r="J490" s="247"/>
      <c r="K490" s="247"/>
      <c r="L490" s="247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47"/>
      <c r="I491" s="247"/>
      <c r="J491" s="247"/>
      <c r="K491" s="247"/>
      <c r="L491" s="247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47"/>
      <c r="I492" s="247"/>
      <c r="J492" s="247"/>
      <c r="K492" s="247"/>
      <c r="L492" s="247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47"/>
      <c r="I493" s="247"/>
      <c r="J493" s="247"/>
      <c r="K493" s="247"/>
      <c r="L493" s="247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47"/>
      <c r="I494" s="247"/>
      <c r="J494" s="247"/>
      <c r="K494" s="247"/>
      <c r="L494" s="247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47"/>
      <c r="I495" s="247"/>
      <c r="J495" s="247"/>
      <c r="K495" s="247"/>
      <c r="L495" s="247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47"/>
      <c r="I496" s="247"/>
      <c r="J496" s="247"/>
      <c r="K496" s="247"/>
      <c r="L496" s="247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47"/>
      <c r="I497" s="247"/>
      <c r="J497" s="247"/>
      <c r="K497" s="247"/>
      <c r="L497" s="247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47"/>
      <c r="I498" s="247"/>
      <c r="J498" s="247"/>
      <c r="K498" s="247"/>
      <c r="L498" s="247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47"/>
      <c r="I499" s="247"/>
      <c r="J499" s="247"/>
      <c r="K499" s="247"/>
      <c r="L499" s="247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47"/>
      <c r="I500" s="247"/>
      <c r="J500" s="247"/>
      <c r="K500" s="247"/>
      <c r="L500" s="247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47"/>
      <c r="I501" s="247"/>
      <c r="J501" s="247"/>
      <c r="K501" s="247"/>
      <c r="L501" s="247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47"/>
      <c r="I502" s="247"/>
      <c r="J502" s="247"/>
      <c r="K502" s="247"/>
      <c r="L502" s="247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47"/>
      <c r="I503" s="247"/>
      <c r="J503" s="247"/>
      <c r="K503" s="247"/>
      <c r="L503" s="247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47"/>
      <c r="I504" s="247"/>
      <c r="J504" s="247"/>
      <c r="K504" s="247"/>
      <c r="L504" s="247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47"/>
      <c r="I505" s="247"/>
      <c r="J505" s="247"/>
      <c r="K505" s="247"/>
      <c r="L505" s="247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47"/>
      <c r="I506" s="247"/>
      <c r="J506" s="247"/>
      <c r="K506" s="247"/>
      <c r="L506" s="247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47"/>
      <c r="I507" s="247"/>
      <c r="J507" s="247"/>
      <c r="K507" s="247"/>
      <c r="L507" s="247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47"/>
      <c r="I508" s="247"/>
      <c r="J508" s="247"/>
      <c r="K508" s="247"/>
      <c r="L508" s="247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47"/>
      <c r="I509" s="247"/>
      <c r="J509" s="247"/>
      <c r="K509" s="247"/>
      <c r="L509" s="247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47"/>
      <c r="I510" s="247"/>
      <c r="J510" s="247"/>
      <c r="K510" s="247"/>
      <c r="L510" s="247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47"/>
      <c r="I511" s="247"/>
      <c r="J511" s="247"/>
      <c r="K511" s="247"/>
      <c r="L511" s="247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47"/>
      <c r="I512" s="247"/>
      <c r="J512" s="247"/>
      <c r="K512" s="247"/>
      <c r="L512" s="247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47"/>
      <c r="I513" s="247"/>
      <c r="J513" s="247"/>
      <c r="K513" s="247"/>
      <c r="L513" s="247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47"/>
      <c r="I514" s="247"/>
      <c r="J514" s="247"/>
      <c r="K514" s="247"/>
      <c r="L514" s="247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47"/>
      <c r="I515" s="247"/>
      <c r="J515" s="247"/>
      <c r="K515" s="247"/>
      <c r="L515" s="247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47"/>
      <c r="I516" s="247"/>
      <c r="J516" s="247"/>
      <c r="K516" s="247"/>
      <c r="L516" s="247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47"/>
      <c r="I517" s="247"/>
      <c r="J517" s="247"/>
      <c r="K517" s="247"/>
      <c r="L517" s="247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47"/>
      <c r="I518" s="247"/>
      <c r="J518" s="247"/>
      <c r="K518" s="247"/>
      <c r="L518" s="247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47"/>
      <c r="I519" s="247"/>
      <c r="J519" s="247"/>
      <c r="K519" s="247"/>
      <c r="L519" s="247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47"/>
      <c r="I520" s="247"/>
      <c r="J520" s="247"/>
      <c r="K520" s="247"/>
      <c r="L520" s="247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47"/>
      <c r="I521" s="247"/>
      <c r="J521" s="247"/>
      <c r="K521" s="247"/>
      <c r="L521" s="247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47"/>
      <c r="I522" s="247"/>
      <c r="J522" s="247"/>
      <c r="K522" s="247"/>
      <c r="L522" s="247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47"/>
      <c r="I523" s="247"/>
      <c r="J523" s="247"/>
      <c r="K523" s="247"/>
      <c r="L523" s="247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47"/>
      <c r="I524" s="247"/>
      <c r="J524" s="247"/>
      <c r="K524" s="247"/>
      <c r="L524" s="247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47"/>
      <c r="I525" s="247"/>
      <c r="J525" s="247"/>
      <c r="K525" s="247"/>
      <c r="L525" s="247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47"/>
      <c r="I526" s="247"/>
      <c r="J526" s="247"/>
      <c r="K526" s="247"/>
      <c r="L526" s="247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47"/>
      <c r="I527" s="247"/>
      <c r="J527" s="247"/>
      <c r="K527" s="247"/>
      <c r="L527" s="247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47"/>
      <c r="I528" s="247"/>
      <c r="J528" s="247"/>
      <c r="K528" s="247"/>
      <c r="L528" s="247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47"/>
      <c r="I529" s="247"/>
      <c r="J529" s="247"/>
      <c r="K529" s="247"/>
      <c r="L529" s="247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47"/>
      <c r="I530" s="247"/>
      <c r="J530" s="247"/>
      <c r="K530" s="247"/>
      <c r="L530" s="247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47"/>
      <c r="I531" s="247"/>
      <c r="J531" s="247"/>
      <c r="K531" s="247"/>
      <c r="L531" s="247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47"/>
      <c r="I532" s="247"/>
      <c r="J532" s="247"/>
      <c r="K532" s="247"/>
      <c r="L532" s="247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47"/>
      <c r="I533" s="247"/>
      <c r="J533" s="247"/>
      <c r="K533" s="247"/>
      <c r="L533" s="247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47"/>
      <c r="I534" s="247"/>
      <c r="J534" s="247"/>
      <c r="K534" s="247"/>
      <c r="L534" s="247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47"/>
      <c r="I535" s="247"/>
      <c r="J535" s="247"/>
      <c r="K535" s="247"/>
      <c r="L535" s="247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47"/>
      <c r="I536" s="247"/>
      <c r="J536" s="247"/>
      <c r="K536" s="247"/>
      <c r="L536" s="247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47"/>
      <c r="I537" s="247"/>
      <c r="J537" s="247"/>
      <c r="K537" s="247"/>
      <c r="L537" s="247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47"/>
      <c r="I538" s="247"/>
      <c r="J538" s="247"/>
      <c r="K538" s="247"/>
      <c r="L538" s="247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47"/>
      <c r="I539" s="247"/>
      <c r="J539" s="247"/>
      <c r="K539" s="247"/>
      <c r="L539" s="247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47"/>
      <c r="I540" s="247"/>
      <c r="J540" s="247"/>
      <c r="K540" s="247"/>
      <c r="L540" s="247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47"/>
      <c r="I541" s="247"/>
      <c r="J541" s="247"/>
      <c r="K541" s="247"/>
      <c r="L541" s="247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47"/>
      <c r="I542" s="247"/>
      <c r="J542" s="247"/>
      <c r="K542" s="247"/>
      <c r="L542" s="247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47"/>
      <c r="I543" s="247"/>
      <c r="J543" s="247"/>
      <c r="K543" s="247"/>
      <c r="L543" s="247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47"/>
      <c r="I544" s="247"/>
      <c r="J544" s="247"/>
      <c r="K544" s="247"/>
      <c r="L544" s="247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47"/>
      <c r="I545" s="247"/>
      <c r="J545" s="247"/>
      <c r="K545" s="247"/>
      <c r="L545" s="247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47"/>
      <c r="I546" s="247"/>
      <c r="J546" s="247"/>
      <c r="K546" s="247"/>
      <c r="L546" s="247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47"/>
      <c r="I547" s="247"/>
      <c r="J547" s="247"/>
      <c r="K547" s="247"/>
      <c r="L547" s="247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47"/>
      <c r="I548" s="247"/>
      <c r="J548" s="247"/>
      <c r="K548" s="247"/>
      <c r="L548" s="247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47"/>
      <c r="I549" s="247"/>
      <c r="J549" s="247"/>
      <c r="K549" s="247"/>
      <c r="L549" s="247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47"/>
      <c r="I550" s="247"/>
      <c r="J550" s="247"/>
      <c r="K550" s="247"/>
      <c r="L550" s="247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47"/>
      <c r="I551" s="247"/>
      <c r="J551" s="247"/>
      <c r="K551" s="247"/>
      <c r="L551" s="247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47"/>
      <c r="I552" s="247"/>
      <c r="J552" s="247"/>
      <c r="K552" s="247"/>
      <c r="L552" s="247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47"/>
      <c r="I553" s="247"/>
      <c r="J553" s="247"/>
      <c r="K553" s="247"/>
      <c r="L553" s="247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47"/>
      <c r="I554" s="247"/>
      <c r="J554" s="247"/>
      <c r="K554" s="247"/>
      <c r="L554" s="247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47"/>
      <c r="I555" s="247"/>
      <c r="J555" s="247"/>
      <c r="K555" s="247"/>
      <c r="L555" s="247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47"/>
      <c r="I556" s="247"/>
      <c r="J556" s="247"/>
      <c r="K556" s="247"/>
      <c r="L556" s="247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47"/>
      <c r="I557" s="247"/>
      <c r="J557" s="247"/>
      <c r="K557" s="247"/>
      <c r="L557" s="247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47"/>
      <c r="I558" s="247"/>
      <c r="J558" s="247"/>
      <c r="K558" s="247"/>
      <c r="L558" s="247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47"/>
      <c r="I559" s="247"/>
      <c r="J559" s="247"/>
      <c r="K559" s="247"/>
      <c r="L559" s="247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47"/>
      <c r="I560" s="247"/>
      <c r="J560" s="247"/>
      <c r="K560" s="247"/>
      <c r="L560" s="247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47"/>
      <c r="I561" s="247"/>
      <c r="J561" s="247"/>
      <c r="K561" s="247"/>
      <c r="L561" s="247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47"/>
      <c r="I562" s="247"/>
      <c r="J562" s="247"/>
      <c r="K562" s="247"/>
      <c r="L562" s="247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47"/>
      <c r="I563" s="247"/>
      <c r="J563" s="247"/>
      <c r="K563" s="247"/>
      <c r="L563" s="247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47"/>
      <c r="I564" s="247"/>
      <c r="J564" s="247"/>
      <c r="K564" s="247"/>
      <c r="L564" s="247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47"/>
      <c r="I565" s="247"/>
      <c r="J565" s="247"/>
      <c r="K565" s="247"/>
      <c r="L565" s="247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47"/>
      <c r="I566" s="247"/>
      <c r="J566" s="247"/>
      <c r="K566" s="247"/>
      <c r="L566" s="247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47"/>
      <c r="I567" s="247"/>
      <c r="J567" s="247"/>
      <c r="K567" s="247"/>
      <c r="L567" s="247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47"/>
      <c r="I568" s="247"/>
      <c r="J568" s="247"/>
      <c r="K568" s="247"/>
      <c r="L568" s="247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47"/>
      <c r="I569" s="247"/>
      <c r="J569" s="247"/>
      <c r="K569" s="247"/>
      <c r="L569" s="247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47"/>
      <c r="I570" s="247"/>
      <c r="J570" s="247"/>
      <c r="K570" s="247"/>
      <c r="L570" s="247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47"/>
      <c r="I571" s="247"/>
      <c r="J571" s="247"/>
      <c r="K571" s="247"/>
      <c r="L571" s="247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47"/>
      <c r="I572" s="247"/>
      <c r="J572" s="247"/>
      <c r="K572" s="247"/>
      <c r="L572" s="247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47"/>
      <c r="I573" s="247"/>
      <c r="J573" s="247"/>
      <c r="K573" s="247"/>
      <c r="L573" s="247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47"/>
      <c r="I574" s="247"/>
      <c r="J574" s="247"/>
      <c r="K574" s="247"/>
      <c r="L574" s="247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47"/>
      <c r="I575" s="247"/>
      <c r="J575" s="247"/>
      <c r="K575" s="247"/>
      <c r="L575" s="247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47"/>
      <c r="I576" s="247"/>
      <c r="J576" s="247"/>
      <c r="K576" s="247"/>
      <c r="L576" s="247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47"/>
      <c r="I577" s="247"/>
      <c r="J577" s="247"/>
      <c r="K577" s="247"/>
      <c r="L577" s="247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47"/>
      <c r="I578" s="247"/>
      <c r="J578" s="247"/>
      <c r="K578" s="247"/>
      <c r="L578" s="247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47"/>
      <c r="I579" s="247"/>
      <c r="J579" s="247"/>
      <c r="K579" s="247"/>
      <c r="L579" s="247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47"/>
      <c r="I580" s="247"/>
      <c r="J580" s="247"/>
      <c r="K580" s="247"/>
      <c r="L580" s="247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47"/>
      <c r="I581" s="247"/>
      <c r="J581" s="247"/>
      <c r="K581" s="247"/>
      <c r="L581" s="247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47"/>
      <c r="I582" s="247"/>
      <c r="J582" s="247"/>
      <c r="K582" s="247"/>
      <c r="L582" s="247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47"/>
      <c r="I583" s="247"/>
      <c r="J583" s="247"/>
      <c r="K583" s="247"/>
      <c r="L583" s="247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47"/>
      <c r="I584" s="247"/>
      <c r="J584" s="247"/>
      <c r="K584" s="247"/>
      <c r="L584" s="247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47"/>
      <c r="I585" s="247"/>
      <c r="J585" s="247"/>
      <c r="K585" s="247"/>
      <c r="L585" s="247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47"/>
      <c r="I586" s="247"/>
      <c r="J586" s="247"/>
      <c r="K586" s="247"/>
      <c r="L586" s="247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47"/>
      <c r="I587" s="247"/>
      <c r="J587" s="247"/>
      <c r="K587" s="247"/>
      <c r="L587" s="247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47"/>
      <c r="I588" s="247"/>
      <c r="J588" s="247"/>
      <c r="K588" s="247"/>
      <c r="L588" s="247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47"/>
      <c r="I589" s="247"/>
      <c r="J589" s="247"/>
      <c r="K589" s="247"/>
      <c r="L589" s="247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47"/>
      <c r="I590" s="247"/>
      <c r="J590" s="247"/>
      <c r="K590" s="247"/>
      <c r="L590" s="247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47"/>
      <c r="I591" s="247"/>
      <c r="J591" s="247"/>
      <c r="K591" s="247"/>
      <c r="L591" s="247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47"/>
      <c r="I592" s="247"/>
      <c r="J592" s="247"/>
      <c r="K592" s="247"/>
      <c r="L592" s="247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47"/>
      <c r="I593" s="247"/>
      <c r="J593" s="247"/>
      <c r="K593" s="247"/>
      <c r="L593" s="247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47"/>
      <c r="I594" s="247"/>
      <c r="J594" s="247"/>
      <c r="K594" s="247"/>
      <c r="L594" s="247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47"/>
      <c r="I595" s="247"/>
      <c r="J595" s="247"/>
      <c r="K595" s="247"/>
      <c r="L595" s="247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47"/>
      <c r="I596" s="247"/>
      <c r="J596" s="247"/>
      <c r="K596" s="247"/>
      <c r="L596" s="247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47"/>
      <c r="I597" s="247"/>
      <c r="J597" s="247"/>
      <c r="K597" s="247"/>
      <c r="L597" s="247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47"/>
      <c r="I598" s="247"/>
      <c r="J598" s="247"/>
      <c r="K598" s="247"/>
      <c r="L598" s="247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47"/>
      <c r="I599" s="247"/>
      <c r="J599" s="247"/>
      <c r="K599" s="247"/>
      <c r="L599" s="247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47"/>
      <c r="I600" s="247"/>
      <c r="J600" s="247"/>
      <c r="K600" s="247"/>
      <c r="L600" s="247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47"/>
      <c r="I601" s="247"/>
      <c r="J601" s="247"/>
      <c r="K601" s="247"/>
      <c r="L601" s="247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47"/>
      <c r="I602" s="247"/>
      <c r="J602" s="247"/>
      <c r="K602" s="247"/>
      <c r="L602" s="247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47"/>
      <c r="I603" s="247"/>
      <c r="J603" s="247"/>
      <c r="K603" s="247"/>
      <c r="L603" s="247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47"/>
      <c r="I604" s="247"/>
      <c r="J604" s="247"/>
      <c r="K604" s="247"/>
      <c r="L604" s="247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47"/>
      <c r="I605" s="247"/>
      <c r="J605" s="247"/>
      <c r="K605" s="247"/>
      <c r="L605" s="247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47"/>
      <c r="I606" s="247"/>
      <c r="J606" s="247"/>
      <c r="K606" s="247"/>
      <c r="L606" s="247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47"/>
      <c r="I607" s="247"/>
      <c r="J607" s="247"/>
      <c r="K607" s="247"/>
      <c r="L607" s="247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47"/>
      <c r="I608" s="247"/>
      <c r="J608" s="247"/>
      <c r="K608" s="247"/>
      <c r="L608" s="247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47"/>
      <c r="I609" s="247"/>
      <c r="J609" s="247"/>
      <c r="K609" s="247"/>
      <c r="L609" s="247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47"/>
      <c r="I610" s="247"/>
      <c r="J610" s="247"/>
      <c r="K610" s="247"/>
      <c r="L610" s="247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47"/>
      <c r="I611" s="247"/>
      <c r="J611" s="247"/>
      <c r="K611" s="247"/>
      <c r="L611" s="247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47"/>
      <c r="I612" s="247"/>
      <c r="J612" s="247"/>
      <c r="K612" s="247"/>
      <c r="L612" s="247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47"/>
      <c r="I613" s="247"/>
      <c r="J613" s="247"/>
      <c r="K613" s="247"/>
      <c r="L613" s="247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47"/>
      <c r="I614" s="247"/>
      <c r="J614" s="247"/>
      <c r="K614" s="247"/>
      <c r="L614" s="247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47"/>
      <c r="I615" s="247"/>
      <c r="J615" s="247"/>
      <c r="K615" s="247"/>
      <c r="L615" s="247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47"/>
      <c r="I616" s="247"/>
      <c r="J616" s="247"/>
      <c r="K616" s="247"/>
      <c r="L616" s="247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47"/>
      <c r="I617" s="247"/>
      <c r="J617" s="247"/>
      <c r="K617" s="247"/>
      <c r="L617" s="247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47"/>
      <c r="I618" s="247"/>
      <c r="J618" s="247"/>
      <c r="K618" s="247"/>
      <c r="L618" s="247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47"/>
      <c r="I619" s="247"/>
      <c r="J619" s="247"/>
      <c r="K619" s="247"/>
      <c r="L619" s="247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47"/>
      <c r="I620" s="247"/>
      <c r="J620" s="247"/>
      <c r="K620" s="247"/>
      <c r="L620" s="247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47"/>
      <c r="I621" s="247"/>
      <c r="J621" s="247"/>
      <c r="K621" s="247"/>
      <c r="L621" s="247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47"/>
      <c r="I622" s="247"/>
      <c r="J622" s="247"/>
      <c r="K622" s="247"/>
      <c r="L622" s="247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47"/>
      <c r="I623" s="247"/>
      <c r="J623" s="247"/>
      <c r="K623" s="247"/>
      <c r="L623" s="247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47"/>
      <c r="I624" s="247"/>
      <c r="J624" s="247"/>
      <c r="K624" s="247"/>
      <c r="L624" s="247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47"/>
      <c r="I625" s="247"/>
      <c r="J625" s="247"/>
      <c r="K625" s="247"/>
      <c r="L625" s="247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47"/>
      <c r="I626" s="247"/>
      <c r="J626" s="247"/>
      <c r="K626" s="247"/>
      <c r="L626" s="247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47"/>
      <c r="I627" s="247"/>
      <c r="J627" s="247"/>
      <c r="K627" s="247"/>
      <c r="L627" s="247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47"/>
      <c r="I628" s="247"/>
      <c r="J628" s="247"/>
      <c r="K628" s="247"/>
      <c r="L628" s="247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47"/>
      <c r="I629" s="247"/>
      <c r="J629" s="247"/>
      <c r="K629" s="247"/>
      <c r="L629" s="247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47"/>
      <c r="I630" s="247"/>
      <c r="J630" s="247"/>
      <c r="K630" s="247"/>
      <c r="L630" s="247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47"/>
      <c r="I631" s="247"/>
      <c r="J631" s="247"/>
      <c r="K631" s="247"/>
      <c r="L631" s="247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47"/>
      <c r="I632" s="247"/>
      <c r="J632" s="247"/>
      <c r="K632" s="247"/>
      <c r="L632" s="247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47"/>
      <c r="I633" s="247"/>
      <c r="J633" s="247"/>
      <c r="K633" s="247"/>
      <c r="L633" s="247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47"/>
      <c r="I634" s="247"/>
      <c r="J634" s="247"/>
      <c r="K634" s="247"/>
      <c r="L634" s="247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47"/>
      <c r="I635" s="247"/>
      <c r="J635" s="247"/>
      <c r="K635" s="247"/>
      <c r="L635" s="247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47"/>
      <c r="I636" s="247"/>
      <c r="J636" s="247"/>
      <c r="K636" s="247"/>
      <c r="L636" s="247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47"/>
      <c r="I637" s="247"/>
      <c r="J637" s="247"/>
      <c r="K637" s="247"/>
      <c r="L637" s="247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47"/>
      <c r="I638" s="247"/>
      <c r="J638" s="247"/>
      <c r="K638" s="247"/>
      <c r="L638" s="247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47"/>
      <c r="I639" s="247"/>
      <c r="J639" s="247"/>
      <c r="K639" s="247"/>
      <c r="L639" s="247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47"/>
      <c r="I640" s="247"/>
      <c r="J640" s="247"/>
      <c r="K640" s="247"/>
      <c r="L640" s="247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47"/>
      <c r="I641" s="247"/>
      <c r="J641" s="247"/>
      <c r="K641" s="247"/>
      <c r="L641" s="247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47"/>
      <c r="I642" s="247"/>
      <c r="J642" s="247"/>
      <c r="K642" s="247"/>
      <c r="L642" s="247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47"/>
      <c r="I643" s="247"/>
      <c r="J643" s="247"/>
      <c r="K643" s="247"/>
      <c r="L643" s="247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47"/>
      <c r="I644" s="247"/>
      <c r="J644" s="247"/>
      <c r="K644" s="247"/>
      <c r="L644" s="247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47"/>
      <c r="I645" s="247"/>
      <c r="J645" s="247"/>
      <c r="K645" s="247"/>
      <c r="L645" s="247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47"/>
      <c r="I646" s="247"/>
      <c r="J646" s="247"/>
      <c r="K646" s="247"/>
      <c r="L646" s="247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47"/>
      <c r="I647" s="247"/>
      <c r="J647" s="247"/>
      <c r="K647" s="247"/>
      <c r="L647" s="247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47"/>
      <c r="I648" s="247"/>
      <c r="J648" s="247"/>
      <c r="K648" s="247"/>
      <c r="L648" s="247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47"/>
      <c r="I649" s="247"/>
      <c r="J649" s="247"/>
      <c r="K649" s="247"/>
      <c r="L649" s="247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47"/>
      <c r="I650" s="247"/>
      <c r="J650" s="247"/>
      <c r="K650" s="247"/>
      <c r="L650" s="247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47"/>
      <c r="I651" s="247"/>
      <c r="J651" s="247"/>
      <c r="K651" s="247"/>
      <c r="L651" s="247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47"/>
      <c r="I652" s="247"/>
      <c r="J652" s="247"/>
      <c r="K652" s="247"/>
      <c r="L652" s="247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47"/>
      <c r="I653" s="247"/>
      <c r="J653" s="247"/>
      <c r="K653" s="247"/>
      <c r="L653" s="247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47"/>
      <c r="I654" s="247"/>
      <c r="J654" s="247"/>
      <c r="K654" s="247"/>
      <c r="L654" s="247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47"/>
      <c r="I655" s="247"/>
      <c r="J655" s="247"/>
      <c r="K655" s="247"/>
      <c r="L655" s="247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47"/>
      <c r="I656" s="247"/>
      <c r="J656" s="247"/>
      <c r="K656" s="247"/>
      <c r="L656" s="247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47"/>
      <c r="I657" s="247"/>
      <c r="J657" s="247"/>
      <c r="K657" s="247"/>
      <c r="L657" s="247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47"/>
      <c r="I658" s="247"/>
      <c r="J658" s="247"/>
      <c r="K658" s="247"/>
      <c r="L658" s="247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47"/>
      <c r="I659" s="247"/>
      <c r="J659" s="247"/>
      <c r="K659" s="247"/>
      <c r="L659" s="247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47"/>
      <c r="I660" s="247"/>
      <c r="J660" s="247"/>
      <c r="K660" s="247"/>
      <c r="L660" s="247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47"/>
      <c r="I661" s="247"/>
      <c r="J661" s="247"/>
      <c r="K661" s="247"/>
      <c r="L661" s="247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47"/>
      <c r="I662" s="247"/>
      <c r="J662" s="247"/>
      <c r="K662" s="247"/>
      <c r="L662" s="247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47"/>
      <c r="I663" s="247"/>
      <c r="J663" s="247"/>
      <c r="K663" s="247"/>
      <c r="L663" s="247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47"/>
      <c r="I664" s="247"/>
      <c r="J664" s="247"/>
      <c r="K664" s="247"/>
      <c r="L664" s="247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47"/>
      <c r="I665" s="247"/>
      <c r="J665" s="247"/>
      <c r="K665" s="247"/>
      <c r="L665" s="247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47"/>
      <c r="I666" s="247"/>
      <c r="J666" s="247"/>
      <c r="K666" s="247"/>
      <c r="L666" s="247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47"/>
      <c r="I667" s="247"/>
      <c r="J667" s="247"/>
      <c r="K667" s="247"/>
      <c r="L667" s="247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47"/>
      <c r="I668" s="247"/>
      <c r="J668" s="247"/>
      <c r="K668" s="247"/>
      <c r="L668" s="247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47"/>
      <c r="I669" s="247"/>
      <c r="J669" s="247"/>
      <c r="K669" s="247"/>
      <c r="L669" s="247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47"/>
      <c r="I670" s="247"/>
      <c r="J670" s="247"/>
      <c r="K670" s="247"/>
      <c r="L670" s="247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47"/>
      <c r="I671" s="247"/>
      <c r="J671" s="247"/>
      <c r="K671" s="247"/>
      <c r="L671" s="247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47"/>
      <c r="I672" s="247"/>
      <c r="J672" s="247"/>
      <c r="K672" s="247"/>
      <c r="L672" s="247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47"/>
      <c r="I673" s="247"/>
      <c r="J673" s="247"/>
      <c r="K673" s="247"/>
      <c r="L673" s="247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47"/>
      <c r="I674" s="247"/>
      <c r="J674" s="247"/>
      <c r="K674" s="247"/>
      <c r="L674" s="247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47"/>
      <c r="I675" s="247"/>
      <c r="J675" s="247"/>
      <c r="K675" s="247"/>
      <c r="L675" s="247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47"/>
      <c r="I676" s="247"/>
      <c r="J676" s="247"/>
      <c r="K676" s="247"/>
      <c r="L676" s="247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47"/>
      <c r="I677" s="247"/>
      <c r="J677" s="247"/>
      <c r="K677" s="247"/>
      <c r="L677" s="247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47"/>
      <c r="I678" s="247"/>
      <c r="J678" s="247"/>
      <c r="K678" s="247"/>
      <c r="L678" s="247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47"/>
      <c r="I679" s="247"/>
      <c r="J679" s="247"/>
      <c r="K679" s="247"/>
      <c r="L679" s="247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47"/>
      <c r="I680" s="247"/>
      <c r="J680" s="247"/>
      <c r="K680" s="247"/>
      <c r="L680" s="247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47"/>
      <c r="I681" s="247"/>
      <c r="J681" s="247"/>
      <c r="K681" s="247"/>
      <c r="L681" s="247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47"/>
      <c r="I682" s="247"/>
      <c r="J682" s="247"/>
      <c r="K682" s="247"/>
      <c r="L682" s="247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47"/>
      <c r="I683" s="247"/>
      <c r="J683" s="247"/>
      <c r="K683" s="247"/>
      <c r="L683" s="247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47"/>
      <c r="I684" s="247"/>
      <c r="J684" s="247"/>
      <c r="K684" s="247"/>
      <c r="L684" s="247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47"/>
      <c r="I685" s="247"/>
      <c r="J685" s="247"/>
      <c r="K685" s="247"/>
      <c r="L685" s="247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47"/>
      <c r="I686" s="247"/>
      <c r="J686" s="247"/>
      <c r="K686" s="247"/>
      <c r="L686" s="247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47"/>
      <c r="I687" s="247"/>
      <c r="J687" s="247"/>
      <c r="K687" s="247"/>
      <c r="L687" s="247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47"/>
      <c r="I688" s="247"/>
      <c r="J688" s="247"/>
      <c r="K688" s="247"/>
      <c r="L688" s="247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47"/>
      <c r="I689" s="247"/>
      <c r="J689" s="247"/>
      <c r="K689" s="247"/>
      <c r="L689" s="247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47"/>
      <c r="I690" s="247"/>
      <c r="J690" s="247"/>
      <c r="K690" s="247"/>
      <c r="L690" s="247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47"/>
      <c r="I691" s="247"/>
      <c r="J691" s="247"/>
      <c r="K691" s="247"/>
      <c r="L691" s="247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47"/>
      <c r="I692" s="247"/>
      <c r="J692" s="247"/>
      <c r="K692" s="247"/>
      <c r="L692" s="247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47"/>
      <c r="I693" s="247"/>
      <c r="J693" s="247"/>
      <c r="K693" s="247"/>
      <c r="L693" s="247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47"/>
      <c r="I694" s="247"/>
      <c r="J694" s="247"/>
      <c r="K694" s="247"/>
      <c r="L694" s="247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47"/>
      <c r="I695" s="247"/>
      <c r="J695" s="247"/>
      <c r="K695" s="247"/>
      <c r="L695" s="247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47"/>
      <c r="I696" s="247"/>
      <c r="J696" s="247"/>
      <c r="K696" s="247"/>
      <c r="L696" s="247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47"/>
      <c r="I697" s="247"/>
      <c r="J697" s="247"/>
      <c r="K697" s="247"/>
      <c r="L697" s="247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47"/>
      <c r="I698" s="247"/>
      <c r="J698" s="247"/>
      <c r="K698" s="247"/>
      <c r="L698" s="247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47"/>
      <c r="I699" s="247"/>
      <c r="J699" s="247"/>
      <c r="K699" s="247"/>
      <c r="L699" s="247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47"/>
      <c r="I700" s="247"/>
      <c r="J700" s="247"/>
      <c r="K700" s="247"/>
      <c r="L700" s="247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47"/>
      <c r="I701" s="247"/>
      <c r="J701" s="247"/>
      <c r="K701" s="247"/>
      <c r="L701" s="247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47"/>
      <c r="I702" s="247"/>
      <c r="J702" s="247"/>
      <c r="K702" s="247"/>
      <c r="L702" s="247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47"/>
      <c r="I703" s="247"/>
      <c r="J703" s="247"/>
      <c r="K703" s="247"/>
      <c r="L703" s="247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47"/>
      <c r="I704" s="247"/>
      <c r="J704" s="247"/>
      <c r="K704" s="247"/>
      <c r="L704" s="247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47"/>
      <c r="I705" s="247"/>
      <c r="J705" s="247"/>
      <c r="K705" s="247"/>
      <c r="L705" s="247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47"/>
      <c r="I706" s="247"/>
      <c r="J706" s="247"/>
      <c r="K706" s="247"/>
      <c r="L706" s="247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47"/>
      <c r="I707" s="247"/>
      <c r="J707" s="247"/>
      <c r="K707" s="247"/>
      <c r="L707" s="247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47"/>
      <c r="I708" s="247"/>
      <c r="J708" s="247"/>
      <c r="K708" s="247"/>
      <c r="L708" s="247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47"/>
      <c r="I709" s="247"/>
      <c r="J709" s="247"/>
      <c r="K709" s="247"/>
      <c r="L709" s="247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47"/>
      <c r="I710" s="247"/>
      <c r="J710" s="247"/>
      <c r="K710" s="247"/>
      <c r="L710" s="247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47"/>
      <c r="I711" s="247"/>
      <c r="J711" s="247"/>
      <c r="K711" s="247"/>
      <c r="L711" s="247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47"/>
      <c r="I712" s="247"/>
      <c r="J712" s="247"/>
      <c r="K712" s="247"/>
      <c r="L712" s="247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47"/>
      <c r="I713" s="247"/>
      <c r="J713" s="247"/>
      <c r="K713" s="247"/>
      <c r="L713" s="247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47"/>
      <c r="I714" s="247"/>
      <c r="J714" s="247"/>
      <c r="K714" s="247"/>
      <c r="L714" s="247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47"/>
      <c r="I715" s="247"/>
      <c r="J715" s="247"/>
      <c r="K715" s="247"/>
      <c r="L715" s="247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47"/>
      <c r="I716" s="247"/>
      <c r="J716" s="247"/>
      <c r="K716" s="247"/>
      <c r="L716" s="247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47"/>
      <c r="I717" s="247"/>
      <c r="J717" s="247"/>
      <c r="K717" s="247"/>
      <c r="L717" s="247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47"/>
      <c r="I718" s="247"/>
      <c r="J718" s="247"/>
      <c r="K718" s="247"/>
      <c r="L718" s="247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47"/>
      <c r="I719" s="247"/>
      <c r="J719" s="247"/>
      <c r="K719" s="247"/>
      <c r="L719" s="247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47"/>
      <c r="I720" s="247"/>
      <c r="J720" s="247"/>
      <c r="K720" s="247"/>
      <c r="L720" s="247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47"/>
      <c r="I721" s="247"/>
      <c r="J721" s="247"/>
      <c r="K721" s="247"/>
      <c r="L721" s="247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47"/>
      <c r="I722" s="247"/>
      <c r="J722" s="247"/>
      <c r="K722" s="247"/>
      <c r="L722" s="247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47"/>
      <c r="I723" s="247"/>
      <c r="J723" s="247"/>
      <c r="K723" s="247"/>
      <c r="L723" s="247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47"/>
      <c r="I724" s="247"/>
      <c r="J724" s="247"/>
      <c r="K724" s="247"/>
      <c r="L724" s="247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47"/>
      <c r="I725" s="247"/>
      <c r="J725" s="247"/>
      <c r="K725" s="247"/>
      <c r="L725" s="247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47"/>
      <c r="I726" s="247"/>
      <c r="J726" s="247"/>
      <c r="K726" s="247"/>
      <c r="L726" s="247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47"/>
      <c r="I727" s="247"/>
      <c r="J727" s="247"/>
      <c r="K727" s="247"/>
      <c r="L727" s="247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47"/>
      <c r="I728" s="247"/>
      <c r="J728" s="247"/>
      <c r="K728" s="247"/>
      <c r="L728" s="247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47"/>
      <c r="I729" s="247"/>
      <c r="J729" s="247"/>
      <c r="K729" s="247"/>
      <c r="L729" s="247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47"/>
      <c r="I730" s="247"/>
      <c r="J730" s="247"/>
      <c r="K730" s="247"/>
      <c r="L730" s="247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47"/>
      <c r="I731" s="247"/>
      <c r="J731" s="247"/>
      <c r="K731" s="247"/>
      <c r="L731" s="247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47"/>
      <c r="I732" s="247"/>
      <c r="J732" s="247"/>
      <c r="K732" s="247"/>
      <c r="L732" s="247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47"/>
      <c r="I733" s="247"/>
      <c r="J733" s="247"/>
      <c r="K733" s="247"/>
      <c r="L733" s="247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47"/>
      <c r="I734" s="247"/>
      <c r="J734" s="247"/>
      <c r="K734" s="247"/>
      <c r="L734" s="247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47"/>
      <c r="I735" s="247"/>
      <c r="J735" s="247"/>
      <c r="K735" s="247"/>
      <c r="L735" s="247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47"/>
      <c r="I736" s="247"/>
      <c r="J736" s="247"/>
      <c r="K736" s="247"/>
      <c r="L736" s="247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47"/>
      <c r="I737" s="247"/>
      <c r="J737" s="247"/>
      <c r="K737" s="247"/>
      <c r="L737" s="247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47"/>
      <c r="I738" s="247"/>
      <c r="J738" s="247"/>
      <c r="K738" s="247"/>
      <c r="L738" s="247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47"/>
      <c r="I739" s="247"/>
      <c r="J739" s="247"/>
      <c r="K739" s="247"/>
      <c r="L739" s="247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47"/>
      <c r="I740" s="247"/>
      <c r="J740" s="247"/>
      <c r="K740" s="247"/>
      <c r="L740" s="247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47"/>
      <c r="I741" s="247"/>
      <c r="J741" s="247"/>
      <c r="K741" s="247"/>
      <c r="L741" s="247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47"/>
      <c r="I742" s="247"/>
      <c r="J742" s="247"/>
      <c r="K742" s="247"/>
      <c r="L742" s="247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47"/>
      <c r="I743" s="247"/>
      <c r="J743" s="247"/>
      <c r="K743" s="247"/>
      <c r="L743" s="247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47"/>
      <c r="I744" s="247"/>
      <c r="J744" s="247"/>
      <c r="K744" s="247"/>
      <c r="L744" s="247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47"/>
      <c r="I745" s="247"/>
      <c r="J745" s="247"/>
      <c r="K745" s="247"/>
      <c r="L745" s="247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47"/>
      <c r="I746" s="247"/>
      <c r="J746" s="247"/>
      <c r="K746" s="247"/>
      <c r="L746" s="247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47"/>
      <c r="I747" s="247"/>
      <c r="J747" s="247"/>
      <c r="K747" s="247"/>
      <c r="L747" s="247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47"/>
      <c r="I748" s="247"/>
      <c r="J748" s="247"/>
      <c r="K748" s="247"/>
      <c r="L748" s="247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47"/>
      <c r="I749" s="247"/>
      <c r="J749" s="247"/>
      <c r="K749" s="247"/>
      <c r="L749" s="247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47"/>
      <c r="I750" s="247"/>
      <c r="J750" s="247"/>
      <c r="K750" s="247"/>
      <c r="L750" s="247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47"/>
      <c r="I751" s="247"/>
      <c r="J751" s="247"/>
      <c r="K751" s="247"/>
      <c r="L751" s="247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47"/>
      <c r="I752" s="247"/>
      <c r="J752" s="247"/>
      <c r="K752" s="247"/>
      <c r="L752" s="247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47"/>
      <c r="I753" s="247"/>
      <c r="J753" s="247"/>
      <c r="K753" s="247"/>
      <c r="L753" s="247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47"/>
      <c r="I754" s="247"/>
      <c r="J754" s="247"/>
      <c r="K754" s="247"/>
      <c r="L754" s="247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47"/>
      <c r="I755" s="247"/>
      <c r="J755" s="247"/>
      <c r="K755" s="247"/>
      <c r="L755" s="247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47"/>
      <c r="I756" s="247"/>
      <c r="J756" s="247"/>
      <c r="K756" s="247"/>
      <c r="L756" s="247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47"/>
      <c r="I757" s="247"/>
      <c r="J757" s="247"/>
      <c r="K757" s="247"/>
      <c r="L757" s="247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47"/>
      <c r="I758" s="247"/>
      <c r="J758" s="247"/>
      <c r="K758" s="247"/>
      <c r="L758" s="247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47"/>
      <c r="I759" s="247"/>
      <c r="J759" s="247"/>
      <c r="K759" s="247"/>
      <c r="L759" s="247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47"/>
      <c r="I760" s="247"/>
      <c r="J760" s="247"/>
      <c r="K760" s="247"/>
      <c r="L760" s="247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47"/>
      <c r="I761" s="247"/>
      <c r="J761" s="247"/>
      <c r="K761" s="247"/>
      <c r="L761" s="247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47"/>
      <c r="I762" s="247"/>
      <c r="J762" s="247"/>
      <c r="K762" s="247"/>
      <c r="L762" s="247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47"/>
      <c r="I763" s="247"/>
      <c r="J763" s="247"/>
      <c r="K763" s="247"/>
      <c r="L763" s="247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47"/>
      <c r="I764" s="247"/>
      <c r="J764" s="247"/>
      <c r="K764" s="247"/>
      <c r="L764" s="247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47"/>
      <c r="I765" s="247"/>
      <c r="J765" s="247"/>
      <c r="K765" s="247"/>
      <c r="L765" s="247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47"/>
      <c r="I766" s="247"/>
      <c r="J766" s="247"/>
      <c r="K766" s="247"/>
      <c r="L766" s="247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47"/>
      <c r="I767" s="247"/>
      <c r="J767" s="247"/>
      <c r="K767" s="247"/>
      <c r="L767" s="247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47"/>
      <c r="I768" s="247"/>
      <c r="J768" s="247"/>
      <c r="K768" s="247"/>
      <c r="L768" s="247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47"/>
      <c r="I769" s="247"/>
      <c r="J769" s="247"/>
      <c r="K769" s="247"/>
      <c r="L769" s="247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47"/>
      <c r="I770" s="247"/>
      <c r="J770" s="247"/>
      <c r="K770" s="247"/>
      <c r="L770" s="247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47"/>
      <c r="I771" s="247"/>
      <c r="J771" s="247"/>
      <c r="K771" s="247"/>
      <c r="L771" s="247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47"/>
      <c r="I772" s="247"/>
      <c r="J772" s="247"/>
      <c r="K772" s="247"/>
      <c r="L772" s="247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47"/>
      <c r="I773" s="247"/>
      <c r="J773" s="247"/>
      <c r="K773" s="247"/>
      <c r="L773" s="247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47"/>
      <c r="I774" s="247"/>
      <c r="J774" s="247"/>
      <c r="K774" s="247"/>
      <c r="L774" s="247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47"/>
      <c r="I775" s="247"/>
      <c r="J775" s="247"/>
      <c r="K775" s="247"/>
      <c r="L775" s="247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47"/>
      <c r="I776" s="247"/>
      <c r="J776" s="247"/>
      <c r="K776" s="247"/>
      <c r="L776" s="247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47"/>
      <c r="I777" s="247"/>
      <c r="J777" s="247"/>
      <c r="K777" s="247"/>
      <c r="L777" s="247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47"/>
      <c r="I778" s="247"/>
      <c r="J778" s="247"/>
      <c r="K778" s="247"/>
      <c r="L778" s="247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47"/>
      <c r="I779" s="247"/>
      <c r="J779" s="247"/>
      <c r="K779" s="247"/>
      <c r="L779" s="247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47"/>
      <c r="I780" s="247"/>
      <c r="J780" s="247"/>
      <c r="K780" s="247"/>
      <c r="L780" s="247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47"/>
      <c r="I781" s="247"/>
      <c r="J781" s="247"/>
      <c r="K781" s="247"/>
      <c r="L781" s="247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47"/>
      <c r="I782" s="247"/>
      <c r="J782" s="247"/>
      <c r="K782" s="247"/>
      <c r="L782" s="247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47"/>
      <c r="I783" s="247"/>
      <c r="J783" s="247"/>
      <c r="K783" s="247"/>
      <c r="L783" s="247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47"/>
      <c r="I784" s="247"/>
      <c r="J784" s="247"/>
      <c r="K784" s="247"/>
      <c r="L784" s="247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47"/>
      <c r="I785" s="247"/>
      <c r="J785" s="247"/>
      <c r="K785" s="247"/>
      <c r="L785" s="247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47"/>
      <c r="I786" s="247"/>
      <c r="J786" s="247"/>
      <c r="K786" s="247"/>
      <c r="L786" s="247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47"/>
      <c r="I787" s="247"/>
      <c r="J787" s="247"/>
      <c r="K787" s="247"/>
      <c r="L787" s="247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47"/>
      <c r="I788" s="247"/>
      <c r="J788" s="247"/>
      <c r="K788" s="247"/>
      <c r="L788" s="247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47"/>
      <c r="I789" s="247"/>
      <c r="J789" s="247"/>
      <c r="K789" s="247"/>
      <c r="L789" s="247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47"/>
      <c r="I790" s="247"/>
      <c r="J790" s="247"/>
      <c r="K790" s="247"/>
      <c r="L790" s="247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47"/>
      <c r="I791" s="247"/>
      <c r="J791" s="247"/>
      <c r="K791" s="247"/>
      <c r="L791" s="247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47"/>
      <c r="I792" s="247"/>
      <c r="J792" s="247"/>
      <c r="K792" s="247"/>
      <c r="L792" s="247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47"/>
      <c r="I793" s="247"/>
      <c r="J793" s="247"/>
      <c r="K793" s="247"/>
      <c r="L793" s="247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47"/>
      <c r="I794" s="247"/>
      <c r="J794" s="247"/>
      <c r="K794" s="247"/>
      <c r="L794" s="247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47"/>
      <c r="I795" s="247"/>
      <c r="J795" s="247"/>
      <c r="K795" s="247"/>
      <c r="L795" s="247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47"/>
      <c r="I796" s="247"/>
      <c r="J796" s="247"/>
      <c r="K796" s="247"/>
      <c r="L796" s="247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47"/>
      <c r="I797" s="247"/>
      <c r="J797" s="247"/>
      <c r="K797" s="247"/>
      <c r="L797" s="247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47"/>
      <c r="I798" s="247"/>
      <c r="J798" s="247"/>
      <c r="K798" s="247"/>
      <c r="L798" s="247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47"/>
      <c r="I799" s="247"/>
      <c r="J799" s="247"/>
      <c r="K799" s="247"/>
      <c r="L799" s="247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47"/>
      <c r="I800" s="247"/>
      <c r="J800" s="247"/>
      <c r="K800" s="247"/>
      <c r="L800" s="247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47"/>
      <c r="I801" s="247"/>
      <c r="J801" s="247"/>
      <c r="K801" s="247"/>
      <c r="L801" s="247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47"/>
      <c r="I802" s="247"/>
      <c r="J802" s="247"/>
      <c r="K802" s="247"/>
      <c r="L802" s="247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47"/>
      <c r="I803" s="247"/>
      <c r="J803" s="247"/>
      <c r="K803" s="247"/>
      <c r="L803" s="247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47"/>
      <c r="I804" s="247"/>
      <c r="J804" s="247"/>
      <c r="K804" s="247"/>
      <c r="L804" s="247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47"/>
      <c r="I805" s="247"/>
      <c r="J805" s="247"/>
      <c r="K805" s="247"/>
      <c r="L805" s="247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47"/>
      <c r="I806" s="247"/>
      <c r="J806" s="247"/>
      <c r="K806" s="247"/>
      <c r="L806" s="247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47"/>
      <c r="I807" s="247"/>
      <c r="J807" s="247"/>
      <c r="K807" s="247"/>
      <c r="L807" s="247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47"/>
      <c r="I808" s="247"/>
      <c r="J808" s="247"/>
      <c r="K808" s="247"/>
      <c r="L808" s="247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47"/>
      <c r="I809" s="247"/>
      <c r="J809" s="247"/>
      <c r="K809" s="247"/>
      <c r="L809" s="247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47"/>
      <c r="I810" s="247"/>
      <c r="J810" s="247"/>
      <c r="K810" s="247"/>
      <c r="L810" s="247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47"/>
      <c r="I811" s="247"/>
      <c r="J811" s="247"/>
      <c r="K811" s="247"/>
      <c r="L811" s="247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47"/>
      <c r="I812" s="247"/>
      <c r="J812" s="247"/>
      <c r="K812" s="247"/>
      <c r="L812" s="247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47"/>
      <c r="I813" s="247"/>
      <c r="J813" s="247"/>
      <c r="K813" s="247"/>
      <c r="L813" s="247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47"/>
      <c r="I814" s="247"/>
      <c r="J814" s="247"/>
      <c r="K814" s="247"/>
      <c r="L814" s="247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47"/>
      <c r="I815" s="247"/>
      <c r="J815" s="247"/>
      <c r="K815" s="247"/>
      <c r="L815" s="247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47"/>
      <c r="I816" s="247"/>
      <c r="J816" s="247"/>
      <c r="K816" s="247"/>
      <c r="L816" s="247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47"/>
      <c r="I817" s="247"/>
      <c r="J817" s="247"/>
      <c r="K817" s="247"/>
      <c r="L817" s="247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47"/>
      <c r="I818" s="247"/>
      <c r="J818" s="247"/>
      <c r="K818" s="247"/>
      <c r="L818" s="247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47"/>
      <c r="I819" s="247"/>
      <c r="J819" s="247"/>
      <c r="K819" s="247"/>
      <c r="L819" s="247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47"/>
      <c r="I820" s="247"/>
      <c r="J820" s="247"/>
      <c r="K820" s="247"/>
      <c r="L820" s="247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47"/>
      <c r="I821" s="247"/>
      <c r="J821" s="247"/>
      <c r="K821" s="247"/>
      <c r="L821" s="247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47"/>
      <c r="I822" s="247"/>
      <c r="J822" s="247"/>
      <c r="K822" s="247"/>
      <c r="L822" s="247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47"/>
      <c r="I823" s="247"/>
      <c r="J823" s="247"/>
      <c r="K823" s="247"/>
      <c r="L823" s="247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47"/>
      <c r="I824" s="247"/>
      <c r="J824" s="247"/>
      <c r="K824" s="247"/>
      <c r="L824" s="247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47"/>
      <c r="I825" s="247"/>
      <c r="J825" s="247"/>
      <c r="K825" s="247"/>
      <c r="L825" s="247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47"/>
      <c r="I826" s="247"/>
      <c r="J826" s="247"/>
      <c r="K826" s="247"/>
      <c r="L826" s="247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47"/>
      <c r="I827" s="247"/>
      <c r="J827" s="247"/>
      <c r="K827" s="247"/>
      <c r="L827" s="247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47"/>
      <c r="I828" s="247"/>
      <c r="J828" s="247"/>
      <c r="K828" s="247"/>
      <c r="L828" s="247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47"/>
      <c r="I829" s="247"/>
      <c r="J829" s="247"/>
      <c r="K829" s="247"/>
      <c r="L829" s="247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47"/>
      <c r="I830" s="247"/>
      <c r="J830" s="247"/>
      <c r="K830" s="247"/>
      <c r="L830" s="247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47"/>
      <c r="I831" s="247"/>
      <c r="J831" s="247"/>
      <c r="K831" s="247"/>
      <c r="L831" s="247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47"/>
      <c r="I832" s="247"/>
      <c r="J832" s="247"/>
      <c r="K832" s="247"/>
      <c r="L832" s="247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47"/>
      <c r="I833" s="247"/>
      <c r="J833" s="247"/>
      <c r="K833" s="247"/>
      <c r="L833" s="247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47"/>
      <c r="I834" s="247"/>
      <c r="J834" s="247"/>
      <c r="K834" s="247"/>
      <c r="L834" s="247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47"/>
      <c r="I835" s="247"/>
      <c r="J835" s="247"/>
      <c r="K835" s="247"/>
      <c r="L835" s="247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47"/>
      <c r="I836" s="247"/>
      <c r="J836" s="247"/>
      <c r="K836" s="247"/>
      <c r="L836" s="247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47"/>
      <c r="I837" s="247"/>
      <c r="J837" s="247"/>
      <c r="K837" s="247"/>
      <c r="L837" s="247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47"/>
      <c r="I838" s="247"/>
      <c r="J838" s="247"/>
      <c r="K838" s="247"/>
      <c r="L838" s="247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47"/>
      <c r="I839" s="247"/>
      <c r="J839" s="247"/>
      <c r="K839" s="247"/>
      <c r="L839" s="247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47"/>
      <c r="I840" s="247"/>
      <c r="J840" s="247"/>
      <c r="K840" s="247"/>
      <c r="L840" s="247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47"/>
      <c r="I841" s="247"/>
      <c r="J841" s="247"/>
      <c r="K841" s="247"/>
      <c r="L841" s="247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47"/>
      <c r="I842" s="247"/>
      <c r="J842" s="247"/>
      <c r="K842" s="247"/>
      <c r="L842" s="247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47"/>
      <c r="I843" s="247"/>
      <c r="J843" s="247"/>
      <c r="K843" s="247"/>
      <c r="L843" s="247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47"/>
      <c r="I844" s="247"/>
      <c r="J844" s="247"/>
      <c r="K844" s="247"/>
      <c r="L844" s="247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47"/>
      <c r="I845" s="247"/>
      <c r="J845" s="247"/>
      <c r="K845" s="247"/>
      <c r="L845" s="247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47"/>
      <c r="I846" s="247"/>
      <c r="J846" s="247"/>
      <c r="K846" s="247"/>
      <c r="L846" s="247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47"/>
      <c r="I847" s="247"/>
      <c r="J847" s="247"/>
      <c r="K847" s="247"/>
      <c r="L847" s="247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47"/>
      <c r="I848" s="247"/>
      <c r="J848" s="247"/>
      <c r="K848" s="247"/>
      <c r="L848" s="247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47"/>
      <c r="I849" s="247"/>
      <c r="J849" s="247"/>
      <c r="K849" s="247"/>
      <c r="L849" s="247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47"/>
      <c r="I850" s="247"/>
      <c r="J850" s="247"/>
      <c r="K850" s="247"/>
      <c r="L850" s="247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47"/>
      <c r="I851" s="247"/>
      <c r="J851" s="247"/>
      <c r="K851" s="247"/>
      <c r="L851" s="247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47"/>
      <c r="I852" s="247"/>
      <c r="J852" s="247"/>
      <c r="K852" s="247"/>
      <c r="L852" s="247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47"/>
      <c r="I853" s="247"/>
      <c r="J853" s="247"/>
      <c r="K853" s="247"/>
      <c r="L853" s="247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47"/>
      <c r="I854" s="247"/>
      <c r="J854" s="247"/>
      <c r="K854" s="247"/>
      <c r="L854" s="247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47"/>
      <c r="I855" s="247"/>
      <c r="J855" s="247"/>
      <c r="K855" s="247"/>
      <c r="L855" s="247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47"/>
      <c r="I856" s="247"/>
      <c r="J856" s="247"/>
      <c r="K856" s="247"/>
      <c r="L856" s="247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47"/>
      <c r="I857" s="247"/>
      <c r="J857" s="247"/>
      <c r="K857" s="247"/>
      <c r="L857" s="247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47"/>
      <c r="I858" s="247"/>
      <c r="J858" s="247"/>
      <c r="K858" s="247"/>
      <c r="L858" s="247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47"/>
      <c r="I859" s="247"/>
      <c r="J859" s="247"/>
      <c r="K859" s="247"/>
      <c r="L859" s="247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47"/>
      <c r="I860" s="247"/>
      <c r="J860" s="247"/>
      <c r="K860" s="247"/>
      <c r="L860" s="247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47"/>
      <c r="I861" s="247"/>
      <c r="J861" s="247"/>
      <c r="K861" s="247"/>
      <c r="L861" s="247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47"/>
      <c r="I862" s="247"/>
      <c r="J862" s="247"/>
      <c r="K862" s="247"/>
      <c r="L862" s="247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47"/>
      <c r="I863" s="247"/>
      <c r="J863" s="247"/>
      <c r="K863" s="247"/>
      <c r="L863" s="247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47"/>
      <c r="I864" s="247"/>
      <c r="J864" s="247"/>
      <c r="K864" s="247"/>
      <c r="L864" s="247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47"/>
      <c r="I865" s="247"/>
      <c r="J865" s="247"/>
      <c r="K865" s="247"/>
      <c r="L865" s="247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47"/>
      <c r="I866" s="247"/>
      <c r="J866" s="247"/>
      <c r="K866" s="247"/>
      <c r="L866" s="247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47"/>
      <c r="I867" s="247"/>
      <c r="J867" s="247"/>
      <c r="K867" s="247"/>
      <c r="L867" s="247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47"/>
      <c r="I868" s="247"/>
      <c r="J868" s="247"/>
      <c r="K868" s="247"/>
      <c r="L868" s="247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47"/>
      <c r="I869" s="247"/>
      <c r="J869" s="247"/>
      <c r="K869" s="247"/>
      <c r="L869" s="247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47"/>
      <c r="I870" s="247"/>
      <c r="J870" s="247"/>
      <c r="K870" s="247"/>
      <c r="L870" s="247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47"/>
      <c r="I871" s="247"/>
      <c r="J871" s="247"/>
      <c r="K871" s="247"/>
      <c r="L871" s="247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47"/>
      <c r="I872" s="247"/>
      <c r="J872" s="247"/>
      <c r="K872" s="247"/>
      <c r="L872" s="247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47"/>
      <c r="I873" s="247"/>
      <c r="J873" s="247"/>
      <c r="K873" s="247"/>
      <c r="L873" s="247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47"/>
      <c r="I874" s="247"/>
      <c r="J874" s="247"/>
      <c r="K874" s="247"/>
      <c r="L874" s="247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47"/>
      <c r="I875" s="247"/>
      <c r="J875" s="247"/>
      <c r="K875" s="247"/>
      <c r="L875" s="247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47"/>
      <c r="I876" s="247"/>
      <c r="J876" s="247"/>
      <c r="K876" s="247"/>
      <c r="L876" s="247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47"/>
      <c r="I877" s="247"/>
      <c r="J877" s="247"/>
      <c r="K877" s="247"/>
      <c r="L877" s="247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47"/>
      <c r="I878" s="247"/>
      <c r="J878" s="247"/>
      <c r="K878" s="247"/>
      <c r="L878" s="247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47"/>
      <c r="I879" s="247"/>
      <c r="J879" s="247"/>
      <c r="K879" s="247"/>
      <c r="L879" s="247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47"/>
      <c r="I880" s="247"/>
      <c r="J880" s="247"/>
      <c r="K880" s="247"/>
      <c r="L880" s="247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47"/>
      <c r="I881" s="247"/>
      <c r="J881" s="247"/>
      <c r="K881" s="247"/>
      <c r="L881" s="247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47"/>
      <c r="I882" s="247"/>
      <c r="J882" s="247"/>
      <c r="K882" s="247"/>
      <c r="L882" s="247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47"/>
      <c r="I883" s="247"/>
      <c r="J883" s="247"/>
      <c r="K883" s="247"/>
      <c r="L883" s="247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47"/>
      <c r="I884" s="247"/>
      <c r="J884" s="247"/>
      <c r="K884" s="247"/>
      <c r="L884" s="247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47"/>
      <c r="I885" s="247"/>
      <c r="J885" s="247"/>
      <c r="K885" s="247"/>
      <c r="L885" s="247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47"/>
      <c r="I886" s="247"/>
      <c r="J886" s="247"/>
      <c r="K886" s="247"/>
      <c r="L886" s="247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47"/>
      <c r="I887" s="247"/>
      <c r="J887" s="247"/>
      <c r="K887" s="247"/>
      <c r="L887" s="247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47"/>
      <c r="I888" s="247"/>
      <c r="J888" s="247"/>
      <c r="K888" s="247"/>
      <c r="L888" s="247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47"/>
      <c r="I889" s="247"/>
      <c r="J889" s="247"/>
      <c r="K889" s="247"/>
      <c r="L889" s="247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47"/>
      <c r="I890" s="247"/>
      <c r="J890" s="247"/>
      <c r="K890" s="247"/>
      <c r="L890" s="247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47"/>
      <c r="I891" s="247"/>
      <c r="J891" s="247"/>
      <c r="K891" s="247"/>
      <c r="L891" s="247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47"/>
      <c r="I892" s="247"/>
      <c r="J892" s="247"/>
      <c r="K892" s="247"/>
      <c r="L892" s="247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47"/>
      <c r="I893" s="247"/>
      <c r="J893" s="247"/>
      <c r="K893" s="247"/>
      <c r="L893" s="247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47"/>
      <c r="I894" s="247"/>
      <c r="J894" s="247"/>
      <c r="K894" s="247"/>
      <c r="L894" s="247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47"/>
      <c r="I895" s="247"/>
      <c r="J895" s="247"/>
      <c r="K895" s="247"/>
      <c r="L895" s="247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47"/>
      <c r="I896" s="247"/>
      <c r="J896" s="247"/>
      <c r="K896" s="247"/>
      <c r="L896" s="247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47"/>
      <c r="I897" s="247"/>
      <c r="J897" s="247"/>
      <c r="K897" s="247"/>
      <c r="L897" s="247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47"/>
      <c r="I898" s="247"/>
      <c r="J898" s="247"/>
      <c r="K898" s="247"/>
      <c r="L898" s="247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47"/>
      <c r="I899" s="247"/>
      <c r="J899" s="247"/>
      <c r="K899" s="247"/>
      <c r="L899" s="247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47"/>
      <c r="I900" s="247"/>
      <c r="J900" s="247"/>
      <c r="K900" s="247"/>
      <c r="L900" s="247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47"/>
      <c r="I901" s="247"/>
      <c r="J901" s="247"/>
      <c r="K901" s="247"/>
      <c r="L901" s="247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47"/>
      <c r="I902" s="247"/>
      <c r="J902" s="247"/>
      <c r="K902" s="247"/>
      <c r="L902" s="247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47"/>
      <c r="I903" s="247"/>
      <c r="J903" s="247"/>
      <c r="K903" s="247"/>
      <c r="L903" s="247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47"/>
      <c r="I904" s="247"/>
      <c r="J904" s="247"/>
      <c r="K904" s="247"/>
      <c r="L904" s="247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47"/>
      <c r="I905" s="247"/>
      <c r="J905" s="247"/>
      <c r="K905" s="247"/>
      <c r="L905" s="247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47"/>
      <c r="I906" s="247"/>
      <c r="J906" s="247"/>
      <c r="K906" s="247"/>
      <c r="L906" s="247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47"/>
      <c r="I907" s="247"/>
      <c r="J907" s="247"/>
      <c r="K907" s="247"/>
      <c r="L907" s="247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47"/>
      <c r="I908" s="247"/>
      <c r="J908" s="247"/>
      <c r="K908" s="247"/>
      <c r="L908" s="247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47"/>
      <c r="I909" s="247"/>
      <c r="J909" s="247"/>
      <c r="K909" s="247"/>
      <c r="L909" s="247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47"/>
      <c r="I910" s="247"/>
      <c r="J910" s="247"/>
      <c r="K910" s="247"/>
      <c r="L910" s="247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47"/>
      <c r="I911" s="247"/>
      <c r="J911" s="247"/>
      <c r="K911" s="247"/>
      <c r="L911" s="247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47"/>
      <c r="I912" s="247"/>
      <c r="J912" s="247"/>
      <c r="K912" s="247"/>
      <c r="L912" s="247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47"/>
      <c r="I913" s="247"/>
      <c r="J913" s="247"/>
      <c r="K913" s="247"/>
      <c r="L913" s="247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47"/>
      <c r="I914" s="247"/>
      <c r="J914" s="247"/>
      <c r="K914" s="247"/>
      <c r="L914" s="247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47"/>
      <c r="I915" s="247"/>
      <c r="J915" s="247"/>
      <c r="K915" s="247"/>
      <c r="L915" s="247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47"/>
      <c r="I916" s="247"/>
      <c r="J916" s="247"/>
      <c r="K916" s="247"/>
      <c r="L916" s="247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47"/>
      <c r="I917" s="247"/>
      <c r="J917" s="247"/>
      <c r="K917" s="247"/>
      <c r="L917" s="247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47"/>
      <c r="I918" s="247"/>
      <c r="J918" s="247"/>
      <c r="K918" s="247"/>
      <c r="L918" s="247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47"/>
      <c r="I919" s="247"/>
      <c r="J919" s="247"/>
      <c r="K919" s="247"/>
      <c r="L919" s="247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47"/>
      <c r="I920" s="247"/>
      <c r="J920" s="247"/>
      <c r="K920" s="247"/>
      <c r="L920" s="247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47"/>
      <c r="I921" s="247"/>
      <c r="J921" s="247"/>
      <c r="K921" s="247"/>
      <c r="L921" s="247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47"/>
      <c r="I922" s="247"/>
      <c r="J922" s="247"/>
      <c r="K922" s="247"/>
      <c r="L922" s="247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47"/>
      <c r="I923" s="247"/>
      <c r="J923" s="247"/>
      <c r="K923" s="247"/>
      <c r="L923" s="247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47"/>
      <c r="I924" s="247"/>
      <c r="J924" s="247"/>
      <c r="K924" s="247"/>
      <c r="L924" s="247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47"/>
      <c r="I925" s="247"/>
      <c r="J925" s="247"/>
      <c r="K925" s="247"/>
      <c r="L925" s="247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47"/>
      <c r="I926" s="247"/>
      <c r="J926" s="247"/>
      <c r="K926" s="247"/>
      <c r="L926" s="247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47"/>
      <c r="I927" s="247"/>
      <c r="J927" s="247"/>
      <c r="K927" s="247"/>
      <c r="L927" s="247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47"/>
      <c r="I928" s="247"/>
      <c r="J928" s="247"/>
      <c r="K928" s="247"/>
      <c r="L928" s="247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47"/>
      <c r="I929" s="247"/>
      <c r="J929" s="247"/>
      <c r="K929" s="247"/>
      <c r="L929" s="247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47"/>
      <c r="I930" s="247"/>
      <c r="J930" s="247"/>
      <c r="K930" s="247"/>
      <c r="L930" s="247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47"/>
      <c r="I931" s="247"/>
      <c r="J931" s="247"/>
      <c r="K931" s="247"/>
      <c r="L931" s="247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47"/>
      <c r="I932" s="247"/>
      <c r="J932" s="247"/>
      <c r="K932" s="247"/>
      <c r="L932" s="247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47"/>
      <c r="I933" s="247"/>
      <c r="J933" s="247"/>
      <c r="K933" s="247"/>
      <c r="L933" s="247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47"/>
      <c r="I934" s="247"/>
      <c r="J934" s="247"/>
      <c r="K934" s="247"/>
      <c r="L934" s="247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47"/>
      <c r="I935" s="247"/>
      <c r="J935" s="247"/>
      <c r="K935" s="247"/>
      <c r="L935" s="247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47"/>
      <c r="I936" s="247"/>
      <c r="J936" s="247"/>
      <c r="K936" s="247"/>
      <c r="L936" s="247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47"/>
      <c r="I937" s="247"/>
      <c r="J937" s="247"/>
      <c r="K937" s="247"/>
      <c r="L937" s="247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47"/>
      <c r="I938" s="247"/>
      <c r="J938" s="247"/>
      <c r="K938" s="247"/>
      <c r="L938" s="247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47"/>
      <c r="I939" s="247"/>
      <c r="J939" s="247"/>
      <c r="K939" s="247"/>
      <c r="L939" s="247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47"/>
      <c r="I940" s="247"/>
      <c r="J940" s="247"/>
      <c r="K940" s="247"/>
      <c r="L940" s="247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47"/>
      <c r="I941" s="247"/>
      <c r="J941" s="247"/>
      <c r="K941" s="247"/>
      <c r="L941" s="247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47"/>
      <c r="I942" s="247"/>
      <c r="J942" s="247"/>
      <c r="K942" s="247"/>
      <c r="L942" s="247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47"/>
      <c r="I943" s="247"/>
      <c r="J943" s="247"/>
      <c r="K943" s="247"/>
      <c r="L943" s="247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47"/>
      <c r="I944" s="247"/>
      <c r="J944" s="247"/>
      <c r="K944" s="247"/>
      <c r="L944" s="247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47"/>
      <c r="I945" s="247"/>
      <c r="J945" s="247"/>
      <c r="K945" s="247"/>
      <c r="L945" s="247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47"/>
      <c r="I946" s="247"/>
      <c r="J946" s="247"/>
      <c r="K946" s="247"/>
      <c r="L946" s="247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47"/>
      <c r="I947" s="247"/>
      <c r="J947" s="247"/>
      <c r="K947" s="247"/>
      <c r="L947" s="247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47"/>
      <c r="I948" s="247"/>
      <c r="J948" s="247"/>
      <c r="K948" s="247"/>
      <c r="L948" s="247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47"/>
      <c r="I949" s="247"/>
      <c r="J949" s="247"/>
      <c r="K949" s="247"/>
      <c r="L949" s="247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47"/>
      <c r="I950" s="247"/>
      <c r="J950" s="247"/>
      <c r="K950" s="247"/>
      <c r="L950" s="247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47"/>
      <c r="I951" s="247"/>
      <c r="J951" s="247"/>
      <c r="K951" s="247"/>
      <c r="L951" s="247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47"/>
      <c r="I952" s="247"/>
      <c r="J952" s="247"/>
      <c r="K952" s="247"/>
      <c r="L952" s="247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47"/>
      <c r="I953" s="247"/>
      <c r="J953" s="247"/>
      <c r="K953" s="247"/>
      <c r="L953" s="247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47"/>
      <c r="I954" s="247"/>
      <c r="J954" s="247"/>
      <c r="K954" s="247"/>
      <c r="L954" s="247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47"/>
      <c r="I955" s="247"/>
      <c r="J955" s="247"/>
      <c r="K955" s="247"/>
      <c r="L955" s="247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47"/>
      <c r="I956" s="247"/>
      <c r="J956" s="247"/>
      <c r="K956" s="247"/>
      <c r="L956" s="247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47"/>
      <c r="I957" s="247"/>
      <c r="J957" s="247"/>
      <c r="K957" s="247"/>
      <c r="L957" s="247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47"/>
      <c r="I958" s="247"/>
      <c r="J958" s="247"/>
      <c r="K958" s="247"/>
      <c r="L958" s="247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47"/>
      <c r="I959" s="247"/>
      <c r="J959" s="247"/>
      <c r="K959" s="247"/>
      <c r="L959" s="247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47"/>
      <c r="I960" s="247"/>
      <c r="J960" s="247"/>
      <c r="K960" s="247"/>
      <c r="L960" s="247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47"/>
      <c r="I961" s="247"/>
      <c r="J961" s="247"/>
      <c r="K961" s="247"/>
      <c r="L961" s="247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47"/>
      <c r="I962" s="247"/>
      <c r="J962" s="247"/>
      <c r="K962" s="247"/>
      <c r="L962" s="247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47"/>
      <c r="I963" s="247"/>
      <c r="J963" s="247"/>
      <c r="K963" s="247"/>
      <c r="L963" s="247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47"/>
      <c r="I964" s="247"/>
      <c r="J964" s="247"/>
      <c r="K964" s="247"/>
      <c r="L964" s="247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47"/>
      <c r="I965" s="247"/>
      <c r="J965" s="247"/>
      <c r="K965" s="247"/>
      <c r="L965" s="247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47"/>
      <c r="I966" s="247"/>
      <c r="J966" s="247"/>
      <c r="K966" s="247"/>
      <c r="L966" s="247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47"/>
      <c r="I967" s="247"/>
      <c r="J967" s="247"/>
      <c r="K967" s="247"/>
      <c r="L967" s="247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47"/>
      <c r="I968" s="247"/>
      <c r="J968" s="247"/>
      <c r="K968" s="247"/>
      <c r="L968" s="247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47"/>
      <c r="I969" s="247"/>
      <c r="J969" s="247"/>
      <c r="K969" s="247"/>
      <c r="L969" s="247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47"/>
      <c r="I970" s="247"/>
      <c r="J970" s="247"/>
      <c r="K970" s="247"/>
      <c r="L970" s="247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47"/>
      <c r="I971" s="247"/>
      <c r="J971" s="247"/>
      <c r="K971" s="247"/>
      <c r="L971" s="247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47"/>
      <c r="I972" s="247"/>
      <c r="J972" s="247"/>
      <c r="K972" s="247"/>
      <c r="L972" s="247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47"/>
      <c r="I973" s="247"/>
      <c r="J973" s="247"/>
      <c r="K973" s="247"/>
      <c r="L973" s="247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47"/>
      <c r="I974" s="247"/>
      <c r="J974" s="247"/>
      <c r="K974" s="247"/>
      <c r="L974" s="247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47"/>
      <c r="I975" s="247"/>
      <c r="J975" s="247"/>
      <c r="K975" s="247"/>
      <c r="L975" s="247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47"/>
      <c r="I976" s="247"/>
      <c r="J976" s="247"/>
      <c r="K976" s="247"/>
      <c r="L976" s="247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47"/>
      <c r="I977" s="247"/>
      <c r="J977" s="247"/>
      <c r="K977" s="247"/>
      <c r="L977" s="247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47"/>
      <c r="I978" s="247"/>
      <c r="J978" s="247"/>
      <c r="K978" s="247"/>
      <c r="L978" s="247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47"/>
      <c r="I979" s="247"/>
      <c r="J979" s="247"/>
      <c r="K979" s="247"/>
      <c r="L979" s="247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47"/>
      <c r="I980" s="247"/>
      <c r="J980" s="247"/>
      <c r="K980" s="247"/>
      <c r="L980" s="247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47"/>
      <c r="I981" s="247"/>
      <c r="J981" s="247"/>
      <c r="K981" s="247"/>
      <c r="L981" s="247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47"/>
      <c r="I982" s="247"/>
      <c r="J982" s="247"/>
      <c r="K982" s="247"/>
      <c r="L982" s="247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47"/>
      <c r="I983" s="247"/>
      <c r="J983" s="247"/>
      <c r="K983" s="247"/>
      <c r="L983" s="247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47"/>
      <c r="I984" s="247"/>
      <c r="J984" s="247"/>
      <c r="K984" s="247"/>
      <c r="L984" s="247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47"/>
      <c r="I985" s="247"/>
      <c r="J985" s="247"/>
      <c r="K985" s="247"/>
      <c r="L985" s="247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47"/>
      <c r="I986" s="247"/>
      <c r="J986" s="247"/>
      <c r="K986" s="247"/>
      <c r="L986" s="247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47"/>
      <c r="I987" s="247"/>
      <c r="J987" s="247"/>
      <c r="K987" s="247"/>
      <c r="L987" s="247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47"/>
      <c r="I988" s="247"/>
      <c r="J988" s="247"/>
      <c r="K988" s="247"/>
      <c r="L988" s="247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47"/>
      <c r="I989" s="247"/>
      <c r="J989" s="247"/>
      <c r="K989" s="247"/>
      <c r="L989" s="247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47"/>
      <c r="I990" s="247"/>
      <c r="J990" s="247"/>
      <c r="K990" s="247"/>
      <c r="L990" s="247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47"/>
      <c r="I991" s="247"/>
      <c r="J991" s="247"/>
      <c r="K991" s="247"/>
      <c r="L991" s="247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47"/>
      <c r="I992" s="247"/>
      <c r="J992" s="247"/>
      <c r="K992" s="247"/>
      <c r="L992" s="247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47"/>
      <c r="I993" s="247"/>
      <c r="J993" s="247"/>
      <c r="K993" s="247"/>
      <c r="L993" s="247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47"/>
      <c r="I994" s="247"/>
      <c r="J994" s="247"/>
      <c r="K994" s="247"/>
      <c r="L994" s="247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47"/>
      <c r="I995" s="247"/>
      <c r="J995" s="247"/>
      <c r="K995" s="247"/>
      <c r="L995" s="247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47"/>
      <c r="I996" s="247"/>
      <c r="J996" s="247"/>
      <c r="K996" s="247"/>
      <c r="L996" s="247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47"/>
      <c r="I997" s="247"/>
      <c r="J997" s="247"/>
      <c r="K997" s="247"/>
      <c r="L997" s="247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47"/>
      <c r="I998" s="247"/>
      <c r="J998" s="247"/>
      <c r="K998" s="247"/>
      <c r="L998" s="247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47"/>
      <c r="I999" s="247"/>
      <c r="J999" s="247"/>
      <c r="K999" s="247"/>
      <c r="L999" s="247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47"/>
      <c r="I1000" s="247"/>
      <c r="J1000" s="247"/>
      <c r="K1000" s="247"/>
      <c r="L1000" s="247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</row>
  </sheetData>
  <mergeCells count="1">
    <mergeCell ref="F5:G5"/>
  </mergeCells>
  <dataValidations>
    <dataValidation type="list" allowBlank="1" showInputMessage="1" showErrorMessage="1" prompt=" - " sqref="E9">
      <formula1>$S$6:$S$9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3300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75"/>
    <col customWidth="1" min="3" max="3" width="5.0"/>
    <col customWidth="1" min="4" max="4" width="22.25"/>
    <col customWidth="1" min="5" max="5" width="14.63"/>
    <col customWidth="1" min="6" max="10" width="15.25"/>
    <col customWidth="1" min="11" max="11" width="6.25"/>
    <col customWidth="1" min="12" max="14" width="12.13"/>
    <col customWidth="1" min="15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C2" s="248"/>
      <c r="D2" s="30"/>
      <c r="E2" s="30"/>
      <c r="F2" s="30"/>
      <c r="G2" s="30"/>
      <c r="H2" s="30"/>
      <c r="I2" s="30"/>
      <c r="J2" s="30"/>
      <c r="K2" s="30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29"/>
      <c r="C3" s="282" t="s">
        <v>258</v>
      </c>
      <c r="D3" s="30"/>
      <c r="E3" s="30"/>
      <c r="F3" s="30"/>
      <c r="G3" s="30"/>
      <c r="H3" s="30"/>
      <c r="I3" s="30"/>
      <c r="J3" s="30"/>
      <c r="K3" s="30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29"/>
      <c r="C4" s="250"/>
      <c r="D4" s="30"/>
      <c r="E4" s="30"/>
      <c r="F4" s="30"/>
      <c r="G4" s="30"/>
      <c r="H4" s="30"/>
      <c r="I4" s="30"/>
      <c r="J4" s="30"/>
      <c r="K4" s="30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29"/>
      <c r="C5" s="296" t="s">
        <v>259</v>
      </c>
      <c r="D5" s="30"/>
      <c r="E5" s="30"/>
      <c r="F5" s="30"/>
      <c r="G5" s="30"/>
      <c r="H5" s="30"/>
      <c r="I5" s="30"/>
      <c r="J5" s="30"/>
      <c r="K5" s="30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7.25" customHeight="1">
      <c r="A7" s="146"/>
      <c r="B7" s="297"/>
      <c r="C7" s="147"/>
      <c r="D7" s="147"/>
      <c r="E7" s="49" t="s">
        <v>260</v>
      </c>
      <c r="F7" s="49" t="s">
        <v>189</v>
      </c>
      <c r="G7" s="49" t="s">
        <v>197</v>
      </c>
      <c r="H7" s="49" t="s">
        <v>200</v>
      </c>
      <c r="I7" s="49" t="s">
        <v>204</v>
      </c>
      <c r="J7" s="49" t="s">
        <v>208</v>
      </c>
      <c r="K7" s="298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ht="17.25" customHeight="1">
      <c r="A8" s="29"/>
      <c r="B8" s="40"/>
      <c r="C8" s="30"/>
      <c r="D8" s="32" t="s">
        <v>261</v>
      </c>
      <c r="E8" s="299">
        <f>+'Amortización Edificio'!D5</f>
        <v>0</v>
      </c>
      <c r="F8" s="299">
        <f>+'Amortización Edificio'!G10</f>
        <v>0</v>
      </c>
      <c r="G8" s="299">
        <f>+'Amortización Edificio'!G11</f>
        <v>0</v>
      </c>
      <c r="H8" s="299">
        <f>+'Amortización Edificio'!G12</f>
        <v>0</v>
      </c>
      <c r="I8" s="299">
        <f>+'Amortización Edificio'!G13</f>
        <v>0</v>
      </c>
      <c r="J8" s="299">
        <f>+'Amortización Edificio'!G14</f>
        <v>0</v>
      </c>
      <c r="K8" s="300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7.25" customHeight="1">
      <c r="A9" s="29"/>
      <c r="B9" s="40"/>
      <c r="C9" s="30"/>
      <c r="D9" s="32" t="s">
        <v>262</v>
      </c>
      <c r="E9" s="299">
        <f>+'Amortización Muebles y Utiles'!D5</f>
        <v>0</v>
      </c>
      <c r="F9" s="299">
        <f>+'Amortización Muebles y Utiles'!G10</f>
        <v>0</v>
      </c>
      <c r="G9" s="299">
        <f>+'Amortización Muebles y Utiles'!G11</f>
        <v>0</v>
      </c>
      <c r="H9" s="299">
        <f>+'Amortización Muebles y Utiles'!G12</f>
        <v>0</v>
      </c>
      <c r="I9" s="299">
        <f>+'Amortización Muebles y Utiles'!G13</f>
        <v>0</v>
      </c>
      <c r="J9" s="299">
        <f>+'Amortización Muebles y Utiles'!G14</f>
        <v>0</v>
      </c>
      <c r="K9" s="300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7.25" customHeight="1">
      <c r="A10" s="29"/>
      <c r="B10" s="40"/>
      <c r="C10" s="30"/>
      <c r="D10" s="32" t="s">
        <v>263</v>
      </c>
      <c r="E10" s="299">
        <f>+'Amortización Rodados'!D5</f>
        <v>0</v>
      </c>
      <c r="F10" s="299">
        <f>+'Amortización Rodados'!G10</f>
        <v>0</v>
      </c>
      <c r="G10" s="299">
        <f>+'Amortización Rodados'!G11</f>
        <v>0</v>
      </c>
      <c r="H10" s="299">
        <f>+'Amortización Rodados'!G12</f>
        <v>0</v>
      </c>
      <c r="I10" s="299">
        <f>+'Amortización Rodados'!G13</f>
        <v>0</v>
      </c>
      <c r="J10" s="299">
        <f>+'Amortización Rodados'!G14</f>
        <v>0</v>
      </c>
      <c r="K10" s="300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7.25" customHeight="1">
      <c r="A11" s="29"/>
      <c r="B11" s="40"/>
      <c r="C11" s="30"/>
      <c r="D11" s="32" t="s">
        <v>264</v>
      </c>
      <c r="E11" s="301">
        <v>0.0</v>
      </c>
      <c r="F11" s="301">
        <v>0.0</v>
      </c>
      <c r="G11" s="299">
        <f>+'Amortización Informática'!G11</f>
        <v>0</v>
      </c>
      <c r="H11" s="299">
        <f>+'Amortización Informática'!G12</f>
        <v>0</v>
      </c>
      <c r="I11" s="299">
        <v>0.0</v>
      </c>
      <c r="J11" s="299">
        <v>0.0</v>
      </c>
      <c r="K11" s="300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7.25" customHeight="1">
      <c r="A12" s="29"/>
      <c r="B12" s="40"/>
      <c r="C12" s="30"/>
      <c r="D12" s="32" t="s">
        <v>265</v>
      </c>
      <c r="E12" s="302">
        <f>+'Amortización Máquinas'!D5</f>
        <v>300000</v>
      </c>
      <c r="F12" s="302">
        <f>+'Amortización Máquinas'!G10</f>
        <v>290000</v>
      </c>
      <c r="G12" s="302">
        <f>+'Amortización Máquinas'!G11</f>
        <v>270000</v>
      </c>
      <c r="H12" s="302">
        <f>+'Amortización Máquinas'!G12</f>
        <v>240000</v>
      </c>
      <c r="I12" s="302">
        <f>+'Amortización Máquinas'!G13</f>
        <v>200000</v>
      </c>
      <c r="J12" s="302">
        <f>+'Amortización Máquinas'!G14</f>
        <v>150000</v>
      </c>
      <c r="K12" s="300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7.25" customHeight="1">
      <c r="A13" s="29"/>
      <c r="B13" s="30"/>
      <c r="C13" s="30"/>
      <c r="D13" s="303" t="s">
        <v>266</v>
      </c>
      <c r="E13" s="304">
        <f t="shared" ref="E13:J13" si="1">SUM(E8:E12)</f>
        <v>300000</v>
      </c>
      <c r="F13" s="305">
        <f t="shared" si="1"/>
        <v>290000</v>
      </c>
      <c r="G13" s="305">
        <f t="shared" si="1"/>
        <v>270000</v>
      </c>
      <c r="H13" s="303">
        <f t="shared" si="1"/>
        <v>240000</v>
      </c>
      <c r="I13" s="304">
        <f t="shared" si="1"/>
        <v>200000</v>
      </c>
      <c r="J13" s="305">
        <f t="shared" si="1"/>
        <v>150000</v>
      </c>
      <c r="K13" s="306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7.25" customHeight="1">
      <c r="A14" s="29"/>
      <c r="B14" s="30"/>
      <c r="C14" s="30"/>
      <c r="D14" s="307" t="s">
        <v>267</v>
      </c>
      <c r="E14" s="308">
        <f>+E13*Consideraciones!D15</f>
        <v>63000</v>
      </c>
      <c r="F14" s="30"/>
      <c r="G14" s="30"/>
      <c r="H14" s="30"/>
      <c r="I14" s="30"/>
      <c r="J14" s="30"/>
      <c r="K14" s="30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8.0" customHeight="1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8.0" customHeight="1">
      <c r="A16" s="29"/>
      <c r="B16" s="30"/>
      <c r="C16" s="296" t="s">
        <v>268</v>
      </c>
      <c r="D16" s="30"/>
      <c r="E16" s="30"/>
      <c r="F16" s="30"/>
      <c r="G16" s="30"/>
      <c r="H16" s="30"/>
      <c r="I16" s="30"/>
      <c r="J16" s="30"/>
      <c r="K16" s="30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8.0" customHeight="1">
      <c r="A17" s="29"/>
      <c r="B17" s="30"/>
      <c r="C17" s="296"/>
      <c r="D17" s="30"/>
      <c r="E17" s="30"/>
      <c r="F17" s="30"/>
      <c r="G17" s="30"/>
      <c r="H17" s="30"/>
      <c r="I17" s="30"/>
      <c r="J17" s="30"/>
      <c r="K17" s="30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7.25" customHeight="1">
      <c r="A18" s="29"/>
      <c r="B18" s="30"/>
      <c r="C18" s="30"/>
      <c r="D18" s="30"/>
      <c r="E18" s="49" t="s">
        <v>260</v>
      </c>
      <c r="F18" s="49" t="s">
        <v>189</v>
      </c>
      <c r="G18" s="49" t="s">
        <v>197</v>
      </c>
      <c r="H18" s="49" t="s">
        <v>200</v>
      </c>
      <c r="I18" s="49" t="s">
        <v>204</v>
      </c>
      <c r="J18" s="49" t="s">
        <v>208</v>
      </c>
      <c r="K18" s="30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7.25" customHeight="1">
      <c r="A19" s="29"/>
      <c r="B19" s="30"/>
      <c r="C19" s="30"/>
      <c r="D19" s="32" t="s">
        <v>261</v>
      </c>
      <c r="E19" s="299">
        <v>0.0</v>
      </c>
      <c r="F19" s="299">
        <f>+'Amortización Edificio'!F10</f>
        <v>0</v>
      </c>
      <c r="G19" s="299">
        <f>+'Amortización Edificio'!F11</f>
        <v>0</v>
      </c>
      <c r="H19" s="299">
        <f>+'Amortización Edificio'!F12</f>
        <v>0</v>
      </c>
      <c r="I19" s="299">
        <f>+'Amortización Edificio'!F13</f>
        <v>0</v>
      </c>
      <c r="J19" s="299">
        <f>+'Amortización Edificio'!F14</f>
        <v>0</v>
      </c>
      <c r="K19" s="30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7.25" customHeight="1">
      <c r="A20" s="29"/>
      <c r="B20" s="30"/>
      <c r="C20" s="30"/>
      <c r="D20" s="32" t="s">
        <v>262</v>
      </c>
      <c r="E20" s="299">
        <v>0.0</v>
      </c>
      <c r="F20" s="299">
        <f>+'Amortización Muebles y Utiles'!F10</f>
        <v>0</v>
      </c>
      <c r="G20" s="299">
        <f>+'Amortización Muebles y Utiles'!F11</f>
        <v>0</v>
      </c>
      <c r="H20" s="299">
        <f>+'Amortización Muebles y Utiles'!F12</f>
        <v>0</v>
      </c>
      <c r="I20" s="299">
        <f>+'Amortización Muebles y Utiles'!F13</f>
        <v>0</v>
      </c>
      <c r="J20" s="299">
        <f>+'Amortización Muebles y Utiles'!F14</f>
        <v>0</v>
      </c>
      <c r="K20" s="30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7.25" customHeight="1">
      <c r="A21" s="29"/>
      <c r="B21" s="30"/>
      <c r="C21" s="30"/>
      <c r="D21" s="32" t="s">
        <v>263</v>
      </c>
      <c r="E21" s="299">
        <v>0.0</v>
      </c>
      <c r="F21" s="299">
        <f>+'Amortización Rodados'!F10</f>
        <v>0</v>
      </c>
      <c r="G21" s="299">
        <f>+'Amortización Rodados'!F11</f>
        <v>0</v>
      </c>
      <c r="H21" s="299">
        <f>+'Amortización Rodados'!F12</f>
        <v>0</v>
      </c>
      <c r="I21" s="299">
        <f>+'Amortización Rodados'!F13</f>
        <v>0</v>
      </c>
      <c r="J21" s="299">
        <f>+'Amortización Rodados'!F14</f>
        <v>0</v>
      </c>
      <c r="K21" s="30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7.25" customHeight="1">
      <c r="A22" s="29"/>
      <c r="B22" s="30"/>
      <c r="C22" s="30"/>
      <c r="D22" s="32" t="s">
        <v>264</v>
      </c>
      <c r="E22" s="299">
        <v>0.0</v>
      </c>
      <c r="F22" s="299">
        <f>+'Amortización Informática'!F10</f>
        <v>0</v>
      </c>
      <c r="G22" s="299">
        <f>+'Amortización Informática'!F11</f>
        <v>0</v>
      </c>
      <c r="H22" s="299">
        <f>+'Amortización Informática'!F12</f>
        <v>0</v>
      </c>
      <c r="I22" s="299">
        <v>0.0</v>
      </c>
      <c r="J22" s="299">
        <v>0.0</v>
      </c>
      <c r="K22" s="30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7.25" customHeight="1">
      <c r="A23" s="29"/>
      <c r="B23" s="30"/>
      <c r="C23" s="30"/>
      <c r="D23" s="32" t="s">
        <v>265</v>
      </c>
      <c r="E23" s="299">
        <v>0.0</v>
      </c>
      <c r="F23" s="299">
        <f>+'Amortización Máquinas'!F10</f>
        <v>10000</v>
      </c>
      <c r="G23" s="299">
        <f>+'Amortización Máquinas'!F11</f>
        <v>20000</v>
      </c>
      <c r="H23" s="299">
        <f>+'Amortización Máquinas'!F12</f>
        <v>30000</v>
      </c>
      <c r="I23" s="299">
        <f>+'Amortización Máquinas'!F13</f>
        <v>40000</v>
      </c>
      <c r="J23" s="299">
        <f>+'Amortización Máquinas'!F14</f>
        <v>50000</v>
      </c>
      <c r="K23" s="3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7.25" customHeight="1">
      <c r="A24" s="29"/>
      <c r="B24" s="30"/>
      <c r="C24" s="30"/>
      <c r="D24" s="303" t="s">
        <v>269</v>
      </c>
      <c r="E24" s="304">
        <v>0.0</v>
      </c>
      <c r="F24" s="303">
        <f t="shared" ref="F24:J24" si="2">SUM(F19:F23)</f>
        <v>10000</v>
      </c>
      <c r="G24" s="303">
        <f t="shared" si="2"/>
        <v>20000</v>
      </c>
      <c r="H24" s="303">
        <f t="shared" si="2"/>
        <v>30000</v>
      </c>
      <c r="I24" s="303">
        <f t="shared" si="2"/>
        <v>40000</v>
      </c>
      <c r="J24" s="303">
        <f t="shared" si="2"/>
        <v>50000</v>
      </c>
      <c r="K24" s="30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3300"/>
    <pageSetUpPr/>
  </sheetPr>
  <sheetViews>
    <sheetView showGridLines="0" workbookViewId="0"/>
  </sheetViews>
  <sheetFormatPr customHeight="1" defaultColWidth="12.63" defaultRowHeight="15.0"/>
  <cols>
    <col customWidth="1" min="1" max="1" width="11.38"/>
    <col customWidth="1" min="2" max="2" width="2.88"/>
    <col customWidth="1" min="3" max="3" width="53.25"/>
    <col customWidth="1" min="4" max="4" width="14.75"/>
    <col customWidth="1" min="5" max="5" width="22.88"/>
    <col customWidth="1" min="6" max="7" width="14.63"/>
    <col customWidth="1" min="8" max="9" width="14.88"/>
    <col customWidth="1" min="10" max="10" width="2.25"/>
    <col customWidth="1" min="11" max="11" width="11.38"/>
    <col customWidth="1" min="12" max="26" width="10.0"/>
  </cols>
  <sheetData>
    <row r="1" ht="12.75" customHeight="1">
      <c r="A1" s="309"/>
      <c r="B1" s="30"/>
      <c r="C1" s="30"/>
      <c r="D1" s="30"/>
      <c r="E1" s="30"/>
      <c r="F1" s="30"/>
      <c r="G1" s="30"/>
      <c r="H1" s="30"/>
      <c r="I1" s="30"/>
      <c r="J1" s="30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09"/>
    </row>
    <row r="2" ht="18.75" customHeight="1">
      <c r="A2" s="309"/>
      <c r="B2" s="30"/>
      <c r="C2" s="282" t="s">
        <v>270</v>
      </c>
      <c r="D2" s="40"/>
      <c r="E2" s="40"/>
      <c r="F2" s="40"/>
      <c r="G2" s="40"/>
      <c r="H2" s="40"/>
      <c r="I2" s="40"/>
      <c r="J2" s="30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</row>
    <row r="3" ht="12.75" customHeight="1">
      <c r="A3" s="309"/>
      <c r="B3" s="30"/>
      <c r="C3" s="30"/>
      <c r="D3" s="40"/>
      <c r="E3" s="40"/>
      <c r="F3" s="40"/>
      <c r="G3" s="40"/>
      <c r="H3" s="40"/>
      <c r="I3" s="40"/>
      <c r="J3" s="30"/>
      <c r="K3" s="309"/>
      <c r="L3" s="309"/>
      <c r="M3" s="309"/>
      <c r="N3" s="309"/>
      <c r="O3" s="309"/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</row>
    <row r="4" ht="12.75" customHeight="1">
      <c r="A4" s="309"/>
      <c r="B4" s="30"/>
      <c r="C4" s="310" t="s">
        <v>271</v>
      </c>
      <c r="D4" s="299">
        <f>+('Costos Variables de Fabricación'!F17+'Gastos de Comercialización'!F21+'Gastos Adm y Finanzas'!F17)/12*3</f>
        <v>7800000</v>
      </c>
      <c r="E4" s="310" t="s">
        <v>272</v>
      </c>
      <c r="F4" s="40"/>
      <c r="G4" s="40"/>
      <c r="H4" s="40"/>
      <c r="I4" s="40"/>
      <c r="J4" s="30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  <c r="W4" s="309"/>
      <c r="X4" s="309"/>
      <c r="Y4" s="309"/>
      <c r="Z4" s="309"/>
    </row>
    <row r="5" ht="12.75" customHeight="1">
      <c r="A5" s="309"/>
      <c r="B5" s="30"/>
      <c r="C5" s="310" t="s">
        <v>273</v>
      </c>
      <c r="D5" s="299">
        <f>+'Costos Variables de Fabricación'!L23/60*3</f>
        <v>5814000</v>
      </c>
      <c r="E5" s="310" t="s">
        <v>274</v>
      </c>
      <c r="F5" s="40"/>
      <c r="G5" s="40"/>
      <c r="H5" s="40"/>
      <c r="I5" s="40"/>
      <c r="J5" s="30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  <c r="Z5" s="309"/>
    </row>
    <row r="6" ht="12.75" customHeight="1">
      <c r="A6" s="309"/>
      <c r="B6" s="30"/>
      <c r="C6" s="252"/>
      <c r="D6" s="40"/>
      <c r="E6" s="40"/>
      <c r="F6" s="40"/>
      <c r="G6" s="40"/>
      <c r="H6" s="40"/>
      <c r="I6" s="40"/>
      <c r="J6" s="30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</row>
    <row r="7" ht="12.75" customHeight="1">
      <c r="A7" s="309"/>
      <c r="B7" s="30"/>
      <c r="C7" s="310" t="s">
        <v>275</v>
      </c>
      <c r="D7" s="299">
        <f>+D5*21%</f>
        <v>1220940</v>
      </c>
      <c r="E7" s="40"/>
      <c r="F7" s="40"/>
      <c r="G7" s="40"/>
      <c r="H7" s="40"/>
      <c r="I7" s="40"/>
      <c r="J7" s="30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</row>
    <row r="8" ht="12.75" customHeight="1">
      <c r="A8" s="309"/>
      <c r="B8" s="30"/>
      <c r="C8" s="252"/>
      <c r="D8" s="40"/>
      <c r="E8" s="40"/>
      <c r="F8" s="40"/>
      <c r="G8" s="40"/>
      <c r="H8" s="40"/>
      <c r="I8" s="40"/>
      <c r="J8" s="30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</row>
    <row r="9" ht="12.75" customHeight="1">
      <c r="A9" s="309"/>
      <c r="B9" s="30"/>
      <c r="C9" s="311" t="s">
        <v>276</v>
      </c>
      <c r="D9" s="299">
        <f>+D4+D5</f>
        <v>13614000</v>
      </c>
      <c r="E9" s="40"/>
      <c r="F9" s="40"/>
      <c r="G9" s="40"/>
      <c r="H9" s="40"/>
      <c r="I9" s="40"/>
      <c r="J9" s="30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</row>
    <row r="10" ht="18.75" customHeight="1">
      <c r="A10" s="309"/>
      <c r="B10" s="30"/>
      <c r="C10" s="282"/>
      <c r="D10" s="40"/>
      <c r="E10" s="40"/>
      <c r="F10" s="40"/>
      <c r="G10" s="40"/>
      <c r="H10" s="40"/>
      <c r="I10" s="40"/>
      <c r="J10" s="30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</row>
    <row r="11" ht="12.75" customHeight="1">
      <c r="A11" s="309"/>
      <c r="B11" s="30"/>
      <c r="C11" s="40"/>
      <c r="D11" s="40"/>
      <c r="E11" s="40"/>
      <c r="F11" s="40"/>
      <c r="G11" s="40"/>
      <c r="H11" s="40"/>
      <c r="I11" s="40"/>
      <c r="J11" s="30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  <c r="Z11" s="309"/>
    </row>
    <row r="12" ht="12.75" customHeight="1">
      <c r="A12" s="309"/>
      <c r="B12" s="30"/>
      <c r="C12" s="50" t="s">
        <v>277</v>
      </c>
      <c r="D12" s="49" t="s">
        <v>260</v>
      </c>
      <c r="E12" s="49" t="s">
        <v>189</v>
      </c>
      <c r="F12" s="49" t="s">
        <v>197</v>
      </c>
      <c r="G12" s="49" t="s">
        <v>200</v>
      </c>
      <c r="H12" s="49" t="s">
        <v>204</v>
      </c>
      <c r="I12" s="49" t="s">
        <v>208</v>
      </c>
      <c r="J12" s="30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  <c r="Z12" s="309"/>
    </row>
    <row r="13" ht="12.75" customHeight="1">
      <c r="A13" s="309"/>
      <c r="B13" s="30"/>
      <c r="C13" s="312" t="s">
        <v>278</v>
      </c>
      <c r="D13" s="299">
        <f>+D9</f>
        <v>13614000</v>
      </c>
      <c r="E13" s="299">
        <f>+'Balances Pro Forma'!F30</f>
        <v>13968523.41</v>
      </c>
      <c r="F13" s="299">
        <f>+'Balances Pro Forma'!I30</f>
        <v>15091042.25</v>
      </c>
      <c r="G13" s="299">
        <f>+'Balances Pro Forma'!L30</f>
        <v>18594131.3</v>
      </c>
      <c r="H13" s="299">
        <f>+'Balances Pro Forma'!O30</f>
        <v>-6832128.333</v>
      </c>
      <c r="I13" s="299">
        <f>+'Balances Pro Forma'!R30</f>
        <v>38310122.87</v>
      </c>
      <c r="J13" s="30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  <c r="Z13" s="309"/>
    </row>
    <row r="14" ht="12.75" customHeight="1">
      <c r="A14" s="309"/>
      <c r="B14" s="30"/>
      <c r="C14" s="312" t="s">
        <v>279</v>
      </c>
      <c r="D14" s="299">
        <v>0.0</v>
      </c>
      <c r="E14" s="299">
        <f>+'Balances Pro Forma'!F32</f>
        <v>0</v>
      </c>
      <c r="F14" s="299">
        <f>+'Balances Pro Forma'!I32</f>
        <v>0</v>
      </c>
      <c r="G14" s="299">
        <f>+'Balances Pro Forma'!L32</f>
        <v>0</v>
      </c>
      <c r="H14" s="299">
        <f>+'Balances Pro Forma'!O32</f>
        <v>0</v>
      </c>
      <c r="I14" s="299">
        <f>+'Balances Pro Forma'!R32</f>
        <v>0</v>
      </c>
      <c r="J14" s="30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  <c r="Z14" s="309"/>
    </row>
    <row r="15" ht="12.75" customHeight="1">
      <c r="A15" s="309"/>
      <c r="B15" s="30"/>
      <c r="C15" s="313" t="s">
        <v>280</v>
      </c>
      <c r="D15" s="299">
        <v>0.0</v>
      </c>
      <c r="E15" s="299">
        <f>+'Balances Pro Forma'!F34</f>
        <v>0</v>
      </c>
      <c r="F15" s="299">
        <f>+'Balances Pro Forma'!I34</f>
        <v>0</v>
      </c>
      <c r="G15" s="299">
        <f>+'Balances Pro Forma'!L34</f>
        <v>0</v>
      </c>
      <c r="H15" s="299">
        <f>+'Balances Pro Forma'!O34</f>
        <v>32476931.51</v>
      </c>
      <c r="I15" s="299">
        <f>+'Balances Pro Forma'!R34</f>
        <v>0</v>
      </c>
      <c r="J15" s="30"/>
      <c r="K15" s="309"/>
      <c r="L15" s="309"/>
      <c r="M15" s="309"/>
      <c r="N15" s="309"/>
      <c r="O15" s="309"/>
      <c r="P15" s="309"/>
      <c r="Q15" s="309"/>
      <c r="R15" s="309"/>
      <c r="S15" s="309"/>
      <c r="T15" s="309"/>
      <c r="U15" s="309"/>
      <c r="V15" s="309"/>
      <c r="W15" s="309"/>
      <c r="X15" s="309"/>
      <c r="Y15" s="309"/>
      <c r="Z15" s="309"/>
    </row>
    <row r="16" ht="12.75" customHeight="1">
      <c r="A16" s="309"/>
      <c r="B16" s="30"/>
      <c r="C16" s="314" t="s">
        <v>281</v>
      </c>
      <c r="D16" s="315">
        <f t="shared" ref="D16:I16" si="1">SUM(D13:D15)</f>
        <v>13614000</v>
      </c>
      <c r="E16" s="315">
        <f t="shared" si="1"/>
        <v>13968523.41</v>
      </c>
      <c r="F16" s="315">
        <f t="shared" si="1"/>
        <v>15091042.25</v>
      </c>
      <c r="G16" s="315">
        <f t="shared" si="1"/>
        <v>18594131.3</v>
      </c>
      <c r="H16" s="315">
        <f t="shared" si="1"/>
        <v>25644803.17</v>
      </c>
      <c r="I16" s="315">
        <f t="shared" si="1"/>
        <v>38310122.87</v>
      </c>
      <c r="J16" s="30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Z16" s="309"/>
    </row>
    <row r="17" ht="12.75" customHeight="1">
      <c r="A17" s="309"/>
      <c r="B17" s="30"/>
      <c r="C17" s="312" t="s">
        <v>282</v>
      </c>
      <c r="D17" s="299">
        <v>0.0</v>
      </c>
      <c r="E17" s="299">
        <f>+'Balances Pro Forma'!F46</f>
        <v>0</v>
      </c>
      <c r="F17" s="299">
        <f>+'Balances Pro Forma'!I46</f>
        <v>0</v>
      </c>
      <c r="G17" s="299">
        <f>+'Balances Pro Forma'!L46</f>
        <v>0</v>
      </c>
      <c r="H17" s="299">
        <f>+'Balances Pro Forma'!O46</f>
        <v>0</v>
      </c>
      <c r="I17" s="299">
        <f>+'Balances Pro Forma'!R46</f>
        <v>0</v>
      </c>
      <c r="J17" s="30"/>
      <c r="K17" s="309"/>
      <c r="L17" s="309"/>
      <c r="M17" s="309"/>
      <c r="N17" s="309"/>
      <c r="O17" s="309"/>
      <c r="P17" s="309"/>
      <c r="Q17" s="309"/>
      <c r="R17" s="309"/>
      <c r="S17" s="309"/>
      <c r="T17" s="309"/>
      <c r="U17" s="309"/>
      <c r="V17" s="309"/>
      <c r="W17" s="309"/>
      <c r="X17" s="309"/>
      <c r="Y17" s="309"/>
      <c r="Z17" s="309"/>
    </row>
    <row r="18" ht="12.75" customHeight="1">
      <c r="A18" s="309"/>
      <c r="B18" s="30"/>
      <c r="C18" s="312" t="s">
        <v>283</v>
      </c>
      <c r="D18" s="299">
        <v>0.0</v>
      </c>
      <c r="E18" s="299">
        <v>0.0</v>
      </c>
      <c r="F18" s="299">
        <v>0.0</v>
      </c>
      <c r="G18" s="299">
        <v>0.0</v>
      </c>
      <c r="H18" s="299">
        <v>0.0</v>
      </c>
      <c r="I18" s="299">
        <v>0.0</v>
      </c>
      <c r="J18" s="30"/>
      <c r="K18" s="309"/>
      <c r="L18" s="309"/>
      <c r="M18" s="309"/>
      <c r="N18" s="309"/>
      <c r="O18" s="309"/>
      <c r="P18" s="309"/>
      <c r="Q18" s="309"/>
      <c r="R18" s="309"/>
      <c r="S18" s="309"/>
      <c r="T18" s="309"/>
      <c r="U18" s="309"/>
      <c r="V18" s="309"/>
      <c r="W18" s="309"/>
      <c r="X18" s="309"/>
      <c r="Y18" s="309"/>
      <c r="Z18" s="309"/>
    </row>
    <row r="19" ht="12.75" customHeight="1">
      <c r="A19" s="309"/>
      <c r="B19" s="30"/>
      <c r="C19" s="316" t="s">
        <v>284</v>
      </c>
      <c r="D19" s="299">
        <v>0.0</v>
      </c>
      <c r="E19" s="299">
        <v>0.0</v>
      </c>
      <c r="F19" s="299">
        <v>0.0</v>
      </c>
      <c r="G19" s="299">
        <v>0.0</v>
      </c>
      <c r="H19" s="299">
        <v>0.0</v>
      </c>
      <c r="I19" s="299">
        <v>0.0</v>
      </c>
      <c r="J19" s="317" t="s">
        <v>8</v>
      </c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</row>
    <row r="20" ht="12.75" customHeight="1">
      <c r="A20" s="309"/>
      <c r="B20" s="30"/>
      <c r="C20" s="318" t="s">
        <v>285</v>
      </c>
      <c r="D20" s="319">
        <f t="shared" ref="D20:I20" si="2">SUM(D17:D19)</f>
        <v>0</v>
      </c>
      <c r="E20" s="319">
        <f t="shared" si="2"/>
        <v>0</v>
      </c>
      <c r="F20" s="319">
        <f t="shared" si="2"/>
        <v>0</v>
      </c>
      <c r="G20" s="319">
        <f t="shared" si="2"/>
        <v>0</v>
      </c>
      <c r="H20" s="319">
        <f t="shared" si="2"/>
        <v>0</v>
      </c>
      <c r="I20" s="319">
        <f t="shared" si="2"/>
        <v>0</v>
      </c>
      <c r="J20" s="30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309"/>
      <c r="Z20" s="309"/>
    </row>
    <row r="21" ht="12.75" customHeight="1">
      <c r="A21" s="309"/>
      <c r="B21" s="30"/>
      <c r="C21" s="312" t="s">
        <v>286</v>
      </c>
      <c r="D21" s="302">
        <f t="shared" ref="D21:I21" si="3">+D16-D20</f>
        <v>13614000</v>
      </c>
      <c r="E21" s="299">
        <f t="shared" si="3"/>
        <v>13968523.41</v>
      </c>
      <c r="F21" s="299">
        <f t="shared" si="3"/>
        <v>15091042.25</v>
      </c>
      <c r="G21" s="299">
        <f t="shared" si="3"/>
        <v>18594131.3</v>
      </c>
      <c r="H21" s="299">
        <f t="shared" si="3"/>
        <v>25644803.17</v>
      </c>
      <c r="I21" s="299">
        <f t="shared" si="3"/>
        <v>38310122.87</v>
      </c>
      <c r="J21" s="30"/>
      <c r="K21" s="309"/>
      <c r="L21" s="309"/>
      <c r="M21" s="309"/>
      <c r="N21" s="309"/>
      <c r="O21" s="309"/>
      <c r="P21" s="309"/>
      <c r="Q21" s="309"/>
      <c r="R21" s="309"/>
      <c r="S21" s="309"/>
      <c r="T21" s="309"/>
      <c r="U21" s="309"/>
      <c r="V21" s="309"/>
      <c r="W21" s="309"/>
      <c r="X21" s="309"/>
      <c r="Y21" s="309"/>
      <c r="Z21" s="309"/>
    </row>
    <row r="22" ht="12.75" customHeight="1">
      <c r="A22" s="309"/>
      <c r="B22" s="30"/>
      <c r="C22" s="312" t="s">
        <v>287</v>
      </c>
      <c r="D22" s="320"/>
      <c r="E22" s="321">
        <f t="shared" ref="E22:I22" si="4">+E21-D21</f>
        <v>354523.4077</v>
      </c>
      <c r="F22" s="299">
        <f t="shared" si="4"/>
        <v>1122518.844</v>
      </c>
      <c r="G22" s="299">
        <f t="shared" si="4"/>
        <v>3503089.051</v>
      </c>
      <c r="H22" s="299">
        <f t="shared" si="4"/>
        <v>7050671.872</v>
      </c>
      <c r="I22" s="299">
        <f t="shared" si="4"/>
        <v>12665319.69</v>
      </c>
      <c r="J22" s="30"/>
      <c r="K22" s="309"/>
      <c r="L22" s="309"/>
      <c r="M22" s="309"/>
      <c r="N22" s="309"/>
      <c r="O22" s="309"/>
      <c r="P22" s="309"/>
      <c r="Q22" s="309"/>
      <c r="R22" s="309"/>
      <c r="S22" s="309"/>
      <c r="T22" s="309"/>
      <c r="U22" s="309"/>
      <c r="V22" s="309"/>
      <c r="W22" s="309"/>
      <c r="X22" s="309"/>
      <c r="Y22" s="309"/>
      <c r="Z22" s="309"/>
    </row>
    <row r="23" ht="12.75" customHeight="1">
      <c r="A23" s="309"/>
      <c r="B23" s="30"/>
      <c r="C23" s="30"/>
      <c r="D23" s="30"/>
      <c r="E23" s="30"/>
      <c r="F23" s="30"/>
      <c r="G23" s="30"/>
      <c r="H23" s="30"/>
      <c r="I23" s="30"/>
      <c r="J23" s="30"/>
      <c r="K23" s="309"/>
      <c r="L23" s="309"/>
      <c r="M23" s="309"/>
      <c r="N23" s="309"/>
      <c r="O23" s="309"/>
      <c r="P23" s="309"/>
      <c r="Q23" s="309"/>
      <c r="R23" s="309"/>
      <c r="S23" s="309"/>
      <c r="T23" s="309"/>
      <c r="U23" s="309"/>
      <c r="V23" s="309"/>
      <c r="W23" s="309"/>
      <c r="X23" s="309"/>
      <c r="Y23" s="309"/>
      <c r="Z23" s="309"/>
    </row>
    <row r="24" ht="12.75" customHeight="1">
      <c r="A24" s="322"/>
      <c r="B24" s="322"/>
      <c r="C24" s="322"/>
      <c r="D24" s="322"/>
      <c r="E24" s="322"/>
      <c r="F24" s="322"/>
      <c r="G24" s="322"/>
      <c r="H24" s="322"/>
      <c r="I24" s="322"/>
      <c r="J24" s="322"/>
      <c r="K24" s="322"/>
      <c r="L24" s="309"/>
      <c r="M24" s="309"/>
      <c r="N24" s="309"/>
      <c r="O24" s="309"/>
      <c r="P24" s="309"/>
      <c r="Q24" s="309"/>
      <c r="R24" s="309"/>
      <c r="S24" s="309"/>
      <c r="T24" s="309"/>
      <c r="U24" s="309"/>
      <c r="V24" s="309"/>
      <c r="W24" s="309"/>
      <c r="X24" s="309"/>
      <c r="Y24" s="309"/>
      <c r="Z24" s="309"/>
    </row>
    <row r="25" ht="12.75" customHeight="1">
      <c r="A25" s="322"/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Z25" s="309"/>
    </row>
    <row r="26" ht="12.75" customHeight="1">
      <c r="A26" s="322"/>
      <c r="B26" s="322"/>
      <c r="C26" s="322"/>
      <c r="D26" s="322"/>
      <c r="E26" s="322"/>
      <c r="F26" s="322"/>
      <c r="G26" s="322"/>
      <c r="H26" s="322"/>
      <c r="I26" s="322"/>
      <c r="J26" s="322"/>
      <c r="K26" s="322"/>
      <c r="L26" s="309"/>
      <c r="M26" s="309"/>
      <c r="N26" s="309"/>
      <c r="O26" s="309"/>
      <c r="P26" s="309"/>
      <c r="Q26" s="309"/>
      <c r="R26" s="309"/>
      <c r="S26" s="309"/>
      <c r="T26" s="309"/>
      <c r="U26" s="309"/>
      <c r="V26" s="309"/>
      <c r="W26" s="309"/>
      <c r="X26" s="309"/>
      <c r="Y26" s="309"/>
      <c r="Z26" s="309"/>
    </row>
    <row r="27" ht="12.75" customHeight="1">
      <c r="A27" s="322"/>
      <c r="B27" s="322"/>
      <c r="C27" s="322"/>
      <c r="D27" s="322"/>
      <c r="E27" s="322"/>
      <c r="F27" s="322"/>
      <c r="G27" s="322"/>
      <c r="H27" s="322"/>
      <c r="I27" s="322"/>
      <c r="J27" s="322"/>
      <c r="K27" s="322"/>
      <c r="L27" s="309"/>
      <c r="M27" s="309"/>
      <c r="N27" s="309"/>
      <c r="O27" s="309"/>
      <c r="P27" s="309"/>
      <c r="Q27" s="309"/>
      <c r="R27" s="309"/>
      <c r="S27" s="309"/>
      <c r="T27" s="309"/>
      <c r="U27" s="309"/>
      <c r="V27" s="309"/>
      <c r="W27" s="309"/>
      <c r="X27" s="309"/>
      <c r="Y27" s="309"/>
      <c r="Z27" s="309"/>
    </row>
    <row r="28" ht="12.75" customHeight="1">
      <c r="A28" s="322"/>
      <c r="B28" s="322"/>
      <c r="C28" s="322"/>
      <c r="D28" s="322"/>
      <c r="E28" s="322"/>
      <c r="F28" s="322"/>
      <c r="G28" s="322"/>
      <c r="H28" s="322"/>
      <c r="I28" s="322"/>
      <c r="J28" s="322"/>
      <c r="K28" s="322"/>
      <c r="L28" s="309"/>
      <c r="M28" s="309"/>
      <c r="N28" s="309"/>
      <c r="O28" s="309"/>
      <c r="P28" s="309"/>
      <c r="Q28" s="309"/>
      <c r="R28" s="309"/>
      <c r="S28" s="309"/>
      <c r="T28" s="309"/>
      <c r="U28" s="309"/>
      <c r="V28" s="309"/>
      <c r="W28" s="309"/>
      <c r="X28" s="309"/>
      <c r="Y28" s="309"/>
      <c r="Z28" s="309"/>
    </row>
    <row r="29" ht="12.75" customHeight="1">
      <c r="A29" s="309"/>
      <c r="B29" s="309"/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09"/>
      <c r="Q29" s="309"/>
      <c r="R29" s="309"/>
      <c r="S29" s="309"/>
      <c r="T29" s="309"/>
      <c r="U29" s="309"/>
      <c r="V29" s="309"/>
      <c r="W29" s="309"/>
      <c r="X29" s="309"/>
      <c r="Y29" s="309"/>
      <c r="Z29" s="309"/>
    </row>
    <row r="30" ht="12.75" customHeight="1">
      <c r="A30" s="309"/>
      <c r="B30" s="309"/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O30" s="309"/>
      <c r="P30" s="309"/>
      <c r="Q30" s="309"/>
      <c r="R30" s="309"/>
      <c r="S30" s="309"/>
      <c r="T30" s="309"/>
      <c r="U30" s="309"/>
      <c r="V30" s="309"/>
      <c r="W30" s="309"/>
      <c r="X30" s="309"/>
      <c r="Y30" s="309"/>
      <c r="Z30" s="309"/>
    </row>
    <row r="31" ht="12.75" customHeight="1">
      <c r="A31" s="309"/>
      <c r="B31" s="309"/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O31" s="309"/>
      <c r="P31" s="309"/>
      <c r="Q31" s="309"/>
      <c r="R31" s="309"/>
      <c r="S31" s="309"/>
      <c r="T31" s="309"/>
      <c r="U31" s="309"/>
      <c r="V31" s="309"/>
      <c r="W31" s="309"/>
      <c r="X31" s="309"/>
      <c r="Y31" s="309"/>
      <c r="Z31" s="309"/>
    </row>
    <row r="32" ht="12.75" customHeight="1">
      <c r="A32" s="309"/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09"/>
      <c r="Q32" s="309"/>
      <c r="R32" s="309"/>
      <c r="S32" s="309"/>
      <c r="T32" s="309"/>
      <c r="U32" s="309"/>
      <c r="V32" s="309"/>
      <c r="W32" s="309"/>
      <c r="X32" s="309"/>
      <c r="Y32" s="309"/>
      <c r="Z32" s="309"/>
    </row>
    <row r="33" ht="12.75" customHeight="1">
      <c r="A33" s="309"/>
      <c r="B33" s="309"/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Z33" s="309"/>
    </row>
    <row r="34" ht="12.75" customHeight="1">
      <c r="A34" s="309"/>
      <c r="B34" s="309"/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O34" s="309"/>
      <c r="P34" s="309"/>
      <c r="Q34" s="309"/>
      <c r="R34" s="309"/>
      <c r="S34" s="309"/>
      <c r="T34" s="309"/>
      <c r="U34" s="309"/>
      <c r="V34" s="309"/>
      <c r="W34" s="309"/>
      <c r="X34" s="309"/>
      <c r="Y34" s="309"/>
      <c r="Z34" s="309"/>
    </row>
    <row r="35" ht="12.75" customHeight="1">
      <c r="A35" s="309"/>
      <c r="B35" s="309"/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</row>
    <row r="36" ht="12.75" customHeight="1">
      <c r="A36" s="309"/>
      <c r="B36" s="309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</row>
    <row r="37" ht="12.75" customHeight="1">
      <c r="A37" s="309"/>
      <c r="B37" s="309"/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O37" s="309"/>
      <c r="P37" s="309"/>
      <c r="Q37" s="309"/>
      <c r="R37" s="309"/>
      <c r="S37" s="309"/>
      <c r="T37" s="309"/>
      <c r="U37" s="309"/>
      <c r="V37" s="309"/>
      <c r="W37" s="309"/>
      <c r="X37" s="309"/>
      <c r="Y37" s="309"/>
      <c r="Z37" s="309"/>
    </row>
    <row r="38" ht="12.75" customHeight="1">
      <c r="A38" s="309"/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</row>
    <row r="39" ht="12.75" customHeight="1">
      <c r="A39" s="309"/>
      <c r="B39" s="309"/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09"/>
      <c r="Z39" s="309"/>
    </row>
    <row r="40" ht="12.75" customHeight="1">
      <c r="A40" s="309"/>
      <c r="B40" s="309"/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O40" s="309"/>
      <c r="P40" s="309"/>
      <c r="Q40" s="309"/>
      <c r="R40" s="309"/>
      <c r="S40" s="309"/>
      <c r="T40" s="309"/>
      <c r="U40" s="309"/>
      <c r="V40" s="309"/>
      <c r="W40" s="309"/>
      <c r="X40" s="309"/>
      <c r="Y40" s="309"/>
      <c r="Z40" s="309"/>
    </row>
    <row r="41" ht="12.75" customHeight="1">
      <c r="A41" s="309"/>
      <c r="B41" s="309"/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Z41" s="309"/>
    </row>
    <row r="42" ht="12.75" customHeight="1">
      <c r="A42" s="309"/>
      <c r="B42" s="309"/>
      <c r="C42" s="309"/>
      <c r="D42" s="309"/>
      <c r="E42" s="309"/>
      <c r="F42" s="309"/>
      <c r="G42" s="309"/>
      <c r="H42" s="309"/>
      <c r="I42" s="309"/>
      <c r="J42" s="309"/>
      <c r="K42" s="309"/>
      <c r="L42" s="309"/>
      <c r="M42" s="309"/>
      <c r="N42" s="309"/>
      <c r="O42" s="309"/>
      <c r="P42" s="309"/>
      <c r="Q42" s="309"/>
      <c r="R42" s="309"/>
      <c r="S42" s="309"/>
      <c r="T42" s="309"/>
      <c r="U42" s="309"/>
      <c r="V42" s="309"/>
      <c r="W42" s="309"/>
      <c r="X42" s="309"/>
      <c r="Y42" s="309"/>
      <c r="Z42" s="309"/>
    </row>
    <row r="43" ht="12.75" customHeight="1">
      <c r="A43" s="309"/>
      <c r="B43" s="309"/>
      <c r="C43" s="309"/>
      <c r="D43" s="309"/>
      <c r="E43" s="309"/>
      <c r="F43" s="309"/>
      <c r="G43" s="309"/>
      <c r="H43" s="309"/>
      <c r="I43" s="309"/>
      <c r="J43" s="309"/>
      <c r="K43" s="309"/>
      <c r="L43" s="309"/>
      <c r="M43" s="309"/>
      <c r="N43" s="309"/>
      <c r="O43" s="309"/>
      <c r="P43" s="309"/>
      <c r="Q43" s="309"/>
      <c r="R43" s="309"/>
      <c r="S43" s="309"/>
      <c r="T43" s="309"/>
      <c r="U43" s="309"/>
      <c r="V43" s="309"/>
      <c r="W43" s="309"/>
      <c r="X43" s="309"/>
      <c r="Y43" s="309"/>
      <c r="Z43" s="309"/>
    </row>
    <row r="44" ht="12.75" customHeight="1">
      <c r="A44" s="309"/>
      <c r="B44" s="309"/>
      <c r="C44" s="309"/>
      <c r="D44" s="309"/>
      <c r="E44" s="309"/>
      <c r="F44" s="309"/>
      <c r="G44" s="309"/>
      <c r="H44" s="309"/>
      <c r="I44" s="309"/>
      <c r="J44" s="309"/>
      <c r="K44" s="309"/>
      <c r="L44" s="309"/>
      <c r="M44" s="309"/>
      <c r="N44" s="309"/>
      <c r="O44" s="309"/>
      <c r="P44" s="309"/>
      <c r="Q44" s="309"/>
      <c r="R44" s="309"/>
      <c r="S44" s="309"/>
      <c r="T44" s="309"/>
      <c r="U44" s="309"/>
      <c r="V44" s="309"/>
      <c r="W44" s="309"/>
      <c r="X44" s="309"/>
      <c r="Y44" s="309"/>
      <c r="Z44" s="309"/>
    </row>
    <row r="45" ht="12.75" customHeight="1">
      <c r="A45" s="309"/>
      <c r="B45" s="309"/>
      <c r="C45" s="309"/>
      <c r="D45" s="309"/>
      <c r="E45" s="309"/>
      <c r="F45" s="309"/>
      <c r="G45" s="309"/>
      <c r="H45" s="309"/>
      <c r="I45" s="309"/>
      <c r="J45" s="309"/>
      <c r="K45" s="309"/>
      <c r="L45" s="309"/>
      <c r="M45" s="309"/>
      <c r="N45" s="309"/>
      <c r="O45" s="309"/>
      <c r="P45" s="309"/>
      <c r="Q45" s="309"/>
      <c r="R45" s="309"/>
      <c r="S45" s="309"/>
      <c r="T45" s="309"/>
      <c r="U45" s="309"/>
      <c r="V45" s="309"/>
      <c r="W45" s="309"/>
      <c r="X45" s="309"/>
      <c r="Y45" s="309"/>
      <c r="Z45" s="309"/>
    </row>
    <row r="46" ht="12.75" customHeight="1">
      <c r="A46" s="309"/>
      <c r="B46" s="309"/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</row>
    <row r="47" ht="12.75" customHeight="1">
      <c r="A47" s="309"/>
      <c r="B47" s="309"/>
      <c r="C47" s="309"/>
      <c r="D47" s="309"/>
      <c r="E47" s="309"/>
      <c r="F47" s="309"/>
      <c r="G47" s="309"/>
      <c r="H47" s="309"/>
      <c r="I47" s="309"/>
      <c r="J47" s="309"/>
      <c r="K47" s="309"/>
      <c r="L47" s="309"/>
      <c r="M47" s="309"/>
      <c r="N47" s="309"/>
      <c r="O47" s="309"/>
      <c r="P47" s="309"/>
      <c r="Q47" s="309"/>
      <c r="R47" s="309"/>
      <c r="S47" s="309"/>
      <c r="T47" s="309"/>
      <c r="U47" s="309"/>
      <c r="V47" s="309"/>
      <c r="W47" s="309"/>
      <c r="X47" s="309"/>
      <c r="Y47" s="309"/>
      <c r="Z47" s="309"/>
    </row>
    <row r="48" ht="12.75" customHeight="1">
      <c r="A48" s="309"/>
      <c r="B48" s="309"/>
      <c r="C48" s="309"/>
      <c r="D48" s="309"/>
      <c r="E48" s="309"/>
      <c r="F48" s="309"/>
      <c r="G48" s="309"/>
      <c r="H48" s="309"/>
      <c r="I48" s="309"/>
      <c r="J48" s="309"/>
      <c r="K48" s="309"/>
      <c r="L48" s="309"/>
      <c r="M48" s="309"/>
      <c r="N48" s="309"/>
      <c r="O48" s="309"/>
      <c r="P48" s="309"/>
      <c r="Q48" s="309"/>
      <c r="R48" s="309"/>
      <c r="S48" s="309"/>
      <c r="T48" s="309"/>
      <c r="U48" s="309"/>
      <c r="V48" s="309"/>
      <c r="W48" s="309"/>
      <c r="X48" s="309"/>
      <c r="Y48" s="309"/>
      <c r="Z48" s="309"/>
    </row>
    <row r="49" ht="12.75" customHeight="1">
      <c r="A49" s="309"/>
      <c r="B49" s="309"/>
      <c r="C49" s="309"/>
      <c r="D49" s="309"/>
      <c r="E49" s="309"/>
      <c r="F49" s="309"/>
      <c r="G49" s="30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Z49" s="309"/>
    </row>
    <row r="50" ht="12.75" customHeight="1">
      <c r="A50" s="309"/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09"/>
      <c r="V50" s="309"/>
      <c r="W50" s="309"/>
      <c r="X50" s="309"/>
      <c r="Y50" s="309"/>
      <c r="Z50" s="309"/>
    </row>
    <row r="51" ht="12.75" customHeight="1">
      <c r="A51" s="309"/>
      <c r="B51" s="309"/>
      <c r="C51" s="309"/>
      <c r="D51" s="309"/>
      <c r="E51" s="309"/>
      <c r="F51" s="309"/>
      <c r="G51" s="309"/>
      <c r="H51" s="309"/>
      <c r="I51" s="309"/>
      <c r="J51" s="309"/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09"/>
      <c r="W51" s="309"/>
      <c r="X51" s="309"/>
      <c r="Y51" s="309"/>
      <c r="Z51" s="309"/>
    </row>
    <row r="52" ht="12.75" customHeight="1">
      <c r="A52" s="309"/>
      <c r="B52" s="309"/>
      <c r="C52" s="309"/>
      <c r="D52" s="309"/>
      <c r="E52" s="309"/>
      <c r="F52" s="309"/>
      <c r="G52" s="309"/>
      <c r="H52" s="309"/>
      <c r="I52" s="309"/>
      <c r="J52" s="309"/>
      <c r="K52" s="309"/>
      <c r="L52" s="309"/>
      <c r="M52" s="309"/>
      <c r="N52" s="309"/>
      <c r="O52" s="309"/>
      <c r="P52" s="309"/>
      <c r="Q52" s="309"/>
      <c r="R52" s="309"/>
      <c r="S52" s="309"/>
      <c r="T52" s="309"/>
      <c r="U52" s="309"/>
      <c r="V52" s="309"/>
      <c r="W52" s="309"/>
      <c r="X52" s="309"/>
      <c r="Y52" s="309"/>
      <c r="Z52" s="309"/>
    </row>
    <row r="53" ht="12.75" customHeight="1">
      <c r="A53" s="309"/>
      <c r="B53" s="309"/>
      <c r="C53" s="309"/>
      <c r="D53" s="309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309"/>
      <c r="P53" s="309"/>
      <c r="Q53" s="309"/>
      <c r="R53" s="309"/>
      <c r="S53" s="309"/>
      <c r="T53" s="309"/>
      <c r="U53" s="309"/>
      <c r="V53" s="309"/>
      <c r="W53" s="309"/>
      <c r="X53" s="309"/>
      <c r="Y53" s="309"/>
      <c r="Z53" s="309"/>
    </row>
    <row r="54" ht="12.75" customHeight="1">
      <c r="A54" s="309"/>
      <c r="B54" s="309"/>
      <c r="C54" s="309"/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309"/>
      <c r="P54" s="309"/>
      <c r="Q54" s="309"/>
      <c r="R54" s="309"/>
      <c r="S54" s="309"/>
      <c r="T54" s="309"/>
      <c r="U54" s="309"/>
      <c r="V54" s="309"/>
      <c r="W54" s="309"/>
      <c r="X54" s="309"/>
      <c r="Y54" s="309"/>
      <c r="Z54" s="309"/>
    </row>
    <row r="55" ht="12.75" customHeight="1">
      <c r="A55" s="309"/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</row>
    <row r="56" ht="12.75" customHeight="1">
      <c r="A56" s="309"/>
      <c r="B56" s="309"/>
      <c r="C56" s="309"/>
      <c r="D56" s="309"/>
      <c r="E56" s="309"/>
      <c r="F56" s="309"/>
      <c r="G56" s="309"/>
      <c r="H56" s="309"/>
      <c r="I56" s="309"/>
      <c r="J56" s="309"/>
      <c r="K56" s="309"/>
      <c r="L56" s="309"/>
      <c r="M56" s="309"/>
      <c r="N56" s="309"/>
      <c r="O56" s="309"/>
      <c r="P56" s="309"/>
      <c r="Q56" s="309"/>
      <c r="R56" s="309"/>
      <c r="S56" s="309"/>
      <c r="T56" s="309"/>
      <c r="U56" s="309"/>
      <c r="V56" s="309"/>
      <c r="W56" s="309"/>
      <c r="X56" s="309"/>
      <c r="Y56" s="309"/>
      <c r="Z56" s="309"/>
    </row>
    <row r="57" ht="12.75" customHeight="1">
      <c r="A57" s="309"/>
      <c r="B57" s="309"/>
      <c r="C57" s="309"/>
      <c r="D57" s="309"/>
      <c r="E57" s="309"/>
      <c r="F57" s="309"/>
      <c r="G57" s="30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Z57" s="309"/>
    </row>
    <row r="58" ht="12.75" customHeight="1">
      <c r="A58" s="309"/>
      <c r="B58" s="309"/>
      <c r="C58" s="309"/>
      <c r="D58" s="309"/>
      <c r="E58" s="309"/>
      <c r="F58" s="309"/>
      <c r="G58" s="309"/>
      <c r="H58" s="309"/>
      <c r="I58" s="309"/>
      <c r="J58" s="309"/>
      <c r="K58" s="309"/>
      <c r="L58" s="309"/>
      <c r="M58" s="309"/>
      <c r="N58" s="309"/>
      <c r="O58" s="309"/>
      <c r="P58" s="309"/>
      <c r="Q58" s="309"/>
      <c r="R58" s="309"/>
      <c r="S58" s="309"/>
      <c r="T58" s="309"/>
      <c r="U58" s="309"/>
      <c r="V58" s="309"/>
      <c r="W58" s="309"/>
      <c r="X58" s="309"/>
      <c r="Y58" s="309"/>
      <c r="Z58" s="309"/>
    </row>
    <row r="59" ht="12.75" customHeight="1">
      <c r="A59" s="309"/>
      <c r="B59" s="309"/>
      <c r="C59" s="309"/>
      <c r="D59" s="309"/>
      <c r="E59" s="309"/>
      <c r="F59" s="309"/>
      <c r="G59" s="309"/>
      <c r="H59" s="309"/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09"/>
      <c r="W59" s="309"/>
      <c r="X59" s="309"/>
      <c r="Y59" s="309"/>
      <c r="Z59" s="309"/>
    </row>
    <row r="60" ht="12.75" customHeight="1">
      <c r="A60" s="309"/>
      <c r="B60" s="309"/>
      <c r="C60" s="309"/>
      <c r="D60" s="309"/>
      <c r="E60" s="309"/>
      <c r="F60" s="309"/>
      <c r="G60" s="309"/>
      <c r="H60" s="309"/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09"/>
      <c r="W60" s="309"/>
      <c r="X60" s="309"/>
      <c r="Y60" s="309"/>
      <c r="Z60" s="309"/>
    </row>
    <row r="61" ht="12.75" customHeight="1">
      <c r="A61" s="309"/>
      <c r="B61" s="309"/>
      <c r="C61" s="309"/>
      <c r="D61" s="309"/>
      <c r="E61" s="309"/>
      <c r="F61" s="309"/>
      <c r="G61" s="309"/>
      <c r="H61" s="309"/>
      <c r="I61" s="309"/>
      <c r="J61" s="309"/>
      <c r="K61" s="309"/>
      <c r="L61" s="309"/>
      <c r="M61" s="309"/>
      <c r="N61" s="309"/>
      <c r="O61" s="309"/>
      <c r="P61" s="309"/>
      <c r="Q61" s="309"/>
      <c r="R61" s="309"/>
      <c r="S61" s="309"/>
      <c r="T61" s="309"/>
      <c r="U61" s="309"/>
      <c r="V61" s="309"/>
      <c r="W61" s="309"/>
      <c r="X61" s="309"/>
      <c r="Y61" s="309"/>
      <c r="Z61" s="309"/>
    </row>
    <row r="62" ht="12.75" customHeight="1">
      <c r="A62" s="309"/>
      <c r="B62" s="309"/>
      <c r="C62" s="309"/>
      <c r="D62" s="309"/>
      <c r="E62" s="309"/>
      <c r="F62" s="309"/>
      <c r="G62" s="309"/>
      <c r="H62" s="309"/>
      <c r="I62" s="309"/>
      <c r="J62" s="309"/>
      <c r="K62" s="309"/>
      <c r="L62" s="309"/>
      <c r="M62" s="309"/>
      <c r="N62" s="309"/>
      <c r="O62" s="309"/>
      <c r="P62" s="309"/>
      <c r="Q62" s="309"/>
      <c r="R62" s="309"/>
      <c r="S62" s="309"/>
      <c r="T62" s="309"/>
      <c r="U62" s="309"/>
      <c r="V62" s="309"/>
      <c r="W62" s="309"/>
      <c r="X62" s="309"/>
      <c r="Y62" s="309"/>
      <c r="Z62" s="309"/>
    </row>
    <row r="63" ht="12.75" customHeight="1">
      <c r="A63" s="309"/>
      <c r="B63" s="309"/>
      <c r="C63" s="309"/>
      <c r="D63" s="309"/>
      <c r="E63" s="309"/>
      <c r="F63" s="309"/>
      <c r="G63" s="309"/>
      <c r="H63" s="309"/>
      <c r="I63" s="309"/>
      <c r="J63" s="309"/>
      <c r="K63" s="309"/>
      <c r="L63" s="309"/>
      <c r="M63" s="309"/>
      <c r="N63" s="309"/>
      <c r="O63" s="309"/>
      <c r="P63" s="309"/>
      <c r="Q63" s="309"/>
      <c r="R63" s="309"/>
      <c r="S63" s="309"/>
      <c r="T63" s="309"/>
      <c r="U63" s="309"/>
      <c r="V63" s="309"/>
      <c r="W63" s="309"/>
      <c r="X63" s="309"/>
      <c r="Y63" s="309"/>
      <c r="Z63" s="309"/>
    </row>
    <row r="64" ht="12.75" customHeight="1">
      <c r="A64" s="309"/>
      <c r="B64" s="309"/>
      <c r="C64" s="309"/>
      <c r="D64" s="309"/>
      <c r="E64" s="309"/>
      <c r="F64" s="309"/>
      <c r="G64" s="309"/>
      <c r="H64" s="309"/>
      <c r="I64" s="309"/>
      <c r="J64" s="309"/>
      <c r="K64" s="309"/>
      <c r="L64" s="309"/>
      <c r="M64" s="309"/>
      <c r="N64" s="309"/>
      <c r="O64" s="309"/>
      <c r="P64" s="309"/>
      <c r="Q64" s="309"/>
      <c r="R64" s="309"/>
      <c r="S64" s="309"/>
      <c r="T64" s="309"/>
      <c r="U64" s="309"/>
      <c r="V64" s="309"/>
      <c r="W64" s="309"/>
      <c r="X64" s="309"/>
      <c r="Y64" s="309"/>
      <c r="Z64" s="309"/>
    </row>
    <row r="65" ht="12.75" customHeight="1">
      <c r="A65" s="309"/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309"/>
      <c r="U65" s="309"/>
      <c r="V65" s="309"/>
      <c r="W65" s="309"/>
      <c r="X65" s="309"/>
      <c r="Y65" s="309"/>
      <c r="Z65" s="309"/>
    </row>
    <row r="66" ht="12.75" customHeight="1">
      <c r="A66" s="309"/>
      <c r="B66" s="309"/>
      <c r="C66" s="309"/>
      <c r="D66" s="309"/>
      <c r="E66" s="309"/>
      <c r="F66" s="309"/>
      <c r="G66" s="309"/>
      <c r="H66" s="309"/>
      <c r="I66" s="309"/>
      <c r="J66" s="309"/>
      <c r="K66" s="309"/>
      <c r="L66" s="309"/>
      <c r="M66" s="309"/>
      <c r="N66" s="309"/>
      <c r="O66" s="309"/>
      <c r="P66" s="309"/>
      <c r="Q66" s="309"/>
      <c r="R66" s="309"/>
      <c r="S66" s="309"/>
      <c r="T66" s="309"/>
      <c r="U66" s="309"/>
      <c r="V66" s="309"/>
      <c r="W66" s="309"/>
      <c r="X66" s="309"/>
      <c r="Y66" s="309"/>
      <c r="Z66" s="309"/>
    </row>
    <row r="67" ht="12.75" customHeight="1">
      <c r="A67" s="309"/>
      <c r="B67" s="309"/>
      <c r="C67" s="309"/>
      <c r="D67" s="309"/>
      <c r="E67" s="309"/>
      <c r="F67" s="309"/>
      <c r="G67" s="309"/>
      <c r="H67" s="309"/>
      <c r="I67" s="309"/>
      <c r="J67" s="309"/>
      <c r="K67" s="309"/>
      <c r="L67" s="309"/>
      <c r="M67" s="309"/>
      <c r="N67" s="309"/>
      <c r="O67" s="309"/>
      <c r="P67" s="309"/>
      <c r="Q67" s="309"/>
      <c r="R67" s="309"/>
      <c r="S67" s="309"/>
      <c r="T67" s="309"/>
      <c r="U67" s="309"/>
      <c r="V67" s="309"/>
      <c r="W67" s="309"/>
      <c r="X67" s="309"/>
      <c r="Y67" s="309"/>
      <c r="Z67" s="309"/>
    </row>
    <row r="68" ht="12.75" customHeight="1">
      <c r="A68" s="309"/>
      <c r="B68" s="309"/>
      <c r="C68" s="309"/>
      <c r="D68" s="309"/>
      <c r="E68" s="309"/>
      <c r="F68" s="309"/>
      <c r="G68" s="309"/>
      <c r="H68" s="309"/>
      <c r="I68" s="309"/>
      <c r="J68" s="309"/>
      <c r="K68" s="309"/>
      <c r="L68" s="309"/>
      <c r="M68" s="309"/>
      <c r="N68" s="309"/>
      <c r="O68" s="309"/>
      <c r="P68" s="309"/>
      <c r="Q68" s="309"/>
      <c r="R68" s="309"/>
      <c r="S68" s="309"/>
      <c r="T68" s="309"/>
      <c r="U68" s="309"/>
      <c r="V68" s="309"/>
      <c r="W68" s="309"/>
      <c r="X68" s="309"/>
      <c r="Y68" s="309"/>
      <c r="Z68" s="309"/>
    </row>
    <row r="69" ht="12.75" customHeight="1">
      <c r="A69" s="309"/>
      <c r="B69" s="309"/>
      <c r="C69" s="309"/>
      <c r="D69" s="309"/>
      <c r="E69" s="309"/>
      <c r="F69" s="309"/>
      <c r="G69" s="309"/>
      <c r="H69" s="309"/>
      <c r="I69" s="309"/>
      <c r="J69" s="309"/>
      <c r="K69" s="309"/>
      <c r="L69" s="309"/>
      <c r="M69" s="309"/>
      <c r="N69" s="309"/>
      <c r="O69" s="309"/>
      <c r="P69" s="309"/>
      <c r="Q69" s="309"/>
      <c r="R69" s="309"/>
      <c r="S69" s="309"/>
      <c r="T69" s="309"/>
      <c r="U69" s="309"/>
      <c r="V69" s="309"/>
      <c r="W69" s="309"/>
      <c r="X69" s="309"/>
      <c r="Y69" s="309"/>
      <c r="Z69" s="309"/>
    </row>
    <row r="70" ht="12.75" customHeight="1">
      <c r="A70" s="309"/>
      <c r="B70" s="309"/>
      <c r="C70" s="309"/>
      <c r="D70" s="309"/>
      <c r="E70" s="309"/>
      <c r="F70" s="309"/>
      <c r="G70" s="309"/>
      <c r="H70" s="309"/>
      <c r="I70" s="309"/>
      <c r="J70" s="309"/>
      <c r="K70" s="309"/>
      <c r="L70" s="309"/>
      <c r="M70" s="309"/>
      <c r="N70" s="309"/>
      <c r="O70" s="309"/>
      <c r="P70" s="309"/>
      <c r="Q70" s="309"/>
      <c r="R70" s="309"/>
      <c r="S70" s="309"/>
      <c r="T70" s="309"/>
      <c r="U70" s="309"/>
      <c r="V70" s="309"/>
      <c r="W70" s="309"/>
      <c r="X70" s="309"/>
      <c r="Y70" s="309"/>
      <c r="Z70" s="309"/>
    </row>
    <row r="71" ht="12.75" customHeight="1">
      <c r="A71" s="309"/>
      <c r="B71" s="309"/>
      <c r="C71" s="309"/>
      <c r="D71" s="309"/>
      <c r="E71" s="309"/>
      <c r="F71" s="309"/>
      <c r="G71" s="309"/>
      <c r="H71" s="309"/>
      <c r="I71" s="309"/>
      <c r="J71" s="309"/>
      <c r="K71" s="309"/>
      <c r="L71" s="309"/>
      <c r="M71" s="309"/>
      <c r="N71" s="309"/>
      <c r="O71" s="309"/>
      <c r="P71" s="309"/>
      <c r="Q71" s="309"/>
      <c r="R71" s="309"/>
      <c r="S71" s="309"/>
      <c r="T71" s="309"/>
      <c r="U71" s="309"/>
      <c r="V71" s="309"/>
      <c r="W71" s="309"/>
      <c r="X71" s="309"/>
      <c r="Y71" s="309"/>
      <c r="Z71" s="309"/>
    </row>
    <row r="72" ht="12.75" customHeight="1">
      <c r="A72" s="309"/>
      <c r="B72" s="309"/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</row>
    <row r="73" ht="12.75" customHeight="1">
      <c r="A73" s="309"/>
      <c r="B73" s="309"/>
      <c r="C73" s="309"/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309"/>
      <c r="P73" s="309"/>
      <c r="Q73" s="309"/>
      <c r="R73" s="309"/>
      <c r="S73" s="309"/>
      <c r="T73" s="309"/>
      <c r="U73" s="309"/>
      <c r="V73" s="309"/>
      <c r="W73" s="309"/>
      <c r="X73" s="309"/>
      <c r="Y73" s="309"/>
      <c r="Z73" s="309"/>
    </row>
    <row r="74" ht="12.75" customHeight="1">
      <c r="A74" s="309"/>
      <c r="B74" s="309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</row>
    <row r="75" ht="12.75" customHeight="1">
      <c r="A75" s="309"/>
      <c r="B75" s="309"/>
      <c r="C75" s="309"/>
      <c r="D75" s="309"/>
      <c r="E75" s="309"/>
      <c r="F75" s="309"/>
      <c r="G75" s="309"/>
      <c r="H75" s="309"/>
      <c r="I75" s="309"/>
      <c r="J75" s="309"/>
      <c r="K75" s="309"/>
      <c r="L75" s="309"/>
      <c r="M75" s="309"/>
      <c r="N75" s="309"/>
      <c r="O75" s="309"/>
      <c r="P75" s="309"/>
      <c r="Q75" s="309"/>
      <c r="R75" s="309"/>
      <c r="S75" s="309"/>
      <c r="T75" s="309"/>
      <c r="U75" s="309"/>
      <c r="V75" s="309"/>
      <c r="W75" s="309"/>
      <c r="X75" s="309"/>
      <c r="Y75" s="309"/>
      <c r="Z75" s="309"/>
    </row>
    <row r="76" ht="12.75" customHeight="1">
      <c r="A76" s="309"/>
      <c r="B76" s="309"/>
      <c r="C76" s="309"/>
      <c r="D76" s="309"/>
      <c r="E76" s="309"/>
      <c r="F76" s="309"/>
      <c r="G76" s="309"/>
      <c r="H76" s="309"/>
      <c r="I76" s="309"/>
      <c r="J76" s="309"/>
      <c r="K76" s="309"/>
      <c r="L76" s="309"/>
      <c r="M76" s="309"/>
      <c r="N76" s="309"/>
      <c r="O76" s="309"/>
      <c r="P76" s="309"/>
      <c r="Q76" s="309"/>
      <c r="R76" s="309"/>
      <c r="S76" s="309"/>
      <c r="T76" s="309"/>
      <c r="U76" s="309"/>
      <c r="V76" s="309"/>
      <c r="W76" s="309"/>
      <c r="X76" s="309"/>
      <c r="Y76" s="309"/>
      <c r="Z76" s="309"/>
    </row>
    <row r="77" ht="12.75" customHeight="1">
      <c r="A77" s="309"/>
      <c r="B77" s="309"/>
      <c r="C77" s="309"/>
      <c r="D77" s="309"/>
      <c r="E77" s="309"/>
      <c r="F77" s="309"/>
      <c r="G77" s="309"/>
      <c r="H77" s="309"/>
      <c r="I77" s="309"/>
      <c r="J77" s="309"/>
      <c r="K77" s="309"/>
      <c r="L77" s="309"/>
      <c r="M77" s="309"/>
      <c r="N77" s="309"/>
      <c r="O77" s="309"/>
      <c r="P77" s="309"/>
      <c r="Q77" s="309"/>
      <c r="R77" s="309"/>
      <c r="S77" s="309"/>
      <c r="T77" s="309"/>
      <c r="U77" s="309"/>
      <c r="V77" s="309"/>
      <c r="W77" s="309"/>
      <c r="X77" s="309"/>
      <c r="Y77" s="309"/>
      <c r="Z77" s="309"/>
    </row>
    <row r="78" ht="12.75" customHeight="1">
      <c r="A78" s="309"/>
      <c r="B78" s="309"/>
      <c r="C78" s="309"/>
      <c r="D78" s="309"/>
      <c r="E78" s="309"/>
      <c r="F78" s="309"/>
      <c r="G78" s="309"/>
      <c r="H78" s="309"/>
      <c r="I78" s="309"/>
      <c r="J78" s="309"/>
      <c r="K78" s="309"/>
      <c r="L78" s="309"/>
      <c r="M78" s="309"/>
      <c r="N78" s="309"/>
      <c r="O78" s="309"/>
      <c r="P78" s="309"/>
      <c r="Q78" s="309"/>
      <c r="R78" s="309"/>
      <c r="S78" s="309"/>
      <c r="T78" s="309"/>
      <c r="U78" s="309"/>
      <c r="V78" s="309"/>
      <c r="W78" s="309"/>
      <c r="X78" s="309"/>
      <c r="Y78" s="309"/>
      <c r="Z78" s="309"/>
    </row>
    <row r="79" ht="12.75" customHeight="1">
      <c r="A79" s="309"/>
      <c r="B79" s="309"/>
      <c r="C79" s="309"/>
      <c r="D79" s="309"/>
      <c r="E79" s="309"/>
      <c r="F79" s="309"/>
      <c r="G79" s="30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Z79" s="309"/>
    </row>
    <row r="80" ht="12.75" customHeight="1">
      <c r="A80" s="309"/>
      <c r="B80" s="309"/>
      <c r="C80" s="309"/>
      <c r="D80" s="309"/>
      <c r="E80" s="309"/>
      <c r="F80" s="309"/>
      <c r="G80" s="309"/>
      <c r="H80" s="309"/>
      <c r="I80" s="309"/>
      <c r="J80" s="309"/>
      <c r="K80" s="309"/>
      <c r="L80" s="309"/>
      <c r="M80" s="309"/>
      <c r="N80" s="309"/>
      <c r="O80" s="309"/>
      <c r="P80" s="309"/>
      <c r="Q80" s="309"/>
      <c r="R80" s="309"/>
      <c r="S80" s="309"/>
      <c r="T80" s="309"/>
      <c r="U80" s="309"/>
      <c r="V80" s="309"/>
      <c r="W80" s="309"/>
      <c r="X80" s="309"/>
      <c r="Y80" s="309"/>
      <c r="Z80" s="309"/>
    </row>
    <row r="81" ht="12.75" customHeight="1">
      <c r="A81" s="309"/>
      <c r="B81" s="309"/>
      <c r="C81" s="309"/>
      <c r="D81" s="309"/>
      <c r="E81" s="309"/>
      <c r="F81" s="309"/>
      <c r="G81" s="309"/>
      <c r="H81" s="309"/>
      <c r="I81" s="309"/>
      <c r="J81" s="309"/>
      <c r="K81" s="309"/>
      <c r="L81" s="309"/>
      <c r="M81" s="309"/>
      <c r="N81" s="309"/>
      <c r="O81" s="309"/>
      <c r="P81" s="309"/>
      <c r="Q81" s="309"/>
      <c r="R81" s="309"/>
      <c r="S81" s="309"/>
      <c r="T81" s="309"/>
      <c r="U81" s="309"/>
      <c r="V81" s="309"/>
      <c r="W81" s="309"/>
      <c r="X81" s="309"/>
      <c r="Y81" s="309"/>
      <c r="Z81" s="309"/>
    </row>
    <row r="82" ht="12.75" customHeight="1">
      <c r="A82" s="309"/>
      <c r="B82" s="309"/>
      <c r="C82" s="309"/>
      <c r="D82" s="309"/>
      <c r="E82" s="309"/>
      <c r="F82" s="309"/>
      <c r="G82" s="309"/>
      <c r="H82" s="309"/>
      <c r="I82" s="309"/>
      <c r="J82" s="309"/>
      <c r="K82" s="309"/>
      <c r="L82" s="309"/>
      <c r="M82" s="309"/>
      <c r="N82" s="309"/>
      <c r="O82" s="309"/>
      <c r="P82" s="309"/>
      <c r="Q82" s="309"/>
      <c r="R82" s="309"/>
      <c r="S82" s="309"/>
      <c r="T82" s="309"/>
      <c r="U82" s="309"/>
      <c r="V82" s="309"/>
      <c r="W82" s="309"/>
      <c r="X82" s="309"/>
      <c r="Y82" s="309"/>
      <c r="Z82" s="309"/>
    </row>
    <row r="83" ht="12.75" customHeight="1">
      <c r="A83" s="309"/>
      <c r="B83" s="309"/>
      <c r="C83" s="309"/>
      <c r="D83" s="309"/>
      <c r="E83" s="309"/>
      <c r="F83" s="309"/>
      <c r="G83" s="309"/>
      <c r="H83" s="309"/>
      <c r="I83" s="309"/>
      <c r="J83" s="309"/>
      <c r="K83" s="309"/>
      <c r="L83" s="309"/>
      <c r="M83" s="309"/>
      <c r="N83" s="309"/>
      <c r="O83" s="309"/>
      <c r="P83" s="309"/>
      <c r="Q83" s="309"/>
      <c r="R83" s="309"/>
      <c r="S83" s="309"/>
      <c r="T83" s="309"/>
      <c r="U83" s="309"/>
      <c r="V83" s="309"/>
      <c r="W83" s="309"/>
      <c r="X83" s="309"/>
      <c r="Y83" s="309"/>
      <c r="Z83" s="309"/>
    </row>
    <row r="84" ht="12.75" customHeight="1">
      <c r="A84" s="309"/>
      <c r="B84" s="309"/>
      <c r="C84" s="309"/>
      <c r="D84" s="309"/>
      <c r="E84" s="309"/>
      <c r="F84" s="309"/>
      <c r="G84" s="309"/>
      <c r="H84" s="309"/>
      <c r="I84" s="309"/>
      <c r="J84" s="309"/>
      <c r="K84" s="309"/>
      <c r="L84" s="309"/>
      <c r="M84" s="309"/>
      <c r="N84" s="309"/>
      <c r="O84" s="309"/>
      <c r="P84" s="309"/>
      <c r="Q84" s="309"/>
      <c r="R84" s="309"/>
      <c r="S84" s="309"/>
      <c r="T84" s="309"/>
      <c r="U84" s="309"/>
      <c r="V84" s="309"/>
      <c r="W84" s="309"/>
      <c r="X84" s="309"/>
      <c r="Y84" s="309"/>
      <c r="Z84" s="309"/>
    </row>
    <row r="85" ht="12.75" customHeight="1">
      <c r="A85" s="309"/>
      <c r="B85" s="309"/>
      <c r="C85" s="309"/>
      <c r="D85" s="309"/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09"/>
      <c r="W85" s="309"/>
      <c r="X85" s="309"/>
      <c r="Y85" s="309"/>
      <c r="Z85" s="309"/>
    </row>
    <row r="86" ht="12.75" customHeight="1">
      <c r="A86" s="309"/>
      <c r="B86" s="309"/>
      <c r="C86" s="309"/>
      <c r="D86" s="309"/>
      <c r="E86" s="309"/>
      <c r="F86" s="309"/>
      <c r="G86" s="309"/>
      <c r="H86" s="309"/>
      <c r="I86" s="309"/>
      <c r="J86" s="309"/>
      <c r="K86" s="309"/>
      <c r="L86" s="309"/>
      <c r="M86" s="309"/>
      <c r="N86" s="309"/>
      <c r="O86" s="309"/>
      <c r="P86" s="309"/>
      <c r="Q86" s="309"/>
      <c r="R86" s="309"/>
      <c r="S86" s="309"/>
      <c r="T86" s="309"/>
      <c r="U86" s="309"/>
      <c r="V86" s="309"/>
      <c r="W86" s="309"/>
      <c r="X86" s="309"/>
      <c r="Y86" s="309"/>
      <c r="Z86" s="309"/>
    </row>
    <row r="87" ht="12.75" customHeight="1">
      <c r="A87" s="309"/>
      <c r="B87" s="309"/>
      <c r="C87" s="309"/>
      <c r="D87" s="309"/>
      <c r="E87" s="309"/>
      <c r="F87" s="309"/>
      <c r="G87" s="309"/>
      <c r="H87" s="309"/>
      <c r="I87" s="309"/>
      <c r="J87" s="309"/>
      <c r="K87" s="309"/>
      <c r="L87" s="309"/>
      <c r="M87" s="309"/>
      <c r="N87" s="309"/>
      <c r="O87" s="309"/>
      <c r="P87" s="309"/>
      <c r="Q87" s="309"/>
      <c r="R87" s="309"/>
      <c r="S87" s="309"/>
      <c r="T87" s="309"/>
      <c r="U87" s="309"/>
      <c r="V87" s="309"/>
      <c r="W87" s="309"/>
      <c r="X87" s="309"/>
      <c r="Y87" s="309"/>
      <c r="Z87" s="309"/>
    </row>
    <row r="88" ht="12.75" customHeight="1">
      <c r="A88" s="309"/>
      <c r="B88" s="309"/>
      <c r="C88" s="309"/>
      <c r="D88" s="309"/>
      <c r="E88" s="309"/>
      <c r="F88" s="309"/>
      <c r="G88" s="309"/>
      <c r="H88" s="309"/>
      <c r="I88" s="309"/>
      <c r="J88" s="309"/>
      <c r="K88" s="309"/>
      <c r="L88" s="309"/>
      <c r="M88" s="309"/>
      <c r="N88" s="309"/>
      <c r="O88" s="309"/>
      <c r="P88" s="309"/>
      <c r="Q88" s="309"/>
      <c r="R88" s="309"/>
      <c r="S88" s="309"/>
      <c r="T88" s="309"/>
      <c r="U88" s="309"/>
      <c r="V88" s="309"/>
      <c r="W88" s="309"/>
      <c r="X88" s="309"/>
      <c r="Y88" s="309"/>
      <c r="Z88" s="309"/>
    </row>
    <row r="89" ht="12.75" customHeight="1">
      <c r="A89" s="309"/>
      <c r="B89" s="309"/>
      <c r="C89" s="309"/>
      <c r="D89" s="309"/>
      <c r="E89" s="309"/>
      <c r="F89" s="309"/>
      <c r="G89" s="309"/>
      <c r="H89" s="309"/>
      <c r="I89" s="309"/>
      <c r="J89" s="309"/>
      <c r="K89" s="309"/>
      <c r="L89" s="309"/>
      <c r="M89" s="309"/>
      <c r="N89" s="309"/>
      <c r="O89" s="309"/>
      <c r="P89" s="309"/>
      <c r="Q89" s="309"/>
      <c r="R89" s="309"/>
      <c r="S89" s="309"/>
      <c r="T89" s="309"/>
      <c r="U89" s="309"/>
      <c r="V89" s="309"/>
      <c r="W89" s="309"/>
      <c r="X89" s="309"/>
      <c r="Y89" s="309"/>
      <c r="Z89" s="309"/>
    </row>
    <row r="90" ht="12.75" customHeight="1">
      <c r="A90" s="309"/>
      <c r="B90" s="309"/>
      <c r="C90" s="309"/>
      <c r="D90" s="309"/>
      <c r="E90" s="309"/>
      <c r="F90" s="309"/>
      <c r="G90" s="309"/>
      <c r="H90" s="309"/>
      <c r="I90" s="309"/>
      <c r="J90" s="309"/>
      <c r="K90" s="309"/>
      <c r="L90" s="309"/>
      <c r="M90" s="309"/>
      <c r="N90" s="309"/>
      <c r="O90" s="309"/>
      <c r="P90" s="309"/>
      <c r="Q90" s="309"/>
      <c r="R90" s="309"/>
      <c r="S90" s="309"/>
      <c r="T90" s="309"/>
      <c r="U90" s="309"/>
      <c r="V90" s="309"/>
      <c r="W90" s="309"/>
      <c r="X90" s="309"/>
      <c r="Y90" s="309"/>
      <c r="Z90" s="309"/>
    </row>
    <row r="91" ht="12.75" customHeight="1">
      <c r="A91" s="309"/>
      <c r="B91" s="309"/>
      <c r="C91" s="309"/>
      <c r="D91" s="309"/>
      <c r="E91" s="309"/>
      <c r="F91" s="309"/>
      <c r="G91" s="309"/>
      <c r="H91" s="309"/>
      <c r="I91" s="309"/>
      <c r="J91" s="309"/>
      <c r="K91" s="309"/>
      <c r="L91" s="309"/>
      <c r="M91" s="309"/>
      <c r="N91" s="309"/>
      <c r="O91" s="309"/>
      <c r="P91" s="309"/>
      <c r="Q91" s="309"/>
      <c r="R91" s="309"/>
      <c r="S91" s="309"/>
      <c r="T91" s="309"/>
      <c r="U91" s="309"/>
      <c r="V91" s="309"/>
      <c r="W91" s="309"/>
      <c r="X91" s="309"/>
      <c r="Y91" s="309"/>
      <c r="Z91" s="309"/>
    </row>
    <row r="92" ht="12.75" customHeight="1">
      <c r="A92" s="309"/>
      <c r="B92" s="309"/>
      <c r="C92" s="309"/>
      <c r="D92" s="309"/>
      <c r="E92" s="309"/>
      <c r="F92" s="309"/>
      <c r="G92" s="309"/>
      <c r="H92" s="309"/>
      <c r="I92" s="309"/>
      <c r="J92" s="309"/>
      <c r="K92" s="309"/>
      <c r="L92" s="309"/>
      <c r="M92" s="309"/>
      <c r="N92" s="309"/>
      <c r="O92" s="309"/>
      <c r="P92" s="309"/>
      <c r="Q92" s="309"/>
      <c r="R92" s="309"/>
      <c r="S92" s="309"/>
      <c r="T92" s="309"/>
      <c r="U92" s="309"/>
      <c r="V92" s="309"/>
      <c r="W92" s="309"/>
      <c r="X92" s="309"/>
      <c r="Y92" s="309"/>
      <c r="Z92" s="309"/>
    </row>
    <row r="93" ht="12.75" customHeight="1">
      <c r="A93" s="309"/>
      <c r="B93" s="309"/>
      <c r="C93" s="309"/>
      <c r="D93" s="309"/>
      <c r="E93" s="309"/>
      <c r="F93" s="309"/>
      <c r="G93" s="309"/>
      <c r="H93" s="309"/>
      <c r="I93" s="309"/>
      <c r="J93" s="309"/>
      <c r="K93" s="309"/>
      <c r="L93" s="309"/>
      <c r="M93" s="309"/>
      <c r="N93" s="309"/>
      <c r="O93" s="309"/>
      <c r="P93" s="309"/>
      <c r="Q93" s="309"/>
      <c r="R93" s="309"/>
      <c r="S93" s="309"/>
      <c r="T93" s="309"/>
      <c r="U93" s="309"/>
      <c r="V93" s="309"/>
      <c r="W93" s="309"/>
      <c r="X93" s="309"/>
      <c r="Y93" s="309"/>
      <c r="Z93" s="309"/>
    </row>
    <row r="94" ht="12.75" customHeight="1">
      <c r="A94" s="309"/>
      <c r="B94" s="309"/>
      <c r="C94" s="309"/>
      <c r="D94" s="309"/>
      <c r="E94" s="309"/>
      <c r="F94" s="309"/>
      <c r="G94" s="309"/>
      <c r="H94" s="309"/>
      <c r="I94" s="309"/>
      <c r="J94" s="309"/>
      <c r="K94" s="309"/>
      <c r="L94" s="309"/>
      <c r="M94" s="309"/>
      <c r="N94" s="309"/>
      <c r="O94" s="309"/>
      <c r="P94" s="309"/>
      <c r="Q94" s="309"/>
      <c r="R94" s="309"/>
      <c r="S94" s="309"/>
      <c r="T94" s="309"/>
      <c r="U94" s="309"/>
      <c r="V94" s="309"/>
      <c r="W94" s="309"/>
      <c r="X94" s="309"/>
      <c r="Y94" s="309"/>
      <c r="Z94" s="309"/>
    </row>
    <row r="95" ht="12.75" customHeight="1">
      <c r="A95" s="309"/>
      <c r="B95" s="309"/>
      <c r="C95" s="309"/>
      <c r="D95" s="309"/>
      <c r="E95" s="309"/>
      <c r="F95" s="309"/>
      <c r="G95" s="309"/>
      <c r="H95" s="309"/>
      <c r="I95" s="309"/>
      <c r="J95" s="309"/>
      <c r="K95" s="309"/>
      <c r="L95" s="309"/>
      <c r="M95" s="309"/>
      <c r="N95" s="309"/>
      <c r="O95" s="309"/>
      <c r="P95" s="309"/>
      <c r="Q95" s="309"/>
      <c r="R95" s="309"/>
      <c r="S95" s="309"/>
      <c r="T95" s="309"/>
      <c r="U95" s="309"/>
      <c r="V95" s="309"/>
      <c r="W95" s="309"/>
      <c r="X95" s="309"/>
      <c r="Y95" s="309"/>
      <c r="Z95" s="309"/>
    </row>
    <row r="96" ht="12.75" customHeight="1">
      <c r="A96" s="309"/>
      <c r="B96" s="309"/>
      <c r="C96" s="309"/>
      <c r="D96" s="309"/>
      <c r="E96" s="309"/>
      <c r="F96" s="309"/>
      <c r="G96" s="309"/>
      <c r="H96" s="309"/>
      <c r="I96" s="309"/>
      <c r="J96" s="309"/>
      <c r="K96" s="309"/>
      <c r="L96" s="309"/>
      <c r="M96" s="309"/>
      <c r="N96" s="309"/>
      <c r="O96" s="309"/>
      <c r="P96" s="309"/>
      <c r="Q96" s="309"/>
      <c r="R96" s="309"/>
      <c r="S96" s="309"/>
      <c r="T96" s="309"/>
      <c r="U96" s="309"/>
      <c r="V96" s="309"/>
      <c r="W96" s="309"/>
      <c r="X96" s="309"/>
      <c r="Y96" s="309"/>
      <c r="Z96" s="309"/>
    </row>
    <row r="97" ht="12.75" customHeight="1">
      <c r="A97" s="309"/>
      <c r="B97" s="309"/>
      <c r="C97" s="309"/>
      <c r="D97" s="309"/>
      <c r="E97" s="309"/>
      <c r="F97" s="309"/>
      <c r="G97" s="309"/>
      <c r="H97" s="309"/>
      <c r="I97" s="309"/>
      <c r="J97" s="309"/>
      <c r="K97" s="309"/>
      <c r="L97" s="309"/>
      <c r="M97" s="309"/>
      <c r="N97" s="309"/>
      <c r="O97" s="309"/>
      <c r="P97" s="309"/>
      <c r="Q97" s="309"/>
      <c r="R97" s="309"/>
      <c r="S97" s="309"/>
      <c r="T97" s="309"/>
      <c r="U97" s="309"/>
      <c r="V97" s="309"/>
      <c r="W97" s="309"/>
      <c r="X97" s="309"/>
      <c r="Y97" s="309"/>
      <c r="Z97" s="309"/>
    </row>
    <row r="98" ht="12.75" customHeight="1">
      <c r="A98" s="309"/>
      <c r="B98" s="309"/>
      <c r="C98" s="309"/>
      <c r="D98" s="309"/>
      <c r="E98" s="309"/>
      <c r="F98" s="309"/>
      <c r="G98" s="309"/>
      <c r="H98" s="309"/>
      <c r="I98" s="309"/>
      <c r="J98" s="309"/>
      <c r="K98" s="309"/>
      <c r="L98" s="309"/>
      <c r="M98" s="309"/>
      <c r="N98" s="309"/>
      <c r="O98" s="309"/>
      <c r="P98" s="309"/>
      <c r="Q98" s="309"/>
      <c r="R98" s="309"/>
      <c r="S98" s="309"/>
      <c r="T98" s="309"/>
      <c r="U98" s="309"/>
      <c r="V98" s="309"/>
      <c r="W98" s="309"/>
      <c r="X98" s="309"/>
      <c r="Y98" s="309"/>
      <c r="Z98" s="309"/>
    </row>
    <row r="99" ht="12.75" customHeight="1">
      <c r="A99" s="309"/>
      <c r="B99" s="309"/>
      <c r="C99" s="309"/>
      <c r="D99" s="309"/>
      <c r="E99" s="309"/>
      <c r="F99" s="309"/>
      <c r="G99" s="309"/>
      <c r="H99" s="309"/>
      <c r="I99" s="309"/>
      <c r="J99" s="309"/>
      <c r="K99" s="309"/>
      <c r="L99" s="309"/>
      <c r="M99" s="309"/>
      <c r="N99" s="309"/>
      <c r="O99" s="309"/>
      <c r="P99" s="309"/>
      <c r="Q99" s="309"/>
      <c r="R99" s="309"/>
      <c r="S99" s="309"/>
      <c r="T99" s="309"/>
      <c r="U99" s="309"/>
      <c r="V99" s="309"/>
      <c r="W99" s="309"/>
      <c r="X99" s="309"/>
      <c r="Y99" s="309"/>
      <c r="Z99" s="309"/>
    </row>
    <row r="100" ht="12.75" customHeight="1">
      <c r="A100" s="309"/>
      <c r="B100" s="309"/>
      <c r="C100" s="309"/>
      <c r="D100" s="309"/>
      <c r="E100" s="309"/>
      <c r="F100" s="309"/>
      <c r="G100" s="309"/>
      <c r="H100" s="309"/>
      <c r="I100" s="309"/>
      <c r="J100" s="309"/>
      <c r="K100" s="309"/>
      <c r="L100" s="309"/>
      <c r="M100" s="309"/>
      <c r="N100" s="309"/>
      <c r="O100" s="309"/>
      <c r="P100" s="309"/>
      <c r="Q100" s="309"/>
      <c r="R100" s="309"/>
      <c r="S100" s="309"/>
      <c r="T100" s="309"/>
      <c r="U100" s="309"/>
      <c r="V100" s="309"/>
      <c r="W100" s="309"/>
      <c r="X100" s="309"/>
      <c r="Y100" s="309"/>
      <c r="Z100" s="309"/>
    </row>
    <row r="101" ht="12.75" customHeight="1">
      <c r="A101" s="309"/>
      <c r="B101" s="309"/>
      <c r="C101" s="309"/>
      <c r="D101" s="309"/>
      <c r="E101" s="309"/>
      <c r="F101" s="309"/>
      <c r="G101" s="309"/>
      <c r="H101" s="309"/>
      <c r="I101" s="309"/>
      <c r="J101" s="309"/>
      <c r="K101" s="309"/>
      <c r="L101" s="309"/>
      <c r="M101" s="309"/>
      <c r="N101" s="309"/>
      <c r="O101" s="309"/>
      <c r="P101" s="309"/>
      <c r="Q101" s="309"/>
      <c r="R101" s="309"/>
      <c r="S101" s="309"/>
      <c r="T101" s="309"/>
      <c r="U101" s="309"/>
      <c r="V101" s="309"/>
      <c r="W101" s="309"/>
      <c r="X101" s="309"/>
      <c r="Y101" s="309"/>
      <c r="Z101" s="309"/>
    </row>
    <row r="102" ht="12.75" customHeight="1">
      <c r="A102" s="309"/>
      <c r="B102" s="309"/>
      <c r="C102" s="309"/>
      <c r="D102" s="309"/>
      <c r="E102" s="309"/>
      <c r="F102" s="309"/>
      <c r="G102" s="309"/>
      <c r="H102" s="309"/>
      <c r="I102" s="309"/>
      <c r="J102" s="309"/>
      <c r="K102" s="309"/>
      <c r="L102" s="309"/>
      <c r="M102" s="309"/>
      <c r="N102" s="309"/>
      <c r="O102" s="309"/>
      <c r="P102" s="309"/>
      <c r="Q102" s="309"/>
      <c r="R102" s="309"/>
      <c r="S102" s="309"/>
      <c r="T102" s="309"/>
      <c r="U102" s="309"/>
      <c r="V102" s="309"/>
      <c r="W102" s="309"/>
      <c r="X102" s="309"/>
      <c r="Y102" s="309"/>
      <c r="Z102" s="309"/>
    </row>
    <row r="103" ht="12.75" customHeight="1">
      <c r="A103" s="309"/>
      <c r="B103" s="309"/>
      <c r="C103" s="309"/>
      <c r="D103" s="309"/>
      <c r="E103" s="309"/>
      <c r="F103" s="309"/>
      <c r="G103" s="309"/>
      <c r="H103" s="309"/>
      <c r="I103" s="309"/>
      <c r="J103" s="309"/>
      <c r="K103" s="309"/>
      <c r="L103" s="309"/>
      <c r="M103" s="309"/>
      <c r="N103" s="309"/>
      <c r="O103" s="309"/>
      <c r="P103" s="309"/>
      <c r="Q103" s="309"/>
      <c r="R103" s="309"/>
      <c r="S103" s="309"/>
      <c r="T103" s="309"/>
      <c r="U103" s="309"/>
      <c r="V103" s="309"/>
      <c r="W103" s="309"/>
      <c r="X103" s="309"/>
      <c r="Y103" s="309"/>
      <c r="Z103" s="309"/>
    </row>
    <row r="104" ht="12.75" customHeight="1">
      <c r="A104" s="309"/>
      <c r="B104" s="309"/>
      <c r="C104" s="309"/>
      <c r="D104" s="309"/>
      <c r="E104" s="309"/>
      <c r="F104" s="309"/>
      <c r="G104" s="309"/>
      <c r="H104" s="309"/>
      <c r="I104" s="309"/>
      <c r="J104" s="309"/>
      <c r="K104" s="309"/>
      <c r="L104" s="309"/>
      <c r="M104" s="309"/>
      <c r="N104" s="309"/>
      <c r="O104" s="309"/>
      <c r="P104" s="309"/>
      <c r="Q104" s="309"/>
      <c r="R104" s="309"/>
      <c r="S104" s="309"/>
      <c r="T104" s="309"/>
      <c r="U104" s="309"/>
      <c r="V104" s="309"/>
      <c r="W104" s="309"/>
      <c r="X104" s="309"/>
      <c r="Y104" s="309"/>
      <c r="Z104" s="309"/>
    </row>
    <row r="105" ht="12.75" customHeight="1">
      <c r="A105" s="309"/>
      <c r="B105" s="309"/>
      <c r="C105" s="309"/>
      <c r="D105" s="309"/>
      <c r="E105" s="309"/>
      <c r="F105" s="309"/>
      <c r="G105" s="309"/>
      <c r="H105" s="309"/>
      <c r="I105" s="309"/>
      <c r="J105" s="309"/>
      <c r="K105" s="309"/>
      <c r="L105" s="309"/>
      <c r="M105" s="309"/>
      <c r="N105" s="309"/>
      <c r="O105" s="309"/>
      <c r="P105" s="309"/>
      <c r="Q105" s="309"/>
      <c r="R105" s="309"/>
      <c r="S105" s="309"/>
      <c r="T105" s="309"/>
      <c r="U105" s="309"/>
      <c r="V105" s="309"/>
      <c r="W105" s="309"/>
      <c r="X105" s="309"/>
      <c r="Y105" s="309"/>
      <c r="Z105" s="309"/>
    </row>
    <row r="106" ht="12.75" customHeight="1">
      <c r="A106" s="309"/>
      <c r="B106" s="309"/>
      <c r="C106" s="309"/>
      <c r="D106" s="309"/>
      <c r="E106" s="309"/>
      <c r="F106" s="309"/>
      <c r="G106" s="309"/>
      <c r="H106" s="309"/>
      <c r="I106" s="309"/>
      <c r="J106" s="309"/>
      <c r="K106" s="309"/>
      <c r="L106" s="309"/>
      <c r="M106" s="309"/>
      <c r="N106" s="309"/>
      <c r="O106" s="309"/>
      <c r="P106" s="309"/>
      <c r="Q106" s="309"/>
      <c r="R106" s="309"/>
      <c r="S106" s="309"/>
      <c r="T106" s="309"/>
      <c r="U106" s="309"/>
      <c r="V106" s="309"/>
      <c r="W106" s="309"/>
      <c r="X106" s="309"/>
      <c r="Y106" s="309"/>
      <c r="Z106" s="309"/>
    </row>
    <row r="107" ht="12.75" customHeight="1">
      <c r="A107" s="309"/>
      <c r="B107" s="309"/>
      <c r="C107" s="309"/>
      <c r="D107" s="309"/>
      <c r="E107" s="309"/>
      <c r="F107" s="309"/>
      <c r="G107" s="309"/>
      <c r="H107" s="309"/>
      <c r="I107" s="309"/>
      <c r="J107" s="309"/>
      <c r="K107" s="309"/>
      <c r="L107" s="309"/>
      <c r="M107" s="309"/>
      <c r="N107" s="309"/>
      <c r="O107" s="309"/>
      <c r="P107" s="309"/>
      <c r="Q107" s="309"/>
      <c r="R107" s="309"/>
      <c r="S107" s="309"/>
      <c r="T107" s="309"/>
      <c r="U107" s="309"/>
      <c r="V107" s="309"/>
      <c r="W107" s="309"/>
      <c r="X107" s="309"/>
      <c r="Y107" s="309"/>
      <c r="Z107" s="309"/>
    </row>
    <row r="108" ht="12.75" customHeight="1">
      <c r="A108" s="309"/>
      <c r="B108" s="309"/>
      <c r="C108" s="309"/>
      <c r="D108" s="309"/>
      <c r="E108" s="309"/>
      <c r="F108" s="309"/>
      <c r="G108" s="309"/>
      <c r="H108" s="309"/>
      <c r="I108" s="309"/>
      <c r="J108" s="309"/>
      <c r="K108" s="309"/>
      <c r="L108" s="309"/>
      <c r="M108" s="309"/>
      <c r="N108" s="309"/>
      <c r="O108" s="309"/>
      <c r="P108" s="309"/>
      <c r="Q108" s="309"/>
      <c r="R108" s="309"/>
      <c r="S108" s="309"/>
      <c r="T108" s="309"/>
      <c r="U108" s="309"/>
      <c r="V108" s="309"/>
      <c r="W108" s="309"/>
      <c r="X108" s="309"/>
      <c r="Y108" s="309"/>
      <c r="Z108" s="309"/>
    </row>
    <row r="109" ht="12.75" customHeight="1">
      <c r="A109" s="309"/>
      <c r="B109" s="309"/>
      <c r="C109" s="309"/>
      <c r="D109" s="309"/>
      <c r="E109" s="309"/>
      <c r="F109" s="309"/>
      <c r="G109" s="309"/>
      <c r="H109" s="309"/>
      <c r="I109" s="309"/>
      <c r="J109" s="309"/>
      <c r="K109" s="309"/>
      <c r="L109" s="309"/>
      <c r="M109" s="309"/>
      <c r="N109" s="309"/>
      <c r="O109" s="309"/>
      <c r="P109" s="309"/>
      <c r="Q109" s="309"/>
      <c r="R109" s="309"/>
      <c r="S109" s="309"/>
      <c r="T109" s="309"/>
      <c r="U109" s="309"/>
      <c r="V109" s="309"/>
      <c r="W109" s="309"/>
      <c r="X109" s="309"/>
      <c r="Y109" s="309"/>
      <c r="Z109" s="309"/>
    </row>
    <row r="110" ht="12.75" customHeight="1">
      <c r="A110" s="309"/>
      <c r="B110" s="309"/>
      <c r="C110" s="309"/>
      <c r="D110" s="309"/>
      <c r="E110" s="309"/>
      <c r="F110" s="309"/>
      <c r="G110" s="309"/>
      <c r="H110" s="309"/>
      <c r="I110" s="309"/>
      <c r="J110" s="309"/>
      <c r="K110" s="309"/>
      <c r="L110" s="309"/>
      <c r="M110" s="309"/>
      <c r="N110" s="309"/>
      <c r="O110" s="309"/>
      <c r="P110" s="309"/>
      <c r="Q110" s="309"/>
      <c r="R110" s="309"/>
      <c r="S110" s="309"/>
      <c r="T110" s="309"/>
      <c r="U110" s="309"/>
      <c r="V110" s="309"/>
      <c r="W110" s="309"/>
      <c r="X110" s="309"/>
      <c r="Y110" s="309"/>
      <c r="Z110" s="309"/>
    </row>
    <row r="111" ht="12.75" customHeight="1">
      <c r="A111" s="309"/>
      <c r="B111" s="309"/>
      <c r="C111" s="309"/>
      <c r="D111" s="309"/>
      <c r="E111" s="309"/>
      <c r="F111" s="309"/>
      <c r="G111" s="309"/>
      <c r="H111" s="309"/>
      <c r="I111" s="309"/>
      <c r="J111" s="309"/>
      <c r="K111" s="309"/>
      <c r="L111" s="309"/>
      <c r="M111" s="309"/>
      <c r="N111" s="309"/>
      <c r="O111" s="309"/>
      <c r="P111" s="309"/>
      <c r="Q111" s="309"/>
      <c r="R111" s="309"/>
      <c r="S111" s="309"/>
      <c r="T111" s="309"/>
      <c r="U111" s="309"/>
      <c r="V111" s="309"/>
      <c r="W111" s="309"/>
      <c r="X111" s="309"/>
      <c r="Y111" s="309"/>
      <c r="Z111" s="309"/>
    </row>
    <row r="112" ht="12.75" customHeight="1">
      <c r="A112" s="309"/>
      <c r="B112" s="309"/>
      <c r="C112" s="309"/>
      <c r="D112" s="309"/>
      <c r="E112" s="309"/>
      <c r="F112" s="309"/>
      <c r="G112" s="309"/>
      <c r="H112" s="309"/>
      <c r="I112" s="309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309"/>
      <c r="U112" s="309"/>
      <c r="V112" s="309"/>
      <c r="W112" s="309"/>
      <c r="X112" s="309"/>
      <c r="Y112" s="309"/>
      <c r="Z112" s="309"/>
    </row>
    <row r="113" ht="12.75" customHeight="1">
      <c r="A113" s="309"/>
      <c r="B113" s="309"/>
      <c r="C113" s="309"/>
      <c r="D113" s="309"/>
      <c r="E113" s="309"/>
      <c r="F113" s="309"/>
      <c r="G113" s="309"/>
      <c r="H113" s="309"/>
      <c r="I113" s="309"/>
      <c r="J113" s="309"/>
      <c r="K113" s="309"/>
      <c r="L113" s="309"/>
      <c r="M113" s="309"/>
      <c r="N113" s="309"/>
      <c r="O113" s="309"/>
      <c r="P113" s="309"/>
      <c r="Q113" s="309"/>
      <c r="R113" s="309"/>
      <c r="S113" s="309"/>
      <c r="T113" s="309"/>
      <c r="U113" s="309"/>
      <c r="V113" s="309"/>
      <c r="W113" s="309"/>
      <c r="X113" s="309"/>
      <c r="Y113" s="309"/>
      <c r="Z113" s="309"/>
    </row>
    <row r="114" ht="12.75" customHeight="1">
      <c r="A114" s="309"/>
      <c r="B114" s="309"/>
      <c r="C114" s="309"/>
      <c r="D114" s="309"/>
      <c r="E114" s="309"/>
      <c r="F114" s="309"/>
      <c r="G114" s="309"/>
      <c r="H114" s="309"/>
      <c r="I114" s="309"/>
      <c r="J114" s="309"/>
      <c r="K114" s="309"/>
      <c r="L114" s="309"/>
      <c r="M114" s="309"/>
      <c r="N114" s="309"/>
      <c r="O114" s="309"/>
      <c r="P114" s="309"/>
      <c r="Q114" s="309"/>
      <c r="R114" s="309"/>
      <c r="S114" s="309"/>
      <c r="T114" s="309"/>
      <c r="U114" s="309"/>
      <c r="V114" s="309"/>
      <c r="W114" s="309"/>
      <c r="X114" s="309"/>
      <c r="Y114" s="309"/>
      <c r="Z114" s="309"/>
    </row>
    <row r="115" ht="12.75" customHeight="1">
      <c r="A115" s="309"/>
      <c r="B115" s="309"/>
      <c r="C115" s="309"/>
      <c r="D115" s="309"/>
      <c r="E115" s="309"/>
      <c r="F115" s="309"/>
      <c r="G115" s="309"/>
      <c r="H115" s="309"/>
      <c r="I115" s="309"/>
      <c r="J115" s="309"/>
      <c r="K115" s="309"/>
      <c r="L115" s="309"/>
      <c r="M115" s="309"/>
      <c r="N115" s="309"/>
      <c r="O115" s="309"/>
      <c r="P115" s="309"/>
      <c r="Q115" s="309"/>
      <c r="R115" s="309"/>
      <c r="S115" s="309"/>
      <c r="T115" s="309"/>
      <c r="U115" s="309"/>
      <c r="V115" s="309"/>
      <c r="W115" s="309"/>
      <c r="X115" s="309"/>
      <c r="Y115" s="309"/>
      <c r="Z115" s="309"/>
    </row>
    <row r="116" ht="12.75" customHeight="1">
      <c r="A116" s="309"/>
      <c r="B116" s="309"/>
      <c r="C116" s="309"/>
      <c r="D116" s="309"/>
      <c r="E116" s="309"/>
      <c r="F116" s="309"/>
      <c r="G116" s="309"/>
      <c r="H116" s="309"/>
      <c r="I116" s="309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309"/>
      <c r="U116" s="309"/>
      <c r="V116" s="309"/>
      <c r="W116" s="309"/>
      <c r="X116" s="309"/>
      <c r="Y116" s="309"/>
      <c r="Z116" s="309"/>
    </row>
    <row r="117" ht="12.75" customHeight="1">
      <c r="A117" s="309"/>
      <c r="B117" s="309"/>
      <c r="C117" s="309"/>
      <c r="D117" s="309"/>
      <c r="E117" s="309"/>
      <c r="F117" s="309"/>
      <c r="G117" s="309"/>
      <c r="H117" s="309"/>
      <c r="I117" s="309"/>
      <c r="J117" s="309"/>
      <c r="K117" s="309"/>
      <c r="L117" s="309"/>
      <c r="M117" s="309"/>
      <c r="N117" s="309"/>
      <c r="O117" s="309"/>
      <c r="P117" s="309"/>
      <c r="Q117" s="309"/>
      <c r="R117" s="309"/>
      <c r="S117" s="309"/>
      <c r="T117" s="309"/>
      <c r="U117" s="309"/>
      <c r="V117" s="309"/>
      <c r="W117" s="309"/>
      <c r="X117" s="309"/>
      <c r="Y117" s="309"/>
      <c r="Z117" s="309"/>
    </row>
    <row r="118" ht="12.75" customHeight="1">
      <c r="A118" s="309"/>
      <c r="B118" s="309"/>
      <c r="C118" s="309"/>
      <c r="D118" s="309"/>
      <c r="E118" s="309"/>
      <c r="F118" s="309"/>
      <c r="G118" s="309"/>
      <c r="H118" s="309"/>
      <c r="I118" s="309"/>
      <c r="J118" s="309"/>
      <c r="K118" s="309"/>
      <c r="L118" s="309"/>
      <c r="M118" s="309"/>
      <c r="N118" s="309"/>
      <c r="O118" s="309"/>
      <c r="P118" s="309"/>
      <c r="Q118" s="309"/>
      <c r="R118" s="309"/>
      <c r="S118" s="309"/>
      <c r="T118" s="309"/>
      <c r="U118" s="309"/>
      <c r="V118" s="309"/>
      <c r="W118" s="309"/>
      <c r="X118" s="309"/>
      <c r="Y118" s="309"/>
      <c r="Z118" s="309"/>
    </row>
    <row r="119" ht="12.75" customHeight="1">
      <c r="A119" s="309"/>
      <c r="B119" s="309"/>
      <c r="C119" s="309"/>
      <c r="D119" s="309"/>
      <c r="E119" s="309"/>
      <c r="F119" s="309"/>
      <c r="G119" s="309"/>
      <c r="H119" s="309"/>
      <c r="I119" s="309"/>
      <c r="J119" s="309"/>
      <c r="K119" s="309"/>
      <c r="L119" s="309"/>
      <c r="M119" s="309"/>
      <c r="N119" s="309"/>
      <c r="O119" s="309"/>
      <c r="P119" s="309"/>
      <c r="Q119" s="309"/>
      <c r="R119" s="309"/>
      <c r="S119" s="309"/>
      <c r="T119" s="309"/>
      <c r="U119" s="309"/>
      <c r="V119" s="309"/>
      <c r="W119" s="309"/>
      <c r="X119" s="309"/>
      <c r="Y119" s="309"/>
      <c r="Z119" s="309"/>
    </row>
    <row r="120" ht="12.75" customHeight="1">
      <c r="A120" s="309"/>
      <c r="B120" s="309"/>
      <c r="C120" s="309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309"/>
      <c r="W120" s="309"/>
      <c r="X120" s="309"/>
      <c r="Y120" s="309"/>
      <c r="Z120" s="309"/>
    </row>
    <row r="121" ht="12.75" customHeight="1">
      <c r="A121" s="309"/>
      <c r="B121" s="309"/>
      <c r="C121" s="309"/>
      <c r="D121" s="309"/>
      <c r="E121" s="309"/>
      <c r="F121" s="309"/>
      <c r="G121" s="309"/>
      <c r="H121" s="309"/>
      <c r="I121" s="309"/>
      <c r="J121" s="309"/>
      <c r="K121" s="309"/>
      <c r="L121" s="309"/>
      <c r="M121" s="309"/>
      <c r="N121" s="309"/>
      <c r="O121" s="309"/>
      <c r="P121" s="309"/>
      <c r="Q121" s="309"/>
      <c r="R121" s="309"/>
      <c r="S121" s="309"/>
      <c r="T121" s="309"/>
      <c r="U121" s="309"/>
      <c r="V121" s="309"/>
      <c r="W121" s="309"/>
      <c r="X121" s="309"/>
      <c r="Y121" s="309"/>
      <c r="Z121" s="309"/>
    </row>
    <row r="122" ht="12.75" customHeight="1">
      <c r="A122" s="309"/>
      <c r="B122" s="309"/>
      <c r="C122" s="309"/>
      <c r="D122" s="309"/>
      <c r="E122" s="309"/>
      <c r="F122" s="309"/>
      <c r="G122" s="309"/>
      <c r="H122" s="309"/>
      <c r="I122" s="309"/>
      <c r="J122" s="309"/>
      <c r="K122" s="309"/>
      <c r="L122" s="309"/>
      <c r="M122" s="309"/>
      <c r="N122" s="309"/>
      <c r="O122" s="309"/>
      <c r="P122" s="309"/>
      <c r="Q122" s="309"/>
      <c r="R122" s="309"/>
      <c r="S122" s="309"/>
      <c r="T122" s="309"/>
      <c r="U122" s="309"/>
      <c r="V122" s="309"/>
      <c r="W122" s="309"/>
      <c r="X122" s="309"/>
      <c r="Y122" s="309"/>
      <c r="Z122" s="309"/>
    </row>
    <row r="123" ht="12.75" customHeight="1">
      <c r="A123" s="309"/>
      <c r="B123" s="309"/>
      <c r="C123" s="309"/>
      <c r="D123" s="309"/>
      <c r="E123" s="309"/>
      <c r="F123" s="309"/>
      <c r="G123" s="309"/>
      <c r="H123" s="309"/>
      <c r="I123" s="309"/>
      <c r="J123" s="309"/>
      <c r="K123" s="309"/>
      <c r="L123" s="309"/>
      <c r="M123" s="309"/>
      <c r="N123" s="309"/>
      <c r="O123" s="309"/>
      <c r="P123" s="309"/>
      <c r="Q123" s="309"/>
      <c r="R123" s="309"/>
      <c r="S123" s="309"/>
      <c r="T123" s="309"/>
      <c r="U123" s="309"/>
      <c r="V123" s="309"/>
      <c r="W123" s="309"/>
      <c r="X123" s="309"/>
      <c r="Y123" s="309"/>
      <c r="Z123" s="309"/>
    </row>
    <row r="124" ht="12.75" customHeight="1">
      <c r="A124" s="309"/>
      <c r="B124" s="309"/>
      <c r="C124" s="309"/>
      <c r="D124" s="309"/>
      <c r="E124" s="309"/>
      <c r="F124" s="309"/>
      <c r="G124" s="309"/>
      <c r="H124" s="309"/>
      <c r="I124" s="309"/>
      <c r="J124" s="309"/>
      <c r="K124" s="309"/>
      <c r="L124" s="309"/>
      <c r="M124" s="309"/>
      <c r="N124" s="309"/>
      <c r="O124" s="309"/>
      <c r="P124" s="309"/>
      <c r="Q124" s="309"/>
      <c r="R124" s="309"/>
      <c r="S124" s="309"/>
      <c r="T124" s="309"/>
      <c r="U124" s="309"/>
      <c r="V124" s="309"/>
      <c r="W124" s="309"/>
      <c r="X124" s="309"/>
      <c r="Y124" s="309"/>
      <c r="Z124" s="309"/>
    </row>
    <row r="125" ht="12.75" customHeight="1">
      <c r="A125" s="309"/>
      <c r="B125" s="309"/>
      <c r="C125" s="309"/>
      <c r="D125" s="309"/>
      <c r="E125" s="309"/>
      <c r="F125" s="309"/>
      <c r="G125" s="309"/>
      <c r="H125" s="309"/>
      <c r="I125" s="309"/>
      <c r="J125" s="309"/>
      <c r="K125" s="309"/>
      <c r="L125" s="309"/>
      <c r="M125" s="309"/>
      <c r="N125" s="309"/>
      <c r="O125" s="309"/>
      <c r="P125" s="309"/>
      <c r="Q125" s="309"/>
      <c r="R125" s="309"/>
      <c r="S125" s="309"/>
      <c r="T125" s="309"/>
      <c r="U125" s="309"/>
      <c r="V125" s="309"/>
      <c r="W125" s="309"/>
      <c r="X125" s="309"/>
      <c r="Y125" s="309"/>
      <c r="Z125" s="309"/>
    </row>
    <row r="126" ht="12.75" customHeight="1">
      <c r="A126" s="309"/>
      <c r="B126" s="309"/>
      <c r="C126" s="309"/>
      <c r="D126" s="309"/>
      <c r="E126" s="309"/>
      <c r="F126" s="309"/>
      <c r="G126" s="309"/>
      <c r="H126" s="309"/>
      <c r="I126" s="309"/>
      <c r="J126" s="309"/>
      <c r="K126" s="309"/>
      <c r="L126" s="309"/>
      <c r="M126" s="309"/>
      <c r="N126" s="309"/>
      <c r="O126" s="309"/>
      <c r="P126" s="309"/>
      <c r="Q126" s="309"/>
      <c r="R126" s="309"/>
      <c r="S126" s="309"/>
      <c r="T126" s="309"/>
      <c r="U126" s="309"/>
      <c r="V126" s="309"/>
      <c r="W126" s="309"/>
      <c r="X126" s="309"/>
      <c r="Y126" s="309"/>
      <c r="Z126" s="309"/>
    </row>
    <row r="127" ht="12.75" customHeight="1">
      <c r="A127" s="309"/>
      <c r="B127" s="309"/>
      <c r="C127" s="309"/>
      <c r="D127" s="309"/>
      <c r="E127" s="309"/>
      <c r="F127" s="309"/>
      <c r="G127" s="309"/>
      <c r="H127" s="309"/>
      <c r="I127" s="309"/>
      <c r="J127" s="309"/>
      <c r="K127" s="309"/>
      <c r="L127" s="309"/>
      <c r="M127" s="309"/>
      <c r="N127" s="309"/>
      <c r="O127" s="309"/>
      <c r="P127" s="309"/>
      <c r="Q127" s="309"/>
      <c r="R127" s="309"/>
      <c r="S127" s="309"/>
      <c r="T127" s="309"/>
      <c r="U127" s="309"/>
      <c r="V127" s="309"/>
      <c r="W127" s="309"/>
      <c r="X127" s="309"/>
      <c r="Y127" s="309"/>
      <c r="Z127" s="309"/>
    </row>
    <row r="128" ht="12.75" customHeight="1">
      <c r="A128" s="309"/>
      <c r="B128" s="309"/>
      <c r="C128" s="309"/>
      <c r="D128" s="309"/>
      <c r="E128" s="309"/>
      <c r="F128" s="309"/>
      <c r="G128" s="309"/>
      <c r="H128" s="309"/>
      <c r="I128" s="309"/>
      <c r="J128" s="309"/>
      <c r="K128" s="309"/>
      <c r="L128" s="309"/>
      <c r="M128" s="309"/>
      <c r="N128" s="309"/>
      <c r="O128" s="309"/>
      <c r="P128" s="309"/>
      <c r="Q128" s="309"/>
      <c r="R128" s="309"/>
      <c r="S128" s="309"/>
      <c r="T128" s="309"/>
      <c r="U128" s="309"/>
      <c r="V128" s="309"/>
      <c r="W128" s="309"/>
      <c r="X128" s="309"/>
      <c r="Y128" s="309"/>
      <c r="Z128" s="309"/>
    </row>
    <row r="129" ht="12.75" customHeight="1">
      <c r="A129" s="309"/>
      <c r="B129" s="309"/>
      <c r="C129" s="309"/>
      <c r="D129" s="309"/>
      <c r="E129" s="309"/>
      <c r="F129" s="309"/>
      <c r="G129" s="309"/>
      <c r="H129" s="309"/>
      <c r="I129" s="309"/>
      <c r="J129" s="309"/>
      <c r="K129" s="309"/>
      <c r="L129" s="309"/>
      <c r="M129" s="309"/>
      <c r="N129" s="309"/>
      <c r="O129" s="309"/>
      <c r="P129" s="309"/>
      <c r="Q129" s="309"/>
      <c r="R129" s="309"/>
      <c r="S129" s="309"/>
      <c r="T129" s="309"/>
      <c r="U129" s="309"/>
      <c r="V129" s="309"/>
      <c r="W129" s="309"/>
      <c r="X129" s="309"/>
      <c r="Y129" s="309"/>
      <c r="Z129" s="309"/>
    </row>
    <row r="130" ht="12.75" customHeight="1">
      <c r="A130" s="309"/>
      <c r="B130" s="309"/>
      <c r="C130" s="309"/>
      <c r="D130" s="309"/>
      <c r="E130" s="309"/>
      <c r="F130" s="309"/>
      <c r="G130" s="309"/>
      <c r="H130" s="309"/>
      <c r="I130" s="309"/>
      <c r="J130" s="309"/>
      <c r="K130" s="309"/>
      <c r="L130" s="309"/>
      <c r="M130" s="309"/>
      <c r="N130" s="309"/>
      <c r="O130" s="309"/>
      <c r="P130" s="309"/>
      <c r="Q130" s="309"/>
      <c r="R130" s="309"/>
      <c r="S130" s="309"/>
      <c r="T130" s="309"/>
      <c r="U130" s="309"/>
      <c r="V130" s="309"/>
      <c r="W130" s="309"/>
      <c r="X130" s="309"/>
      <c r="Y130" s="309"/>
      <c r="Z130" s="309"/>
    </row>
    <row r="131" ht="12.75" customHeight="1">
      <c r="A131" s="309"/>
      <c r="B131" s="309"/>
      <c r="C131" s="309"/>
      <c r="D131" s="309"/>
      <c r="E131" s="309"/>
      <c r="F131" s="309"/>
      <c r="G131" s="309"/>
      <c r="H131" s="309"/>
      <c r="I131" s="309"/>
      <c r="J131" s="309"/>
      <c r="K131" s="309"/>
      <c r="L131" s="309"/>
      <c r="M131" s="309"/>
      <c r="N131" s="309"/>
      <c r="O131" s="309"/>
      <c r="P131" s="309"/>
      <c r="Q131" s="309"/>
      <c r="R131" s="309"/>
      <c r="S131" s="309"/>
      <c r="T131" s="309"/>
      <c r="U131" s="309"/>
      <c r="V131" s="309"/>
      <c r="W131" s="309"/>
      <c r="X131" s="309"/>
      <c r="Y131" s="309"/>
      <c r="Z131" s="309"/>
    </row>
    <row r="132" ht="12.75" customHeight="1">
      <c r="A132" s="309"/>
      <c r="B132" s="309"/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</row>
    <row r="133" ht="12.75" customHeight="1">
      <c r="A133" s="309"/>
      <c r="B133" s="309"/>
      <c r="C133" s="309"/>
      <c r="D133" s="309"/>
      <c r="E133" s="309"/>
      <c r="F133" s="309"/>
      <c r="G133" s="309"/>
      <c r="H133" s="309"/>
      <c r="I133" s="309"/>
      <c r="J133" s="309"/>
      <c r="K133" s="309"/>
      <c r="L133" s="309"/>
      <c r="M133" s="309"/>
      <c r="N133" s="309"/>
      <c r="O133" s="309"/>
      <c r="P133" s="309"/>
      <c r="Q133" s="309"/>
      <c r="R133" s="309"/>
      <c r="S133" s="309"/>
      <c r="T133" s="309"/>
      <c r="U133" s="309"/>
      <c r="V133" s="309"/>
      <c r="W133" s="309"/>
      <c r="X133" s="309"/>
      <c r="Y133" s="309"/>
      <c r="Z133" s="309"/>
    </row>
    <row r="134" ht="12.75" customHeight="1">
      <c r="A134" s="309"/>
      <c r="B134" s="309"/>
      <c r="C134" s="309"/>
      <c r="D134" s="309"/>
      <c r="E134" s="309"/>
      <c r="F134" s="309"/>
      <c r="G134" s="309"/>
      <c r="H134" s="309"/>
      <c r="I134" s="309"/>
      <c r="J134" s="309"/>
      <c r="K134" s="309"/>
      <c r="L134" s="309"/>
      <c r="M134" s="309"/>
      <c r="N134" s="309"/>
      <c r="O134" s="309"/>
      <c r="P134" s="309"/>
      <c r="Q134" s="309"/>
      <c r="R134" s="309"/>
      <c r="S134" s="309"/>
      <c r="T134" s="309"/>
      <c r="U134" s="309"/>
      <c r="V134" s="309"/>
      <c r="W134" s="309"/>
      <c r="X134" s="309"/>
      <c r="Y134" s="309"/>
      <c r="Z134" s="309"/>
    </row>
    <row r="135" ht="12.75" customHeight="1">
      <c r="A135" s="309"/>
      <c r="B135" s="309"/>
      <c r="C135" s="309"/>
      <c r="D135" s="309"/>
      <c r="E135" s="309"/>
      <c r="F135" s="309"/>
      <c r="G135" s="309"/>
      <c r="H135" s="309"/>
      <c r="I135" s="309"/>
      <c r="J135" s="309"/>
      <c r="K135" s="309"/>
      <c r="L135" s="309"/>
      <c r="M135" s="309"/>
      <c r="N135" s="309"/>
      <c r="O135" s="309"/>
      <c r="P135" s="309"/>
      <c r="Q135" s="309"/>
      <c r="R135" s="309"/>
      <c r="S135" s="309"/>
      <c r="T135" s="309"/>
      <c r="U135" s="309"/>
      <c r="V135" s="309"/>
      <c r="W135" s="309"/>
      <c r="X135" s="309"/>
      <c r="Y135" s="309"/>
      <c r="Z135" s="309"/>
    </row>
    <row r="136" ht="12.75" customHeight="1">
      <c r="A136" s="309"/>
      <c r="B136" s="309"/>
      <c r="C136" s="309"/>
      <c r="D136" s="309"/>
      <c r="E136" s="309"/>
      <c r="F136" s="309"/>
      <c r="G136" s="309"/>
      <c r="H136" s="309"/>
      <c r="I136" s="309"/>
      <c r="J136" s="309"/>
      <c r="K136" s="309"/>
      <c r="L136" s="309"/>
      <c r="M136" s="309"/>
      <c r="N136" s="309"/>
      <c r="O136" s="309"/>
      <c r="P136" s="309"/>
      <c r="Q136" s="309"/>
      <c r="R136" s="309"/>
      <c r="S136" s="309"/>
      <c r="T136" s="309"/>
      <c r="U136" s="309"/>
      <c r="V136" s="309"/>
      <c r="W136" s="309"/>
      <c r="X136" s="309"/>
      <c r="Y136" s="309"/>
      <c r="Z136" s="309"/>
    </row>
    <row r="137" ht="12.75" customHeight="1">
      <c r="A137" s="309"/>
      <c r="B137" s="309"/>
      <c r="C137" s="309"/>
      <c r="D137" s="309"/>
      <c r="E137" s="309"/>
      <c r="F137" s="309"/>
      <c r="G137" s="309"/>
      <c r="H137" s="309"/>
      <c r="I137" s="309"/>
      <c r="J137" s="309"/>
      <c r="K137" s="309"/>
      <c r="L137" s="309"/>
      <c r="M137" s="309"/>
      <c r="N137" s="309"/>
      <c r="O137" s="309"/>
      <c r="P137" s="309"/>
      <c r="Q137" s="309"/>
      <c r="R137" s="309"/>
      <c r="S137" s="309"/>
      <c r="T137" s="309"/>
      <c r="U137" s="309"/>
      <c r="V137" s="309"/>
      <c r="W137" s="309"/>
      <c r="X137" s="309"/>
      <c r="Y137" s="309"/>
      <c r="Z137" s="309"/>
    </row>
    <row r="138" ht="12.75" customHeight="1">
      <c r="A138" s="309"/>
      <c r="B138" s="309"/>
      <c r="C138" s="309"/>
      <c r="D138" s="309"/>
      <c r="E138" s="309"/>
      <c r="F138" s="309"/>
      <c r="G138" s="309"/>
      <c r="H138" s="309"/>
      <c r="I138" s="309"/>
      <c r="J138" s="309"/>
      <c r="K138" s="309"/>
      <c r="L138" s="309"/>
      <c r="M138" s="309"/>
      <c r="N138" s="309"/>
      <c r="O138" s="309"/>
      <c r="P138" s="309"/>
      <c r="Q138" s="309"/>
      <c r="R138" s="309"/>
      <c r="S138" s="309"/>
      <c r="T138" s="309"/>
      <c r="U138" s="309"/>
      <c r="V138" s="309"/>
      <c r="W138" s="309"/>
      <c r="X138" s="309"/>
      <c r="Y138" s="309"/>
      <c r="Z138" s="309"/>
    </row>
    <row r="139" ht="12.75" customHeight="1">
      <c r="A139" s="309"/>
      <c r="B139" s="309"/>
      <c r="C139" s="309"/>
      <c r="D139" s="309"/>
      <c r="E139" s="309"/>
      <c r="F139" s="309"/>
      <c r="G139" s="309"/>
      <c r="H139" s="309"/>
      <c r="I139" s="309"/>
      <c r="J139" s="309"/>
      <c r="K139" s="309"/>
      <c r="L139" s="309"/>
      <c r="M139" s="309"/>
      <c r="N139" s="309"/>
      <c r="O139" s="309"/>
      <c r="P139" s="309"/>
      <c r="Q139" s="309"/>
      <c r="R139" s="309"/>
      <c r="S139" s="309"/>
      <c r="T139" s="309"/>
      <c r="U139" s="309"/>
      <c r="V139" s="309"/>
      <c r="W139" s="309"/>
      <c r="X139" s="309"/>
      <c r="Y139" s="309"/>
      <c r="Z139" s="309"/>
    </row>
    <row r="140" ht="12.75" customHeight="1">
      <c r="A140" s="309"/>
      <c r="B140" s="309"/>
      <c r="C140" s="309"/>
      <c r="D140" s="309"/>
      <c r="E140" s="309"/>
      <c r="F140" s="309"/>
      <c r="G140" s="309"/>
      <c r="H140" s="309"/>
      <c r="I140" s="309"/>
      <c r="J140" s="309"/>
      <c r="K140" s="309"/>
      <c r="L140" s="309"/>
      <c r="M140" s="309"/>
      <c r="N140" s="309"/>
      <c r="O140" s="309"/>
      <c r="P140" s="309"/>
      <c r="Q140" s="309"/>
      <c r="R140" s="309"/>
      <c r="S140" s="309"/>
      <c r="T140" s="309"/>
      <c r="U140" s="309"/>
      <c r="V140" s="309"/>
      <c r="W140" s="309"/>
      <c r="X140" s="309"/>
      <c r="Y140" s="309"/>
      <c r="Z140" s="309"/>
    </row>
    <row r="141" ht="12.75" customHeight="1">
      <c r="A141" s="309"/>
      <c r="B141" s="309"/>
      <c r="C141" s="309"/>
      <c r="D141" s="309"/>
      <c r="E141" s="309"/>
      <c r="F141" s="309"/>
      <c r="G141" s="309"/>
      <c r="H141" s="309"/>
      <c r="I141" s="309"/>
      <c r="J141" s="309"/>
      <c r="K141" s="309"/>
      <c r="L141" s="309"/>
      <c r="M141" s="309"/>
      <c r="N141" s="309"/>
      <c r="O141" s="309"/>
      <c r="P141" s="309"/>
      <c r="Q141" s="309"/>
      <c r="R141" s="309"/>
      <c r="S141" s="309"/>
      <c r="T141" s="309"/>
      <c r="U141" s="309"/>
      <c r="V141" s="309"/>
      <c r="W141" s="309"/>
      <c r="X141" s="309"/>
      <c r="Y141" s="309"/>
      <c r="Z141" s="309"/>
    </row>
    <row r="142" ht="12.75" customHeight="1">
      <c r="A142" s="309"/>
      <c r="B142" s="309"/>
      <c r="C142" s="309"/>
      <c r="D142" s="309"/>
      <c r="E142" s="309"/>
      <c r="F142" s="309"/>
      <c r="G142" s="309"/>
      <c r="H142" s="309"/>
      <c r="I142" s="309"/>
      <c r="J142" s="309"/>
      <c r="K142" s="309"/>
      <c r="L142" s="309"/>
      <c r="M142" s="309"/>
      <c r="N142" s="309"/>
      <c r="O142" s="309"/>
      <c r="P142" s="309"/>
      <c r="Q142" s="309"/>
      <c r="R142" s="309"/>
      <c r="S142" s="309"/>
      <c r="T142" s="309"/>
      <c r="U142" s="309"/>
      <c r="V142" s="309"/>
      <c r="W142" s="309"/>
      <c r="X142" s="309"/>
      <c r="Y142" s="309"/>
      <c r="Z142" s="309"/>
    </row>
    <row r="143" ht="12.75" customHeight="1">
      <c r="A143" s="309"/>
      <c r="B143" s="309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</row>
    <row r="144" ht="12.75" customHeight="1">
      <c r="A144" s="309"/>
      <c r="B144" s="309"/>
      <c r="C144" s="309"/>
      <c r="D144" s="309"/>
      <c r="E144" s="309"/>
      <c r="F144" s="309"/>
      <c r="G144" s="309"/>
      <c r="H144" s="309"/>
      <c r="I144" s="309"/>
      <c r="J144" s="309"/>
      <c r="K144" s="309"/>
      <c r="L144" s="309"/>
      <c r="M144" s="309"/>
      <c r="N144" s="309"/>
      <c r="O144" s="309"/>
      <c r="P144" s="309"/>
      <c r="Q144" s="309"/>
      <c r="R144" s="309"/>
      <c r="S144" s="309"/>
      <c r="T144" s="309"/>
      <c r="U144" s="309"/>
      <c r="V144" s="309"/>
      <c r="W144" s="309"/>
      <c r="X144" s="309"/>
      <c r="Y144" s="309"/>
      <c r="Z144" s="309"/>
    </row>
    <row r="145" ht="12.75" customHeight="1">
      <c r="A145" s="309"/>
      <c r="B145" s="309"/>
      <c r="C145" s="309"/>
      <c r="D145" s="309"/>
      <c r="E145" s="309"/>
      <c r="F145" s="309"/>
      <c r="G145" s="309"/>
      <c r="H145" s="309"/>
      <c r="I145" s="309"/>
      <c r="J145" s="309"/>
      <c r="K145" s="309"/>
      <c r="L145" s="309"/>
      <c r="M145" s="309"/>
      <c r="N145" s="309"/>
      <c r="O145" s="309"/>
      <c r="P145" s="309"/>
      <c r="Q145" s="309"/>
      <c r="R145" s="309"/>
      <c r="S145" s="309"/>
      <c r="T145" s="309"/>
      <c r="U145" s="309"/>
      <c r="V145" s="309"/>
      <c r="W145" s="309"/>
      <c r="X145" s="309"/>
      <c r="Y145" s="309"/>
      <c r="Z145" s="309"/>
    </row>
    <row r="146" ht="12.75" customHeight="1">
      <c r="A146" s="309"/>
      <c r="B146" s="309"/>
      <c r="C146" s="309"/>
      <c r="D146" s="309"/>
      <c r="E146" s="309"/>
      <c r="F146" s="309"/>
      <c r="G146" s="309"/>
      <c r="H146" s="309"/>
      <c r="I146" s="309"/>
      <c r="J146" s="309"/>
      <c r="K146" s="309"/>
      <c r="L146" s="309"/>
      <c r="M146" s="309"/>
      <c r="N146" s="309"/>
      <c r="O146" s="309"/>
      <c r="P146" s="309"/>
      <c r="Q146" s="309"/>
      <c r="R146" s="309"/>
      <c r="S146" s="309"/>
      <c r="T146" s="309"/>
      <c r="U146" s="309"/>
      <c r="V146" s="309"/>
      <c r="W146" s="309"/>
      <c r="X146" s="309"/>
      <c r="Y146" s="309"/>
      <c r="Z146" s="309"/>
    </row>
    <row r="147" ht="12.75" customHeight="1">
      <c r="A147" s="309"/>
      <c r="B147" s="309"/>
      <c r="C147" s="309"/>
      <c r="D147" s="309"/>
      <c r="E147" s="309"/>
      <c r="F147" s="309"/>
      <c r="G147" s="309"/>
      <c r="H147" s="309"/>
      <c r="I147" s="309"/>
      <c r="J147" s="309"/>
      <c r="K147" s="309"/>
      <c r="L147" s="309"/>
      <c r="M147" s="309"/>
      <c r="N147" s="309"/>
      <c r="O147" s="309"/>
      <c r="P147" s="309"/>
      <c r="Q147" s="309"/>
      <c r="R147" s="309"/>
      <c r="S147" s="309"/>
      <c r="T147" s="309"/>
      <c r="U147" s="309"/>
      <c r="V147" s="309"/>
      <c r="W147" s="309"/>
      <c r="X147" s="309"/>
      <c r="Y147" s="309"/>
      <c r="Z147" s="309"/>
    </row>
    <row r="148" ht="12.75" customHeight="1">
      <c r="A148" s="309"/>
      <c r="B148" s="309"/>
      <c r="C148" s="309"/>
      <c r="D148" s="309"/>
      <c r="E148" s="309"/>
      <c r="F148" s="309"/>
      <c r="G148" s="309"/>
      <c r="H148" s="309"/>
      <c r="I148" s="309"/>
      <c r="J148" s="309"/>
      <c r="K148" s="309"/>
      <c r="L148" s="309"/>
      <c r="M148" s="309"/>
      <c r="N148" s="309"/>
      <c r="O148" s="309"/>
      <c r="P148" s="309"/>
      <c r="Q148" s="309"/>
      <c r="R148" s="309"/>
      <c r="S148" s="309"/>
      <c r="T148" s="309"/>
      <c r="U148" s="309"/>
      <c r="V148" s="309"/>
      <c r="W148" s="309"/>
      <c r="X148" s="309"/>
      <c r="Y148" s="309"/>
      <c r="Z148" s="309"/>
    </row>
    <row r="149" ht="12.75" customHeight="1">
      <c r="A149" s="309"/>
      <c r="B149" s="309"/>
      <c r="C149" s="309"/>
      <c r="D149" s="309"/>
      <c r="E149" s="309"/>
      <c r="F149" s="309"/>
      <c r="G149" s="309"/>
      <c r="H149" s="309"/>
      <c r="I149" s="309"/>
      <c r="J149" s="309"/>
      <c r="K149" s="309"/>
      <c r="L149" s="309"/>
      <c r="M149" s="309"/>
      <c r="N149" s="309"/>
      <c r="O149" s="309"/>
      <c r="P149" s="309"/>
      <c r="Q149" s="309"/>
      <c r="R149" s="309"/>
      <c r="S149" s="309"/>
      <c r="T149" s="309"/>
      <c r="U149" s="309"/>
      <c r="V149" s="309"/>
      <c r="W149" s="309"/>
      <c r="X149" s="309"/>
      <c r="Y149" s="309"/>
      <c r="Z149" s="309"/>
    </row>
    <row r="150" ht="12.75" customHeight="1">
      <c r="A150" s="309"/>
      <c r="B150" s="309"/>
      <c r="C150" s="309"/>
      <c r="D150" s="309"/>
      <c r="E150" s="309"/>
      <c r="F150" s="309"/>
      <c r="G150" s="309"/>
      <c r="H150" s="309"/>
      <c r="I150" s="309"/>
      <c r="J150" s="309"/>
      <c r="K150" s="309"/>
      <c r="L150" s="309"/>
      <c r="M150" s="309"/>
      <c r="N150" s="309"/>
      <c r="O150" s="309"/>
      <c r="P150" s="309"/>
      <c r="Q150" s="309"/>
      <c r="R150" s="309"/>
      <c r="S150" s="309"/>
      <c r="T150" s="309"/>
      <c r="U150" s="309"/>
      <c r="V150" s="309"/>
      <c r="W150" s="309"/>
      <c r="X150" s="309"/>
      <c r="Y150" s="309"/>
      <c r="Z150" s="309"/>
    </row>
    <row r="151" ht="12.75" customHeight="1">
      <c r="A151" s="309"/>
      <c r="B151" s="309"/>
      <c r="C151" s="309"/>
      <c r="D151" s="309"/>
      <c r="E151" s="309"/>
      <c r="F151" s="309"/>
      <c r="G151" s="309"/>
      <c r="H151" s="309"/>
      <c r="I151" s="309"/>
      <c r="J151" s="309"/>
      <c r="K151" s="309"/>
      <c r="L151" s="309"/>
      <c r="M151" s="309"/>
      <c r="N151" s="309"/>
      <c r="O151" s="309"/>
      <c r="P151" s="309"/>
      <c r="Q151" s="309"/>
      <c r="R151" s="309"/>
      <c r="S151" s="309"/>
      <c r="T151" s="309"/>
      <c r="U151" s="309"/>
      <c r="V151" s="309"/>
      <c r="W151" s="309"/>
      <c r="X151" s="309"/>
      <c r="Y151" s="309"/>
      <c r="Z151" s="309"/>
    </row>
    <row r="152" ht="12.75" customHeight="1">
      <c r="A152" s="309"/>
      <c r="B152" s="309"/>
      <c r="C152" s="309"/>
      <c r="D152" s="309"/>
      <c r="E152" s="309"/>
      <c r="F152" s="309"/>
      <c r="G152" s="309"/>
      <c r="H152" s="309"/>
      <c r="I152" s="309"/>
      <c r="J152" s="309"/>
      <c r="K152" s="309"/>
      <c r="L152" s="309"/>
      <c r="M152" s="309"/>
      <c r="N152" s="309"/>
      <c r="O152" s="309"/>
      <c r="P152" s="309"/>
      <c r="Q152" s="309"/>
      <c r="R152" s="309"/>
      <c r="S152" s="309"/>
      <c r="T152" s="309"/>
      <c r="U152" s="309"/>
      <c r="V152" s="309"/>
      <c r="W152" s="309"/>
      <c r="X152" s="309"/>
      <c r="Y152" s="309"/>
      <c r="Z152" s="309"/>
    </row>
    <row r="153" ht="12.75" customHeight="1">
      <c r="A153" s="309"/>
      <c r="B153" s="309"/>
      <c r="C153" s="309"/>
      <c r="D153" s="309"/>
      <c r="E153" s="309"/>
      <c r="F153" s="309"/>
      <c r="G153" s="309"/>
      <c r="H153" s="309"/>
      <c r="I153" s="309"/>
      <c r="J153" s="309"/>
      <c r="K153" s="309"/>
      <c r="L153" s="309"/>
      <c r="M153" s="309"/>
      <c r="N153" s="309"/>
      <c r="O153" s="309"/>
      <c r="P153" s="309"/>
      <c r="Q153" s="309"/>
      <c r="R153" s="309"/>
      <c r="S153" s="309"/>
      <c r="T153" s="309"/>
      <c r="U153" s="309"/>
      <c r="V153" s="309"/>
      <c r="W153" s="309"/>
      <c r="X153" s="309"/>
      <c r="Y153" s="309"/>
      <c r="Z153" s="309"/>
    </row>
    <row r="154" ht="12.75" customHeight="1">
      <c r="A154" s="309"/>
      <c r="B154" s="309"/>
      <c r="C154" s="309"/>
      <c r="D154" s="309"/>
      <c r="E154" s="309"/>
      <c r="F154" s="309"/>
      <c r="G154" s="309"/>
      <c r="H154" s="309"/>
      <c r="I154" s="309"/>
      <c r="J154" s="309"/>
      <c r="K154" s="309"/>
      <c r="L154" s="309"/>
      <c r="M154" s="309"/>
      <c r="N154" s="309"/>
      <c r="O154" s="309"/>
      <c r="P154" s="309"/>
      <c r="Q154" s="309"/>
      <c r="R154" s="309"/>
      <c r="S154" s="309"/>
      <c r="T154" s="309"/>
      <c r="U154" s="309"/>
      <c r="V154" s="309"/>
      <c r="W154" s="309"/>
      <c r="X154" s="309"/>
      <c r="Y154" s="309"/>
      <c r="Z154" s="309"/>
    </row>
    <row r="155" ht="12.75" customHeight="1">
      <c r="A155" s="309"/>
      <c r="B155" s="309"/>
      <c r="C155" s="309"/>
      <c r="D155" s="309"/>
      <c r="E155" s="309"/>
      <c r="F155" s="309"/>
      <c r="G155" s="309"/>
      <c r="H155" s="309"/>
      <c r="I155" s="309"/>
      <c r="J155" s="309"/>
      <c r="K155" s="309"/>
      <c r="L155" s="309"/>
      <c r="M155" s="309"/>
      <c r="N155" s="309"/>
      <c r="O155" s="309"/>
      <c r="P155" s="309"/>
      <c r="Q155" s="309"/>
      <c r="R155" s="309"/>
      <c r="S155" s="309"/>
      <c r="T155" s="309"/>
      <c r="U155" s="309"/>
      <c r="V155" s="309"/>
      <c r="W155" s="309"/>
      <c r="X155" s="309"/>
      <c r="Y155" s="309"/>
      <c r="Z155" s="309"/>
    </row>
    <row r="156" ht="12.75" customHeight="1">
      <c r="A156" s="309"/>
      <c r="B156" s="309"/>
      <c r="C156" s="309"/>
      <c r="D156" s="309"/>
      <c r="E156" s="309"/>
      <c r="F156" s="309"/>
      <c r="G156" s="309"/>
      <c r="H156" s="309"/>
      <c r="I156" s="309"/>
      <c r="J156" s="309"/>
      <c r="K156" s="309"/>
      <c r="L156" s="309"/>
      <c r="M156" s="309"/>
      <c r="N156" s="309"/>
      <c r="O156" s="309"/>
      <c r="P156" s="309"/>
      <c r="Q156" s="309"/>
      <c r="R156" s="309"/>
      <c r="S156" s="309"/>
      <c r="T156" s="309"/>
      <c r="U156" s="309"/>
      <c r="V156" s="309"/>
      <c r="W156" s="309"/>
      <c r="X156" s="309"/>
      <c r="Y156" s="309"/>
      <c r="Z156" s="309"/>
    </row>
    <row r="157" ht="12.75" customHeight="1">
      <c r="A157" s="309"/>
      <c r="B157" s="309"/>
      <c r="C157" s="309"/>
      <c r="D157" s="309"/>
      <c r="E157" s="309"/>
      <c r="F157" s="309"/>
      <c r="G157" s="309"/>
      <c r="H157" s="309"/>
      <c r="I157" s="309"/>
      <c r="J157" s="309"/>
      <c r="K157" s="309"/>
      <c r="L157" s="309"/>
      <c r="M157" s="309"/>
      <c r="N157" s="309"/>
      <c r="O157" s="309"/>
      <c r="P157" s="309"/>
      <c r="Q157" s="309"/>
      <c r="R157" s="309"/>
      <c r="S157" s="309"/>
      <c r="T157" s="309"/>
      <c r="U157" s="309"/>
      <c r="V157" s="309"/>
      <c r="W157" s="309"/>
      <c r="X157" s="309"/>
      <c r="Y157" s="309"/>
      <c r="Z157" s="309"/>
    </row>
    <row r="158" ht="12.75" customHeight="1">
      <c r="A158" s="309"/>
      <c r="B158" s="309"/>
      <c r="C158" s="309"/>
      <c r="D158" s="309"/>
      <c r="E158" s="309"/>
      <c r="F158" s="309"/>
      <c r="G158" s="309"/>
      <c r="H158" s="309"/>
      <c r="I158" s="309"/>
      <c r="J158" s="309"/>
      <c r="K158" s="309"/>
      <c r="L158" s="309"/>
      <c r="M158" s="309"/>
      <c r="N158" s="309"/>
      <c r="O158" s="309"/>
      <c r="P158" s="309"/>
      <c r="Q158" s="309"/>
      <c r="R158" s="309"/>
      <c r="S158" s="309"/>
      <c r="T158" s="309"/>
      <c r="U158" s="309"/>
      <c r="V158" s="309"/>
      <c r="W158" s="309"/>
      <c r="X158" s="309"/>
      <c r="Y158" s="309"/>
      <c r="Z158" s="309"/>
    </row>
    <row r="159" ht="12.75" customHeight="1">
      <c r="A159" s="309"/>
      <c r="B159" s="309"/>
      <c r="C159" s="309"/>
      <c r="D159" s="309"/>
      <c r="E159" s="309"/>
      <c r="F159" s="309"/>
      <c r="G159" s="309"/>
      <c r="H159" s="309"/>
      <c r="I159" s="309"/>
      <c r="J159" s="309"/>
      <c r="K159" s="309"/>
      <c r="L159" s="309"/>
      <c r="M159" s="309"/>
      <c r="N159" s="309"/>
      <c r="O159" s="309"/>
      <c r="P159" s="309"/>
      <c r="Q159" s="309"/>
      <c r="R159" s="309"/>
      <c r="S159" s="309"/>
      <c r="T159" s="309"/>
      <c r="U159" s="309"/>
      <c r="V159" s="309"/>
      <c r="W159" s="309"/>
      <c r="X159" s="309"/>
      <c r="Y159" s="309"/>
      <c r="Z159" s="309"/>
    </row>
    <row r="160" ht="12.75" customHeight="1">
      <c r="A160" s="309"/>
      <c r="B160" s="309"/>
      <c r="C160" s="309"/>
      <c r="D160" s="309"/>
      <c r="E160" s="309"/>
      <c r="F160" s="309"/>
      <c r="G160" s="309"/>
      <c r="H160" s="309"/>
      <c r="I160" s="309"/>
      <c r="J160" s="309"/>
      <c r="K160" s="309"/>
      <c r="L160" s="309"/>
      <c r="M160" s="309"/>
      <c r="N160" s="309"/>
      <c r="O160" s="309"/>
      <c r="P160" s="309"/>
      <c r="Q160" s="309"/>
      <c r="R160" s="309"/>
      <c r="S160" s="309"/>
      <c r="T160" s="309"/>
      <c r="U160" s="309"/>
      <c r="V160" s="309"/>
      <c r="W160" s="309"/>
      <c r="X160" s="309"/>
      <c r="Y160" s="309"/>
      <c r="Z160" s="309"/>
    </row>
    <row r="161" ht="12.75" customHeight="1">
      <c r="A161" s="309"/>
      <c r="B161" s="309"/>
      <c r="C161" s="309"/>
      <c r="D161" s="309"/>
      <c r="E161" s="309"/>
      <c r="F161" s="309"/>
      <c r="G161" s="309"/>
      <c r="H161" s="309"/>
      <c r="I161" s="309"/>
      <c r="J161" s="309"/>
      <c r="K161" s="309"/>
      <c r="L161" s="309"/>
      <c r="M161" s="309"/>
      <c r="N161" s="309"/>
      <c r="O161" s="309"/>
      <c r="P161" s="309"/>
      <c r="Q161" s="309"/>
      <c r="R161" s="309"/>
      <c r="S161" s="309"/>
      <c r="T161" s="309"/>
      <c r="U161" s="309"/>
      <c r="V161" s="309"/>
      <c r="W161" s="309"/>
      <c r="X161" s="309"/>
      <c r="Y161" s="309"/>
      <c r="Z161" s="309"/>
    </row>
    <row r="162" ht="12.75" customHeight="1">
      <c r="A162" s="309"/>
      <c r="B162" s="309"/>
      <c r="C162" s="309"/>
      <c r="D162" s="309"/>
      <c r="E162" s="309"/>
      <c r="F162" s="309"/>
      <c r="G162" s="309"/>
      <c r="H162" s="309"/>
      <c r="I162" s="309"/>
      <c r="J162" s="309"/>
      <c r="K162" s="309"/>
      <c r="L162" s="309"/>
      <c r="M162" s="309"/>
      <c r="N162" s="309"/>
      <c r="O162" s="309"/>
      <c r="P162" s="309"/>
      <c r="Q162" s="309"/>
      <c r="R162" s="309"/>
      <c r="S162" s="309"/>
      <c r="T162" s="309"/>
      <c r="U162" s="309"/>
      <c r="V162" s="309"/>
      <c r="W162" s="309"/>
      <c r="X162" s="309"/>
      <c r="Y162" s="309"/>
      <c r="Z162" s="309"/>
    </row>
    <row r="163" ht="12.75" customHeight="1">
      <c r="A163" s="309"/>
      <c r="B163" s="309"/>
      <c r="C163" s="309"/>
      <c r="D163" s="309"/>
      <c r="E163" s="309"/>
      <c r="F163" s="309"/>
      <c r="G163" s="309"/>
      <c r="H163" s="309"/>
      <c r="I163" s="309"/>
      <c r="J163" s="309"/>
      <c r="K163" s="309"/>
      <c r="L163" s="309"/>
      <c r="M163" s="309"/>
      <c r="N163" s="309"/>
      <c r="O163" s="309"/>
      <c r="P163" s="309"/>
      <c r="Q163" s="309"/>
      <c r="R163" s="309"/>
      <c r="S163" s="309"/>
      <c r="T163" s="309"/>
      <c r="U163" s="309"/>
      <c r="V163" s="309"/>
      <c r="W163" s="309"/>
      <c r="X163" s="309"/>
      <c r="Y163" s="309"/>
      <c r="Z163" s="309"/>
    </row>
    <row r="164" ht="12.75" customHeight="1">
      <c r="A164" s="309"/>
      <c r="B164" s="309"/>
      <c r="C164" s="309"/>
      <c r="D164" s="309"/>
      <c r="E164" s="309"/>
      <c r="F164" s="309"/>
      <c r="G164" s="309"/>
      <c r="H164" s="309"/>
      <c r="I164" s="309"/>
      <c r="J164" s="309"/>
      <c r="K164" s="309"/>
      <c r="L164" s="309"/>
      <c r="M164" s="309"/>
      <c r="N164" s="309"/>
      <c r="O164" s="309"/>
      <c r="P164" s="309"/>
      <c r="Q164" s="309"/>
      <c r="R164" s="309"/>
      <c r="S164" s="309"/>
      <c r="T164" s="309"/>
      <c r="U164" s="309"/>
      <c r="V164" s="309"/>
      <c r="W164" s="309"/>
      <c r="X164" s="309"/>
      <c r="Y164" s="309"/>
      <c r="Z164" s="309"/>
    </row>
    <row r="165" ht="12.75" customHeight="1">
      <c r="A165" s="309"/>
      <c r="B165" s="309"/>
      <c r="C165" s="309"/>
      <c r="D165" s="309"/>
      <c r="E165" s="309"/>
      <c r="F165" s="309"/>
      <c r="G165" s="309"/>
      <c r="H165" s="309"/>
      <c r="I165" s="309"/>
      <c r="J165" s="309"/>
      <c r="K165" s="309"/>
      <c r="L165" s="309"/>
      <c r="M165" s="309"/>
      <c r="N165" s="309"/>
      <c r="O165" s="309"/>
      <c r="P165" s="309"/>
      <c r="Q165" s="309"/>
      <c r="R165" s="309"/>
      <c r="S165" s="309"/>
      <c r="T165" s="309"/>
      <c r="U165" s="309"/>
      <c r="V165" s="309"/>
      <c r="W165" s="309"/>
      <c r="X165" s="309"/>
      <c r="Y165" s="309"/>
      <c r="Z165" s="309"/>
    </row>
    <row r="166" ht="12.75" customHeight="1">
      <c r="A166" s="309"/>
      <c r="B166" s="309"/>
      <c r="C166" s="309"/>
      <c r="D166" s="309"/>
      <c r="E166" s="309"/>
      <c r="F166" s="309"/>
      <c r="G166" s="309"/>
      <c r="H166" s="309"/>
      <c r="I166" s="309"/>
      <c r="J166" s="309"/>
      <c r="K166" s="309"/>
      <c r="L166" s="309"/>
      <c r="M166" s="309"/>
      <c r="N166" s="309"/>
      <c r="O166" s="309"/>
      <c r="P166" s="309"/>
      <c r="Q166" s="309"/>
      <c r="R166" s="309"/>
      <c r="S166" s="309"/>
      <c r="T166" s="309"/>
      <c r="U166" s="309"/>
      <c r="V166" s="309"/>
      <c r="W166" s="309"/>
      <c r="X166" s="309"/>
      <c r="Y166" s="309"/>
      <c r="Z166" s="309"/>
    </row>
    <row r="167" ht="12.75" customHeight="1">
      <c r="A167" s="309"/>
      <c r="B167" s="309"/>
      <c r="C167" s="309"/>
      <c r="D167" s="309"/>
      <c r="E167" s="309"/>
      <c r="F167" s="309"/>
      <c r="G167" s="309"/>
      <c r="H167" s="309"/>
      <c r="I167" s="309"/>
      <c r="J167" s="309"/>
      <c r="K167" s="309"/>
      <c r="L167" s="309"/>
      <c r="M167" s="309"/>
      <c r="N167" s="309"/>
      <c r="O167" s="309"/>
      <c r="P167" s="309"/>
      <c r="Q167" s="309"/>
      <c r="R167" s="309"/>
      <c r="S167" s="309"/>
      <c r="T167" s="309"/>
      <c r="U167" s="309"/>
      <c r="V167" s="309"/>
      <c r="W167" s="309"/>
      <c r="X167" s="309"/>
      <c r="Y167" s="309"/>
      <c r="Z167" s="309"/>
    </row>
    <row r="168" ht="12.75" customHeight="1">
      <c r="A168" s="309"/>
      <c r="B168" s="309"/>
      <c r="C168" s="309"/>
      <c r="D168" s="309"/>
      <c r="E168" s="309"/>
      <c r="F168" s="309"/>
      <c r="G168" s="309"/>
      <c r="H168" s="309"/>
      <c r="I168" s="309"/>
      <c r="J168" s="309"/>
      <c r="K168" s="309"/>
      <c r="L168" s="309"/>
      <c r="M168" s="309"/>
      <c r="N168" s="309"/>
      <c r="O168" s="309"/>
      <c r="P168" s="309"/>
      <c r="Q168" s="309"/>
      <c r="R168" s="309"/>
      <c r="S168" s="309"/>
      <c r="T168" s="309"/>
      <c r="U168" s="309"/>
      <c r="V168" s="309"/>
      <c r="W168" s="309"/>
      <c r="X168" s="309"/>
      <c r="Y168" s="309"/>
      <c r="Z168" s="309"/>
    </row>
    <row r="169" ht="12.75" customHeight="1">
      <c r="A169" s="309"/>
      <c r="B169" s="309"/>
      <c r="C169" s="309"/>
      <c r="D169" s="309"/>
      <c r="E169" s="309"/>
      <c r="F169" s="309"/>
      <c r="G169" s="309"/>
      <c r="H169" s="309"/>
      <c r="I169" s="309"/>
      <c r="J169" s="309"/>
      <c r="K169" s="309"/>
      <c r="L169" s="309"/>
      <c r="M169" s="309"/>
      <c r="N169" s="309"/>
      <c r="O169" s="309"/>
      <c r="P169" s="309"/>
      <c r="Q169" s="309"/>
      <c r="R169" s="309"/>
      <c r="S169" s="309"/>
      <c r="T169" s="309"/>
      <c r="U169" s="309"/>
      <c r="V169" s="309"/>
      <c r="W169" s="309"/>
      <c r="X169" s="309"/>
      <c r="Y169" s="309"/>
      <c r="Z169" s="309"/>
    </row>
    <row r="170" ht="12.75" customHeight="1">
      <c r="A170" s="309"/>
      <c r="B170" s="309"/>
      <c r="C170" s="309"/>
      <c r="D170" s="309"/>
      <c r="E170" s="309"/>
      <c r="F170" s="309"/>
      <c r="G170" s="309"/>
      <c r="H170" s="309"/>
      <c r="I170" s="309"/>
      <c r="J170" s="309"/>
      <c r="K170" s="309"/>
      <c r="L170" s="309"/>
      <c r="M170" s="309"/>
      <c r="N170" s="309"/>
      <c r="O170" s="309"/>
      <c r="P170" s="309"/>
      <c r="Q170" s="309"/>
      <c r="R170" s="309"/>
      <c r="S170" s="309"/>
      <c r="T170" s="309"/>
      <c r="U170" s="309"/>
      <c r="V170" s="309"/>
      <c r="W170" s="309"/>
      <c r="X170" s="309"/>
      <c r="Y170" s="309"/>
      <c r="Z170" s="309"/>
    </row>
    <row r="171" ht="12.75" customHeight="1">
      <c r="A171" s="309"/>
      <c r="B171" s="309"/>
      <c r="C171" s="309"/>
      <c r="D171" s="309"/>
      <c r="E171" s="309"/>
      <c r="F171" s="309"/>
      <c r="G171" s="309"/>
      <c r="H171" s="309"/>
      <c r="I171" s="309"/>
      <c r="J171" s="309"/>
      <c r="K171" s="309"/>
      <c r="L171" s="309"/>
      <c r="M171" s="309"/>
      <c r="N171" s="309"/>
      <c r="O171" s="309"/>
      <c r="P171" s="309"/>
      <c r="Q171" s="309"/>
      <c r="R171" s="309"/>
      <c r="S171" s="309"/>
      <c r="T171" s="309"/>
      <c r="U171" s="309"/>
      <c r="V171" s="309"/>
      <c r="W171" s="309"/>
      <c r="X171" s="309"/>
      <c r="Y171" s="309"/>
      <c r="Z171" s="309"/>
    </row>
    <row r="172" ht="12.75" customHeight="1">
      <c r="A172" s="309"/>
      <c r="B172" s="309"/>
      <c r="C172" s="309"/>
      <c r="D172" s="309"/>
      <c r="E172" s="309"/>
      <c r="F172" s="309"/>
      <c r="G172" s="309"/>
      <c r="H172" s="309"/>
      <c r="I172" s="309"/>
      <c r="J172" s="309"/>
      <c r="K172" s="309"/>
      <c r="L172" s="309"/>
      <c r="M172" s="309"/>
      <c r="N172" s="309"/>
      <c r="O172" s="309"/>
      <c r="P172" s="309"/>
      <c r="Q172" s="309"/>
      <c r="R172" s="309"/>
      <c r="S172" s="309"/>
      <c r="T172" s="309"/>
      <c r="U172" s="309"/>
      <c r="V172" s="309"/>
      <c r="W172" s="309"/>
      <c r="X172" s="309"/>
      <c r="Y172" s="309"/>
      <c r="Z172" s="309"/>
    </row>
    <row r="173" ht="12.75" customHeight="1">
      <c r="A173" s="309"/>
      <c r="B173" s="309"/>
      <c r="C173" s="309"/>
      <c r="D173" s="309"/>
      <c r="E173" s="309"/>
      <c r="F173" s="309"/>
      <c r="G173" s="309"/>
      <c r="H173" s="309"/>
      <c r="I173" s="309"/>
      <c r="J173" s="309"/>
      <c r="K173" s="309"/>
      <c r="L173" s="309"/>
      <c r="M173" s="309"/>
      <c r="N173" s="309"/>
      <c r="O173" s="309"/>
      <c r="P173" s="309"/>
      <c r="Q173" s="309"/>
      <c r="R173" s="309"/>
      <c r="S173" s="309"/>
      <c r="T173" s="309"/>
      <c r="U173" s="309"/>
      <c r="V173" s="309"/>
      <c r="W173" s="309"/>
      <c r="X173" s="309"/>
      <c r="Y173" s="309"/>
      <c r="Z173" s="309"/>
    </row>
    <row r="174" ht="12.75" customHeight="1">
      <c r="A174" s="309"/>
      <c r="B174" s="309"/>
      <c r="C174" s="309"/>
      <c r="D174" s="309"/>
      <c r="E174" s="309"/>
      <c r="F174" s="309"/>
      <c r="G174" s="309"/>
      <c r="H174" s="309"/>
      <c r="I174" s="309"/>
      <c r="J174" s="309"/>
      <c r="K174" s="309"/>
      <c r="L174" s="309"/>
      <c r="M174" s="309"/>
      <c r="N174" s="309"/>
      <c r="O174" s="309"/>
      <c r="P174" s="309"/>
      <c r="Q174" s="309"/>
      <c r="R174" s="309"/>
      <c r="S174" s="309"/>
      <c r="T174" s="309"/>
      <c r="U174" s="309"/>
      <c r="V174" s="309"/>
      <c r="W174" s="309"/>
      <c r="X174" s="309"/>
      <c r="Y174" s="309"/>
      <c r="Z174" s="309"/>
    </row>
    <row r="175" ht="12.75" customHeight="1">
      <c r="A175" s="309"/>
      <c r="B175" s="309"/>
      <c r="C175" s="309"/>
      <c r="D175" s="309"/>
      <c r="E175" s="309"/>
      <c r="F175" s="309"/>
      <c r="G175" s="309"/>
      <c r="H175" s="309"/>
      <c r="I175" s="309"/>
      <c r="J175" s="309"/>
      <c r="K175" s="309"/>
      <c r="L175" s="309"/>
      <c r="M175" s="309"/>
      <c r="N175" s="309"/>
      <c r="O175" s="309"/>
      <c r="P175" s="309"/>
      <c r="Q175" s="309"/>
      <c r="R175" s="309"/>
      <c r="S175" s="309"/>
      <c r="T175" s="309"/>
      <c r="U175" s="309"/>
      <c r="V175" s="309"/>
      <c r="W175" s="309"/>
      <c r="X175" s="309"/>
      <c r="Y175" s="309"/>
      <c r="Z175" s="309"/>
    </row>
    <row r="176" ht="12.75" customHeight="1">
      <c r="A176" s="309"/>
      <c r="B176" s="309"/>
      <c r="C176" s="309"/>
      <c r="D176" s="309"/>
      <c r="E176" s="309"/>
      <c r="F176" s="309"/>
      <c r="G176" s="309"/>
      <c r="H176" s="309"/>
      <c r="I176" s="309"/>
      <c r="J176" s="309"/>
      <c r="K176" s="309"/>
      <c r="L176" s="309"/>
      <c r="M176" s="309"/>
      <c r="N176" s="309"/>
      <c r="O176" s="309"/>
      <c r="P176" s="309"/>
      <c r="Q176" s="309"/>
      <c r="R176" s="309"/>
      <c r="S176" s="309"/>
      <c r="T176" s="309"/>
      <c r="U176" s="309"/>
      <c r="V176" s="309"/>
      <c r="W176" s="309"/>
      <c r="X176" s="309"/>
      <c r="Y176" s="309"/>
      <c r="Z176" s="309"/>
    </row>
    <row r="177" ht="12.75" customHeight="1">
      <c r="A177" s="309"/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</row>
    <row r="178" ht="12.75" customHeight="1">
      <c r="A178" s="309"/>
      <c r="B178" s="309"/>
      <c r="C178" s="309"/>
      <c r="D178" s="309"/>
      <c r="E178" s="309"/>
      <c r="F178" s="309"/>
      <c r="G178" s="309"/>
      <c r="H178" s="309"/>
      <c r="I178" s="309"/>
      <c r="J178" s="309"/>
      <c r="K178" s="309"/>
      <c r="L178" s="309"/>
      <c r="M178" s="309"/>
      <c r="N178" s="309"/>
      <c r="O178" s="309"/>
      <c r="P178" s="309"/>
      <c r="Q178" s="309"/>
      <c r="R178" s="309"/>
      <c r="S178" s="309"/>
      <c r="T178" s="309"/>
      <c r="U178" s="309"/>
      <c r="V178" s="309"/>
      <c r="W178" s="309"/>
      <c r="X178" s="309"/>
      <c r="Y178" s="309"/>
      <c r="Z178" s="309"/>
    </row>
    <row r="179" ht="12.75" customHeight="1">
      <c r="A179" s="309"/>
      <c r="B179" s="309"/>
      <c r="C179" s="309"/>
      <c r="D179" s="309"/>
      <c r="E179" s="309"/>
      <c r="F179" s="309"/>
      <c r="G179" s="309"/>
      <c r="H179" s="309"/>
      <c r="I179" s="309"/>
      <c r="J179" s="309"/>
      <c r="K179" s="309"/>
      <c r="L179" s="309"/>
      <c r="M179" s="309"/>
      <c r="N179" s="309"/>
      <c r="O179" s="309"/>
      <c r="P179" s="309"/>
      <c r="Q179" s="309"/>
      <c r="R179" s="309"/>
      <c r="S179" s="309"/>
      <c r="T179" s="309"/>
      <c r="U179" s="309"/>
      <c r="V179" s="309"/>
      <c r="W179" s="309"/>
      <c r="X179" s="309"/>
      <c r="Y179" s="309"/>
      <c r="Z179" s="309"/>
    </row>
    <row r="180" ht="12.75" customHeight="1">
      <c r="A180" s="309"/>
      <c r="B180" s="309"/>
      <c r="C180" s="309"/>
      <c r="D180" s="309"/>
      <c r="E180" s="309"/>
      <c r="F180" s="309"/>
      <c r="G180" s="309"/>
      <c r="H180" s="309"/>
      <c r="I180" s="309"/>
      <c r="J180" s="309"/>
      <c r="K180" s="309"/>
      <c r="L180" s="309"/>
      <c r="M180" s="309"/>
      <c r="N180" s="309"/>
      <c r="O180" s="309"/>
      <c r="P180" s="309"/>
      <c r="Q180" s="309"/>
      <c r="R180" s="309"/>
      <c r="S180" s="309"/>
      <c r="T180" s="309"/>
      <c r="U180" s="309"/>
      <c r="V180" s="309"/>
      <c r="W180" s="309"/>
      <c r="X180" s="309"/>
      <c r="Y180" s="309"/>
      <c r="Z180" s="309"/>
    </row>
    <row r="181" ht="12.75" customHeight="1">
      <c r="A181" s="309"/>
      <c r="B181" s="309"/>
      <c r="C181" s="309"/>
      <c r="D181" s="309"/>
      <c r="E181" s="309"/>
      <c r="F181" s="309"/>
      <c r="G181" s="309"/>
      <c r="H181" s="309"/>
      <c r="I181" s="309"/>
      <c r="J181" s="309"/>
      <c r="K181" s="309"/>
      <c r="L181" s="309"/>
      <c r="M181" s="309"/>
      <c r="N181" s="309"/>
      <c r="O181" s="309"/>
      <c r="P181" s="309"/>
      <c r="Q181" s="309"/>
      <c r="R181" s="309"/>
      <c r="S181" s="309"/>
      <c r="T181" s="309"/>
      <c r="U181" s="309"/>
      <c r="V181" s="309"/>
      <c r="W181" s="309"/>
      <c r="X181" s="309"/>
      <c r="Y181" s="309"/>
      <c r="Z181" s="309"/>
    </row>
    <row r="182" ht="12.75" customHeight="1">
      <c r="A182" s="309"/>
      <c r="B182" s="309"/>
      <c r="C182" s="309"/>
      <c r="D182" s="309"/>
      <c r="E182" s="309"/>
      <c r="F182" s="309"/>
      <c r="G182" s="309"/>
      <c r="H182" s="309"/>
      <c r="I182" s="309"/>
      <c r="J182" s="309"/>
      <c r="K182" s="309"/>
      <c r="L182" s="309"/>
      <c r="M182" s="309"/>
      <c r="N182" s="309"/>
      <c r="O182" s="309"/>
      <c r="P182" s="309"/>
      <c r="Q182" s="309"/>
      <c r="R182" s="309"/>
      <c r="S182" s="309"/>
      <c r="T182" s="309"/>
      <c r="U182" s="309"/>
      <c r="V182" s="309"/>
      <c r="W182" s="309"/>
      <c r="X182" s="309"/>
      <c r="Y182" s="309"/>
      <c r="Z182" s="309"/>
    </row>
    <row r="183" ht="12.75" customHeight="1">
      <c r="A183" s="309"/>
      <c r="B183" s="309"/>
      <c r="C183" s="309"/>
      <c r="D183" s="309"/>
      <c r="E183" s="309"/>
      <c r="F183" s="309"/>
      <c r="G183" s="309"/>
      <c r="H183" s="309"/>
      <c r="I183" s="309"/>
      <c r="J183" s="309"/>
      <c r="K183" s="309"/>
      <c r="L183" s="309"/>
      <c r="M183" s="309"/>
      <c r="N183" s="309"/>
      <c r="O183" s="309"/>
      <c r="P183" s="309"/>
      <c r="Q183" s="309"/>
      <c r="R183" s="309"/>
      <c r="S183" s="309"/>
      <c r="T183" s="309"/>
      <c r="U183" s="309"/>
      <c r="V183" s="309"/>
      <c r="W183" s="309"/>
      <c r="X183" s="309"/>
      <c r="Y183" s="309"/>
      <c r="Z183" s="309"/>
    </row>
    <row r="184" ht="12.75" customHeight="1">
      <c r="A184" s="309"/>
      <c r="B184" s="309"/>
      <c r="C184" s="309"/>
      <c r="D184" s="309"/>
      <c r="E184" s="309"/>
      <c r="F184" s="309"/>
      <c r="G184" s="309"/>
      <c r="H184" s="309"/>
      <c r="I184" s="309"/>
      <c r="J184" s="309"/>
      <c r="K184" s="309"/>
      <c r="L184" s="309"/>
      <c r="M184" s="309"/>
      <c r="N184" s="309"/>
      <c r="O184" s="309"/>
      <c r="P184" s="309"/>
      <c r="Q184" s="309"/>
      <c r="R184" s="309"/>
      <c r="S184" s="309"/>
      <c r="T184" s="309"/>
      <c r="U184" s="309"/>
      <c r="V184" s="309"/>
      <c r="W184" s="309"/>
      <c r="X184" s="309"/>
      <c r="Y184" s="309"/>
      <c r="Z184" s="309"/>
    </row>
    <row r="185" ht="12.75" customHeight="1">
      <c r="A185" s="309"/>
      <c r="B185" s="309"/>
      <c r="C185" s="309"/>
      <c r="D185" s="309"/>
      <c r="E185" s="309"/>
      <c r="F185" s="309"/>
      <c r="G185" s="309"/>
      <c r="H185" s="309"/>
      <c r="I185" s="309"/>
      <c r="J185" s="309"/>
      <c r="K185" s="309"/>
      <c r="L185" s="309"/>
      <c r="M185" s="309"/>
      <c r="N185" s="309"/>
      <c r="O185" s="309"/>
      <c r="P185" s="309"/>
      <c r="Q185" s="309"/>
      <c r="R185" s="309"/>
      <c r="S185" s="309"/>
      <c r="T185" s="309"/>
      <c r="U185" s="309"/>
      <c r="V185" s="309"/>
      <c r="W185" s="309"/>
      <c r="X185" s="309"/>
      <c r="Y185" s="309"/>
      <c r="Z185" s="309"/>
    </row>
    <row r="186" ht="12.75" customHeight="1">
      <c r="A186" s="309"/>
      <c r="B186" s="309"/>
      <c r="C186" s="309"/>
      <c r="D186" s="309"/>
      <c r="E186" s="309"/>
      <c r="F186" s="309"/>
      <c r="G186" s="309"/>
      <c r="H186" s="309"/>
      <c r="I186" s="309"/>
      <c r="J186" s="309"/>
      <c r="K186" s="309"/>
      <c r="L186" s="309"/>
      <c r="M186" s="309"/>
      <c r="N186" s="309"/>
      <c r="O186" s="309"/>
      <c r="P186" s="309"/>
      <c r="Q186" s="309"/>
      <c r="R186" s="309"/>
      <c r="S186" s="309"/>
      <c r="T186" s="309"/>
      <c r="U186" s="309"/>
      <c r="V186" s="309"/>
      <c r="W186" s="309"/>
      <c r="X186" s="309"/>
      <c r="Y186" s="309"/>
      <c r="Z186" s="309"/>
    </row>
    <row r="187" ht="12.75" customHeight="1">
      <c r="A187" s="309"/>
      <c r="B187" s="309"/>
      <c r="C187" s="309"/>
      <c r="D187" s="309"/>
      <c r="E187" s="309"/>
      <c r="F187" s="309"/>
      <c r="G187" s="309"/>
      <c r="H187" s="309"/>
      <c r="I187" s="309"/>
      <c r="J187" s="309"/>
      <c r="K187" s="309"/>
      <c r="L187" s="309"/>
      <c r="M187" s="309"/>
      <c r="N187" s="309"/>
      <c r="O187" s="309"/>
      <c r="P187" s="309"/>
      <c r="Q187" s="309"/>
      <c r="R187" s="309"/>
      <c r="S187" s="309"/>
      <c r="T187" s="309"/>
      <c r="U187" s="309"/>
      <c r="V187" s="309"/>
      <c r="W187" s="309"/>
      <c r="X187" s="309"/>
      <c r="Y187" s="309"/>
      <c r="Z187" s="309"/>
    </row>
    <row r="188" ht="12.75" customHeight="1">
      <c r="A188" s="309"/>
      <c r="B188" s="309"/>
      <c r="C188" s="309"/>
      <c r="D188" s="309"/>
      <c r="E188" s="309"/>
      <c r="F188" s="309"/>
      <c r="G188" s="309"/>
      <c r="H188" s="309"/>
      <c r="I188" s="309"/>
      <c r="J188" s="309"/>
      <c r="K188" s="309"/>
      <c r="L188" s="309"/>
      <c r="M188" s="309"/>
      <c r="N188" s="309"/>
      <c r="O188" s="309"/>
      <c r="P188" s="309"/>
      <c r="Q188" s="309"/>
      <c r="R188" s="309"/>
      <c r="S188" s="309"/>
      <c r="T188" s="309"/>
      <c r="U188" s="309"/>
      <c r="V188" s="309"/>
      <c r="W188" s="309"/>
      <c r="X188" s="309"/>
      <c r="Y188" s="309"/>
      <c r="Z188" s="309"/>
    </row>
    <row r="189" ht="12.75" customHeight="1">
      <c r="A189" s="309"/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</row>
    <row r="190" ht="12.75" customHeight="1">
      <c r="A190" s="309"/>
      <c r="B190" s="309"/>
      <c r="C190" s="309"/>
      <c r="D190" s="309"/>
      <c r="E190" s="309"/>
      <c r="F190" s="309"/>
      <c r="G190" s="309"/>
      <c r="H190" s="309"/>
      <c r="I190" s="309"/>
      <c r="J190" s="309"/>
      <c r="K190" s="309"/>
      <c r="L190" s="309"/>
      <c r="M190" s="309"/>
      <c r="N190" s="309"/>
      <c r="O190" s="309"/>
      <c r="P190" s="309"/>
      <c r="Q190" s="309"/>
      <c r="R190" s="309"/>
      <c r="S190" s="309"/>
      <c r="T190" s="309"/>
      <c r="U190" s="309"/>
      <c r="V190" s="309"/>
      <c r="W190" s="309"/>
      <c r="X190" s="309"/>
      <c r="Y190" s="309"/>
      <c r="Z190" s="309"/>
    </row>
    <row r="191" ht="12.75" customHeight="1">
      <c r="A191" s="309"/>
      <c r="B191" s="309"/>
      <c r="C191" s="309"/>
      <c r="D191" s="309"/>
      <c r="E191" s="309"/>
      <c r="F191" s="309"/>
      <c r="G191" s="309"/>
      <c r="H191" s="309"/>
      <c r="I191" s="309"/>
      <c r="J191" s="309"/>
      <c r="K191" s="309"/>
      <c r="L191" s="309"/>
      <c r="M191" s="309"/>
      <c r="N191" s="309"/>
      <c r="O191" s="309"/>
      <c r="P191" s="309"/>
      <c r="Q191" s="309"/>
      <c r="R191" s="309"/>
      <c r="S191" s="309"/>
      <c r="T191" s="309"/>
      <c r="U191" s="309"/>
      <c r="V191" s="309"/>
      <c r="W191" s="309"/>
      <c r="X191" s="309"/>
      <c r="Y191" s="309"/>
      <c r="Z191" s="309"/>
    </row>
    <row r="192" ht="12.75" customHeight="1">
      <c r="A192" s="309"/>
      <c r="B192" s="309"/>
      <c r="C192" s="309"/>
      <c r="D192" s="309"/>
      <c r="E192" s="309"/>
      <c r="F192" s="309"/>
      <c r="G192" s="309"/>
      <c r="H192" s="309"/>
      <c r="I192" s="309"/>
      <c r="J192" s="309"/>
      <c r="K192" s="309"/>
      <c r="L192" s="309"/>
      <c r="M192" s="309"/>
      <c r="N192" s="309"/>
      <c r="O192" s="309"/>
      <c r="P192" s="309"/>
      <c r="Q192" s="309"/>
      <c r="R192" s="309"/>
      <c r="S192" s="309"/>
      <c r="T192" s="309"/>
      <c r="U192" s="309"/>
      <c r="V192" s="309"/>
      <c r="W192" s="309"/>
      <c r="X192" s="309"/>
      <c r="Y192" s="309"/>
      <c r="Z192" s="309"/>
    </row>
    <row r="193" ht="12.75" customHeight="1">
      <c r="A193" s="309"/>
      <c r="B193" s="309"/>
      <c r="C193" s="309"/>
      <c r="D193" s="309"/>
      <c r="E193" s="309"/>
      <c r="F193" s="309"/>
      <c r="G193" s="309"/>
      <c r="H193" s="309"/>
      <c r="I193" s="309"/>
      <c r="J193" s="309"/>
      <c r="K193" s="309"/>
      <c r="L193" s="309"/>
      <c r="M193" s="309"/>
      <c r="N193" s="309"/>
      <c r="O193" s="309"/>
      <c r="P193" s="309"/>
      <c r="Q193" s="309"/>
      <c r="R193" s="309"/>
      <c r="S193" s="309"/>
      <c r="T193" s="309"/>
      <c r="U193" s="309"/>
      <c r="V193" s="309"/>
      <c r="W193" s="309"/>
      <c r="X193" s="309"/>
      <c r="Y193" s="309"/>
      <c r="Z193" s="309"/>
    </row>
    <row r="194" ht="12.75" customHeight="1">
      <c r="A194" s="309"/>
      <c r="B194" s="309"/>
      <c r="C194" s="309"/>
      <c r="D194" s="309"/>
      <c r="E194" s="309"/>
      <c r="F194" s="309"/>
      <c r="G194" s="309"/>
      <c r="H194" s="309"/>
      <c r="I194" s="309"/>
      <c r="J194" s="309"/>
      <c r="K194" s="309"/>
      <c r="L194" s="309"/>
      <c r="M194" s="309"/>
      <c r="N194" s="309"/>
      <c r="O194" s="309"/>
      <c r="P194" s="309"/>
      <c r="Q194" s="309"/>
      <c r="R194" s="309"/>
      <c r="S194" s="309"/>
      <c r="T194" s="309"/>
      <c r="U194" s="309"/>
      <c r="V194" s="309"/>
      <c r="W194" s="309"/>
      <c r="X194" s="309"/>
      <c r="Y194" s="309"/>
      <c r="Z194" s="309"/>
    </row>
    <row r="195" ht="12.75" customHeight="1">
      <c r="A195" s="309"/>
      <c r="B195" s="309"/>
      <c r="C195" s="309"/>
      <c r="D195" s="309"/>
      <c r="E195" s="309"/>
      <c r="F195" s="309"/>
      <c r="G195" s="309"/>
      <c r="H195" s="309"/>
      <c r="I195" s="309"/>
      <c r="J195" s="309"/>
      <c r="K195" s="309"/>
      <c r="L195" s="309"/>
      <c r="M195" s="309"/>
      <c r="N195" s="309"/>
      <c r="O195" s="309"/>
      <c r="P195" s="309"/>
      <c r="Q195" s="309"/>
      <c r="R195" s="309"/>
      <c r="S195" s="309"/>
      <c r="T195" s="309"/>
      <c r="U195" s="309"/>
      <c r="V195" s="309"/>
      <c r="W195" s="309"/>
      <c r="X195" s="309"/>
      <c r="Y195" s="309"/>
      <c r="Z195" s="309"/>
    </row>
    <row r="196" ht="12.75" customHeight="1">
      <c r="A196" s="309"/>
      <c r="B196" s="309"/>
      <c r="C196" s="309"/>
      <c r="D196" s="309"/>
      <c r="E196" s="309"/>
      <c r="F196" s="309"/>
      <c r="G196" s="309"/>
      <c r="H196" s="309"/>
      <c r="I196" s="309"/>
      <c r="J196" s="309"/>
      <c r="K196" s="309"/>
      <c r="L196" s="309"/>
      <c r="M196" s="309"/>
      <c r="N196" s="309"/>
      <c r="O196" s="309"/>
      <c r="P196" s="309"/>
      <c r="Q196" s="309"/>
      <c r="R196" s="309"/>
      <c r="S196" s="309"/>
      <c r="T196" s="309"/>
      <c r="U196" s="309"/>
      <c r="V196" s="309"/>
      <c r="W196" s="309"/>
      <c r="X196" s="309"/>
      <c r="Y196" s="309"/>
      <c r="Z196" s="309"/>
    </row>
    <row r="197" ht="12.75" customHeight="1">
      <c r="A197" s="309"/>
      <c r="B197" s="309"/>
      <c r="C197" s="309"/>
      <c r="D197" s="309"/>
      <c r="E197" s="309"/>
      <c r="F197" s="309"/>
      <c r="G197" s="309"/>
      <c r="H197" s="309"/>
      <c r="I197" s="309"/>
      <c r="J197" s="309"/>
      <c r="K197" s="309"/>
      <c r="L197" s="309"/>
      <c r="M197" s="309"/>
      <c r="N197" s="309"/>
      <c r="O197" s="309"/>
      <c r="P197" s="309"/>
      <c r="Q197" s="309"/>
      <c r="R197" s="309"/>
      <c r="S197" s="309"/>
      <c r="T197" s="309"/>
      <c r="U197" s="309"/>
      <c r="V197" s="309"/>
      <c r="W197" s="309"/>
      <c r="X197" s="309"/>
      <c r="Y197" s="309"/>
      <c r="Z197" s="309"/>
    </row>
    <row r="198" ht="12.75" customHeight="1">
      <c r="A198" s="309"/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</row>
    <row r="199" ht="12.75" customHeight="1">
      <c r="A199" s="309"/>
      <c r="B199" s="309"/>
      <c r="C199" s="309"/>
      <c r="D199" s="309"/>
      <c r="E199" s="309"/>
      <c r="F199" s="309"/>
      <c r="G199" s="309"/>
      <c r="H199" s="309"/>
      <c r="I199" s="309"/>
      <c r="J199" s="309"/>
      <c r="K199" s="309"/>
      <c r="L199" s="309"/>
      <c r="M199" s="309"/>
      <c r="N199" s="309"/>
      <c r="O199" s="309"/>
      <c r="P199" s="309"/>
      <c r="Q199" s="309"/>
      <c r="R199" s="309"/>
      <c r="S199" s="309"/>
      <c r="T199" s="309"/>
      <c r="U199" s="309"/>
      <c r="V199" s="309"/>
      <c r="W199" s="309"/>
      <c r="X199" s="309"/>
      <c r="Y199" s="309"/>
      <c r="Z199" s="309"/>
    </row>
    <row r="200" ht="12.75" customHeight="1">
      <c r="A200" s="309"/>
      <c r="B200" s="309"/>
      <c r="C200" s="309"/>
      <c r="D200" s="309"/>
      <c r="E200" s="309"/>
      <c r="F200" s="309"/>
      <c r="G200" s="309"/>
      <c r="H200" s="309"/>
      <c r="I200" s="309"/>
      <c r="J200" s="309"/>
      <c r="K200" s="309"/>
      <c r="L200" s="309"/>
      <c r="M200" s="309"/>
      <c r="N200" s="309"/>
      <c r="O200" s="309"/>
      <c r="P200" s="309"/>
      <c r="Q200" s="309"/>
      <c r="R200" s="309"/>
      <c r="S200" s="309"/>
      <c r="T200" s="309"/>
      <c r="U200" s="309"/>
      <c r="V200" s="309"/>
      <c r="W200" s="309"/>
      <c r="X200" s="309"/>
      <c r="Y200" s="309"/>
      <c r="Z200" s="309"/>
    </row>
    <row r="201" ht="12.75" customHeight="1">
      <c r="A201" s="309"/>
      <c r="B201" s="309"/>
      <c r="C201" s="309"/>
      <c r="D201" s="309"/>
      <c r="E201" s="309"/>
      <c r="F201" s="309"/>
      <c r="G201" s="309"/>
      <c r="H201" s="309"/>
      <c r="I201" s="309"/>
      <c r="J201" s="309"/>
      <c r="K201" s="309"/>
      <c r="L201" s="309"/>
      <c r="M201" s="309"/>
      <c r="N201" s="309"/>
      <c r="O201" s="309"/>
      <c r="P201" s="309"/>
      <c r="Q201" s="309"/>
      <c r="R201" s="309"/>
      <c r="S201" s="309"/>
      <c r="T201" s="309"/>
      <c r="U201" s="309"/>
      <c r="V201" s="309"/>
      <c r="W201" s="309"/>
      <c r="X201" s="309"/>
      <c r="Y201" s="309"/>
      <c r="Z201" s="309"/>
    </row>
    <row r="202" ht="12.75" customHeight="1">
      <c r="A202" s="309"/>
      <c r="B202" s="309"/>
      <c r="C202" s="309"/>
      <c r="D202" s="309"/>
      <c r="E202" s="309"/>
      <c r="F202" s="309"/>
      <c r="G202" s="309"/>
      <c r="H202" s="309"/>
      <c r="I202" s="309"/>
      <c r="J202" s="309"/>
      <c r="K202" s="309"/>
      <c r="L202" s="309"/>
      <c r="M202" s="309"/>
      <c r="N202" s="309"/>
      <c r="O202" s="309"/>
      <c r="P202" s="309"/>
      <c r="Q202" s="309"/>
      <c r="R202" s="309"/>
      <c r="S202" s="309"/>
      <c r="T202" s="309"/>
      <c r="U202" s="309"/>
      <c r="V202" s="309"/>
      <c r="W202" s="309"/>
      <c r="X202" s="309"/>
      <c r="Y202" s="309"/>
      <c r="Z202" s="309"/>
    </row>
    <row r="203" ht="12.75" customHeight="1">
      <c r="A203" s="309"/>
      <c r="B203" s="309"/>
      <c r="C203" s="309"/>
      <c r="D203" s="309"/>
      <c r="E203" s="309"/>
      <c r="F203" s="309"/>
      <c r="G203" s="309"/>
      <c r="H203" s="309"/>
      <c r="I203" s="309"/>
      <c r="J203" s="309"/>
      <c r="K203" s="309"/>
      <c r="L203" s="309"/>
      <c r="M203" s="309"/>
      <c r="N203" s="309"/>
      <c r="O203" s="309"/>
      <c r="P203" s="309"/>
      <c r="Q203" s="309"/>
      <c r="R203" s="309"/>
      <c r="S203" s="309"/>
      <c r="T203" s="309"/>
      <c r="U203" s="309"/>
      <c r="V203" s="309"/>
      <c r="W203" s="309"/>
      <c r="X203" s="309"/>
      <c r="Y203" s="309"/>
      <c r="Z203" s="309"/>
    </row>
    <row r="204" ht="12.75" customHeight="1">
      <c r="A204" s="309"/>
      <c r="B204" s="309"/>
      <c r="C204" s="309"/>
      <c r="D204" s="309"/>
      <c r="E204" s="309"/>
      <c r="F204" s="309"/>
      <c r="G204" s="309"/>
      <c r="H204" s="309"/>
      <c r="I204" s="309"/>
      <c r="J204" s="309"/>
      <c r="K204" s="309"/>
      <c r="L204" s="309"/>
      <c r="M204" s="309"/>
      <c r="N204" s="309"/>
      <c r="O204" s="309"/>
      <c r="P204" s="309"/>
      <c r="Q204" s="309"/>
      <c r="R204" s="309"/>
      <c r="S204" s="309"/>
      <c r="T204" s="309"/>
      <c r="U204" s="309"/>
      <c r="V204" s="309"/>
      <c r="W204" s="309"/>
      <c r="X204" s="309"/>
      <c r="Y204" s="309"/>
      <c r="Z204" s="309"/>
    </row>
    <row r="205" ht="12.75" customHeight="1">
      <c r="A205" s="309"/>
      <c r="B205" s="309"/>
      <c r="C205" s="309"/>
      <c r="D205" s="309"/>
      <c r="E205" s="309"/>
      <c r="F205" s="309"/>
      <c r="G205" s="309"/>
      <c r="H205" s="309"/>
      <c r="I205" s="309"/>
      <c r="J205" s="309"/>
      <c r="K205" s="309"/>
      <c r="L205" s="309"/>
      <c r="M205" s="309"/>
      <c r="N205" s="309"/>
      <c r="O205" s="309"/>
      <c r="P205" s="309"/>
      <c r="Q205" s="309"/>
      <c r="R205" s="309"/>
      <c r="S205" s="309"/>
      <c r="T205" s="309"/>
      <c r="U205" s="309"/>
      <c r="V205" s="309"/>
      <c r="W205" s="309"/>
      <c r="X205" s="309"/>
      <c r="Y205" s="309"/>
      <c r="Z205" s="309"/>
    </row>
    <row r="206" ht="12.75" customHeight="1">
      <c r="A206" s="309"/>
      <c r="B206" s="309"/>
      <c r="C206" s="309"/>
      <c r="D206" s="309"/>
      <c r="E206" s="309"/>
      <c r="F206" s="309"/>
      <c r="G206" s="309"/>
      <c r="H206" s="309"/>
      <c r="I206" s="309"/>
      <c r="J206" s="309"/>
      <c r="K206" s="309"/>
      <c r="L206" s="309"/>
      <c r="M206" s="309"/>
      <c r="N206" s="309"/>
      <c r="O206" s="309"/>
      <c r="P206" s="309"/>
      <c r="Q206" s="309"/>
      <c r="R206" s="309"/>
      <c r="S206" s="309"/>
      <c r="T206" s="309"/>
      <c r="U206" s="309"/>
      <c r="V206" s="309"/>
      <c r="W206" s="309"/>
      <c r="X206" s="309"/>
      <c r="Y206" s="309"/>
      <c r="Z206" s="309"/>
    </row>
    <row r="207" ht="12.75" customHeight="1">
      <c r="A207" s="309"/>
      <c r="B207" s="309"/>
      <c r="C207" s="309"/>
      <c r="D207" s="309"/>
      <c r="E207" s="309"/>
      <c r="F207" s="309"/>
      <c r="G207" s="309"/>
      <c r="H207" s="309"/>
      <c r="I207" s="309"/>
      <c r="J207" s="309"/>
      <c r="K207" s="309"/>
      <c r="L207" s="309"/>
      <c r="M207" s="309"/>
      <c r="N207" s="309"/>
      <c r="O207" s="309"/>
      <c r="P207" s="309"/>
      <c r="Q207" s="309"/>
      <c r="R207" s="309"/>
      <c r="S207" s="309"/>
      <c r="T207" s="309"/>
      <c r="U207" s="309"/>
      <c r="V207" s="309"/>
      <c r="W207" s="309"/>
      <c r="X207" s="309"/>
      <c r="Y207" s="309"/>
      <c r="Z207" s="309"/>
    </row>
    <row r="208" ht="12.75" customHeight="1">
      <c r="A208" s="309"/>
      <c r="B208" s="309"/>
      <c r="C208" s="309"/>
      <c r="D208" s="309"/>
      <c r="E208" s="309"/>
      <c r="F208" s="309"/>
      <c r="G208" s="309"/>
      <c r="H208" s="309"/>
      <c r="I208" s="309"/>
      <c r="J208" s="309"/>
      <c r="K208" s="309"/>
      <c r="L208" s="309"/>
      <c r="M208" s="309"/>
      <c r="N208" s="309"/>
      <c r="O208" s="309"/>
      <c r="P208" s="309"/>
      <c r="Q208" s="309"/>
      <c r="R208" s="309"/>
      <c r="S208" s="309"/>
      <c r="T208" s="309"/>
      <c r="U208" s="309"/>
      <c r="V208" s="309"/>
      <c r="W208" s="309"/>
      <c r="X208" s="309"/>
      <c r="Y208" s="309"/>
      <c r="Z208" s="309"/>
    </row>
    <row r="209" ht="12.75" customHeight="1">
      <c r="A209" s="309"/>
      <c r="B209" s="309"/>
      <c r="C209" s="309"/>
      <c r="D209" s="309"/>
      <c r="E209" s="309"/>
      <c r="F209" s="309"/>
      <c r="G209" s="309"/>
      <c r="H209" s="309"/>
      <c r="I209" s="309"/>
      <c r="J209" s="309"/>
      <c r="K209" s="309"/>
      <c r="L209" s="309"/>
      <c r="M209" s="309"/>
      <c r="N209" s="309"/>
      <c r="O209" s="309"/>
      <c r="P209" s="309"/>
      <c r="Q209" s="309"/>
      <c r="R209" s="309"/>
      <c r="S209" s="309"/>
      <c r="T209" s="309"/>
      <c r="U209" s="309"/>
      <c r="V209" s="309"/>
      <c r="W209" s="309"/>
      <c r="X209" s="309"/>
      <c r="Y209" s="309"/>
      <c r="Z209" s="309"/>
    </row>
    <row r="210" ht="12.75" customHeight="1">
      <c r="A210" s="309"/>
      <c r="B210" s="309"/>
      <c r="C210" s="309"/>
      <c r="D210" s="309"/>
      <c r="E210" s="309"/>
      <c r="F210" s="309"/>
      <c r="G210" s="309"/>
      <c r="H210" s="309"/>
      <c r="I210" s="309"/>
      <c r="J210" s="309"/>
      <c r="K210" s="309"/>
      <c r="L210" s="309"/>
      <c r="M210" s="309"/>
      <c r="N210" s="309"/>
      <c r="O210" s="309"/>
      <c r="P210" s="309"/>
      <c r="Q210" s="309"/>
      <c r="R210" s="309"/>
      <c r="S210" s="309"/>
      <c r="T210" s="309"/>
      <c r="U210" s="309"/>
      <c r="V210" s="309"/>
      <c r="W210" s="309"/>
      <c r="X210" s="309"/>
      <c r="Y210" s="309"/>
      <c r="Z210" s="309"/>
    </row>
    <row r="211" ht="12.75" customHeight="1">
      <c r="A211" s="309"/>
      <c r="B211" s="309"/>
      <c r="C211" s="309"/>
      <c r="D211" s="309"/>
      <c r="E211" s="309"/>
      <c r="F211" s="309"/>
      <c r="G211" s="309"/>
      <c r="H211" s="309"/>
      <c r="I211" s="309"/>
      <c r="J211" s="309"/>
      <c r="K211" s="309"/>
      <c r="L211" s="309"/>
      <c r="M211" s="309"/>
      <c r="N211" s="309"/>
      <c r="O211" s="309"/>
      <c r="P211" s="309"/>
      <c r="Q211" s="309"/>
      <c r="R211" s="309"/>
      <c r="S211" s="309"/>
      <c r="T211" s="309"/>
      <c r="U211" s="309"/>
      <c r="V211" s="309"/>
      <c r="W211" s="309"/>
      <c r="X211" s="309"/>
      <c r="Y211" s="309"/>
      <c r="Z211" s="309"/>
    </row>
    <row r="212" ht="12.75" customHeight="1">
      <c r="A212" s="309"/>
      <c r="B212" s="309"/>
      <c r="C212" s="309"/>
      <c r="D212" s="309"/>
      <c r="E212" s="309"/>
      <c r="F212" s="309"/>
      <c r="G212" s="309"/>
      <c r="H212" s="309"/>
      <c r="I212" s="309"/>
      <c r="J212" s="309"/>
      <c r="K212" s="309"/>
      <c r="L212" s="309"/>
      <c r="M212" s="309"/>
      <c r="N212" s="309"/>
      <c r="O212" s="309"/>
      <c r="P212" s="309"/>
      <c r="Q212" s="309"/>
      <c r="R212" s="309"/>
      <c r="S212" s="309"/>
      <c r="T212" s="309"/>
      <c r="U212" s="309"/>
      <c r="V212" s="309"/>
      <c r="W212" s="309"/>
      <c r="X212" s="309"/>
      <c r="Y212" s="309"/>
      <c r="Z212" s="309"/>
    </row>
    <row r="213" ht="12.75" customHeight="1">
      <c r="A213" s="309"/>
      <c r="B213" s="309"/>
      <c r="C213" s="309"/>
      <c r="D213" s="309"/>
      <c r="E213" s="309"/>
      <c r="F213" s="309"/>
      <c r="G213" s="309"/>
      <c r="H213" s="309"/>
      <c r="I213" s="309"/>
      <c r="J213" s="309"/>
      <c r="K213" s="309"/>
      <c r="L213" s="309"/>
      <c r="M213" s="309"/>
      <c r="N213" s="309"/>
      <c r="O213" s="309"/>
      <c r="P213" s="309"/>
      <c r="Q213" s="309"/>
      <c r="R213" s="309"/>
      <c r="S213" s="309"/>
      <c r="T213" s="309"/>
      <c r="U213" s="309"/>
      <c r="V213" s="309"/>
      <c r="W213" s="309"/>
      <c r="X213" s="309"/>
      <c r="Y213" s="309"/>
      <c r="Z213" s="309"/>
    </row>
    <row r="214" ht="12.75" customHeight="1">
      <c r="A214" s="309"/>
      <c r="B214" s="309"/>
      <c r="C214" s="309"/>
      <c r="D214" s="309"/>
      <c r="E214" s="309"/>
      <c r="F214" s="309"/>
      <c r="G214" s="309"/>
      <c r="H214" s="309"/>
      <c r="I214" s="309"/>
      <c r="J214" s="309"/>
      <c r="K214" s="309"/>
      <c r="L214" s="309"/>
      <c r="M214" s="309"/>
      <c r="N214" s="309"/>
      <c r="O214" s="309"/>
      <c r="P214" s="309"/>
      <c r="Q214" s="309"/>
      <c r="R214" s="309"/>
      <c r="S214" s="309"/>
      <c r="T214" s="309"/>
      <c r="U214" s="309"/>
      <c r="V214" s="309"/>
      <c r="W214" s="309"/>
      <c r="X214" s="309"/>
      <c r="Y214" s="309"/>
      <c r="Z214" s="309"/>
    </row>
    <row r="215" ht="12.75" customHeight="1">
      <c r="A215" s="309"/>
      <c r="B215" s="309"/>
      <c r="C215" s="309"/>
      <c r="D215" s="309"/>
      <c r="E215" s="309"/>
      <c r="F215" s="309"/>
      <c r="G215" s="309"/>
      <c r="H215" s="309"/>
      <c r="I215" s="309"/>
      <c r="J215" s="309"/>
      <c r="K215" s="309"/>
      <c r="L215" s="309"/>
      <c r="M215" s="309"/>
      <c r="N215" s="309"/>
      <c r="O215" s="309"/>
      <c r="P215" s="309"/>
      <c r="Q215" s="309"/>
      <c r="R215" s="309"/>
      <c r="S215" s="309"/>
      <c r="T215" s="309"/>
      <c r="U215" s="309"/>
      <c r="V215" s="309"/>
      <c r="W215" s="309"/>
      <c r="X215" s="309"/>
      <c r="Y215" s="309"/>
      <c r="Z215" s="309"/>
    </row>
    <row r="216" ht="12.75" customHeight="1">
      <c r="A216" s="309"/>
      <c r="B216" s="309"/>
      <c r="C216" s="309"/>
      <c r="D216" s="309"/>
      <c r="E216" s="309"/>
      <c r="F216" s="309"/>
      <c r="G216" s="309"/>
      <c r="H216" s="309"/>
      <c r="I216" s="309"/>
      <c r="J216" s="309"/>
      <c r="K216" s="309"/>
      <c r="L216" s="309"/>
      <c r="M216" s="309"/>
      <c r="N216" s="309"/>
      <c r="O216" s="309"/>
      <c r="P216" s="309"/>
      <c r="Q216" s="309"/>
      <c r="R216" s="309"/>
      <c r="S216" s="309"/>
      <c r="T216" s="309"/>
      <c r="U216" s="309"/>
      <c r="V216" s="309"/>
      <c r="W216" s="309"/>
      <c r="X216" s="309"/>
      <c r="Y216" s="309"/>
      <c r="Z216" s="309"/>
    </row>
    <row r="217" ht="12.75" customHeight="1">
      <c r="A217" s="309"/>
      <c r="B217" s="309"/>
      <c r="C217" s="309"/>
      <c r="D217" s="309"/>
      <c r="E217" s="309"/>
      <c r="F217" s="309"/>
      <c r="G217" s="309"/>
      <c r="H217" s="309"/>
      <c r="I217" s="309"/>
      <c r="J217" s="309"/>
      <c r="K217" s="309"/>
      <c r="L217" s="309"/>
      <c r="M217" s="309"/>
      <c r="N217" s="309"/>
      <c r="O217" s="309"/>
      <c r="P217" s="309"/>
      <c r="Q217" s="309"/>
      <c r="R217" s="309"/>
      <c r="S217" s="309"/>
      <c r="T217" s="309"/>
      <c r="U217" s="309"/>
      <c r="V217" s="309"/>
      <c r="W217" s="309"/>
      <c r="X217" s="309"/>
      <c r="Y217" s="309"/>
      <c r="Z217" s="309"/>
    </row>
    <row r="218" ht="12.75" customHeight="1">
      <c r="A218" s="309"/>
      <c r="B218" s="309"/>
      <c r="C218" s="309"/>
      <c r="D218" s="309"/>
      <c r="E218" s="309"/>
      <c r="F218" s="309"/>
      <c r="G218" s="309"/>
      <c r="H218" s="309"/>
      <c r="I218" s="309"/>
      <c r="J218" s="309"/>
      <c r="K218" s="309"/>
      <c r="L218" s="309"/>
      <c r="M218" s="309"/>
      <c r="N218" s="309"/>
      <c r="O218" s="309"/>
      <c r="P218" s="309"/>
      <c r="Q218" s="309"/>
      <c r="R218" s="309"/>
      <c r="S218" s="309"/>
      <c r="T218" s="309"/>
      <c r="U218" s="309"/>
      <c r="V218" s="309"/>
      <c r="W218" s="309"/>
      <c r="X218" s="309"/>
      <c r="Y218" s="309"/>
      <c r="Z218" s="309"/>
    </row>
    <row r="219" ht="12.75" customHeight="1">
      <c r="A219" s="309"/>
      <c r="B219" s="309"/>
      <c r="C219" s="309"/>
      <c r="D219" s="309"/>
      <c r="E219" s="309"/>
      <c r="F219" s="309"/>
      <c r="G219" s="309"/>
      <c r="H219" s="309"/>
      <c r="I219" s="309"/>
      <c r="J219" s="309"/>
      <c r="K219" s="309"/>
      <c r="L219" s="309"/>
      <c r="M219" s="309"/>
      <c r="N219" s="309"/>
      <c r="O219" s="309"/>
      <c r="P219" s="309"/>
      <c r="Q219" s="309"/>
      <c r="R219" s="309"/>
      <c r="S219" s="309"/>
      <c r="T219" s="309"/>
      <c r="U219" s="309"/>
      <c r="V219" s="309"/>
      <c r="W219" s="309"/>
      <c r="X219" s="309"/>
      <c r="Y219" s="309"/>
      <c r="Z219" s="309"/>
    </row>
    <row r="220" ht="12.75" customHeight="1">
      <c r="A220" s="309"/>
      <c r="B220" s="309"/>
      <c r="C220" s="309"/>
      <c r="D220" s="309"/>
      <c r="E220" s="309"/>
      <c r="F220" s="309"/>
      <c r="G220" s="309"/>
      <c r="H220" s="309"/>
      <c r="I220" s="309"/>
      <c r="J220" s="309"/>
      <c r="K220" s="309"/>
      <c r="L220" s="309"/>
      <c r="M220" s="309"/>
      <c r="N220" s="309"/>
      <c r="O220" s="309"/>
      <c r="P220" s="309"/>
      <c r="Q220" s="309"/>
      <c r="R220" s="309"/>
      <c r="S220" s="309"/>
      <c r="T220" s="309"/>
      <c r="U220" s="309"/>
      <c r="V220" s="309"/>
      <c r="W220" s="309"/>
      <c r="X220" s="309"/>
      <c r="Y220" s="309"/>
      <c r="Z220" s="309"/>
    </row>
    <row r="221" ht="12.75" customHeight="1">
      <c r="A221" s="309"/>
      <c r="B221" s="309"/>
      <c r="C221" s="309"/>
      <c r="D221" s="309"/>
      <c r="E221" s="309"/>
      <c r="F221" s="309"/>
      <c r="G221" s="309"/>
      <c r="H221" s="309"/>
      <c r="I221" s="309"/>
      <c r="J221" s="309"/>
      <c r="K221" s="309"/>
      <c r="L221" s="309"/>
      <c r="M221" s="309"/>
      <c r="N221" s="309"/>
      <c r="O221" s="309"/>
      <c r="P221" s="309"/>
      <c r="Q221" s="309"/>
      <c r="R221" s="309"/>
      <c r="S221" s="309"/>
      <c r="T221" s="309"/>
      <c r="U221" s="309"/>
      <c r="V221" s="309"/>
      <c r="W221" s="309"/>
      <c r="X221" s="309"/>
      <c r="Y221" s="309"/>
      <c r="Z221" s="309"/>
    </row>
    <row r="222" ht="12.75" customHeight="1">
      <c r="A222" s="309"/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</row>
    <row r="223" ht="12.75" customHeight="1">
      <c r="A223" s="309"/>
      <c r="B223" s="309"/>
      <c r="C223" s="309"/>
      <c r="D223" s="309"/>
      <c r="E223" s="309"/>
      <c r="F223" s="309"/>
      <c r="G223" s="309"/>
      <c r="H223" s="309"/>
      <c r="I223" s="309"/>
      <c r="J223" s="309"/>
      <c r="K223" s="309"/>
      <c r="L223" s="309"/>
      <c r="M223" s="309"/>
      <c r="N223" s="309"/>
      <c r="O223" s="309"/>
      <c r="P223" s="309"/>
      <c r="Q223" s="309"/>
      <c r="R223" s="309"/>
      <c r="S223" s="309"/>
      <c r="T223" s="309"/>
      <c r="U223" s="309"/>
      <c r="V223" s="309"/>
      <c r="W223" s="309"/>
      <c r="X223" s="309"/>
      <c r="Y223" s="309"/>
      <c r="Z223" s="309"/>
    </row>
    <row r="224" ht="12.75" customHeight="1">
      <c r="A224" s="309"/>
      <c r="B224" s="309"/>
      <c r="C224" s="309"/>
      <c r="D224" s="309"/>
      <c r="E224" s="309"/>
      <c r="F224" s="309"/>
      <c r="G224" s="309"/>
      <c r="H224" s="309"/>
      <c r="I224" s="309"/>
      <c r="J224" s="309"/>
      <c r="K224" s="309"/>
      <c r="L224" s="309"/>
      <c r="M224" s="309"/>
      <c r="N224" s="309"/>
      <c r="O224" s="309"/>
      <c r="P224" s="309"/>
      <c r="Q224" s="309"/>
      <c r="R224" s="309"/>
      <c r="S224" s="309"/>
      <c r="T224" s="309"/>
      <c r="U224" s="309"/>
      <c r="V224" s="309"/>
      <c r="W224" s="309"/>
      <c r="X224" s="309"/>
      <c r="Y224" s="309"/>
      <c r="Z224" s="309"/>
    </row>
    <row r="225" ht="12.75" customHeight="1">
      <c r="A225" s="309"/>
      <c r="B225" s="309"/>
      <c r="C225" s="309"/>
      <c r="D225" s="309"/>
      <c r="E225" s="309"/>
      <c r="F225" s="309"/>
      <c r="G225" s="309"/>
      <c r="H225" s="309"/>
      <c r="I225" s="309"/>
      <c r="J225" s="309"/>
      <c r="K225" s="309"/>
      <c r="L225" s="309"/>
      <c r="M225" s="309"/>
      <c r="N225" s="309"/>
      <c r="O225" s="309"/>
      <c r="P225" s="309"/>
      <c r="Q225" s="309"/>
      <c r="R225" s="309"/>
      <c r="S225" s="309"/>
      <c r="T225" s="309"/>
      <c r="U225" s="309"/>
      <c r="V225" s="309"/>
      <c r="W225" s="309"/>
      <c r="X225" s="309"/>
      <c r="Y225" s="309"/>
      <c r="Z225" s="309"/>
    </row>
    <row r="226" ht="12.75" customHeight="1">
      <c r="A226" s="309"/>
      <c r="B226" s="309"/>
      <c r="C226" s="309"/>
      <c r="D226" s="309"/>
      <c r="E226" s="309"/>
      <c r="F226" s="309"/>
      <c r="G226" s="309"/>
      <c r="H226" s="309"/>
      <c r="I226" s="309"/>
      <c r="J226" s="309"/>
      <c r="K226" s="309"/>
      <c r="L226" s="309"/>
      <c r="M226" s="309"/>
      <c r="N226" s="309"/>
      <c r="O226" s="309"/>
      <c r="P226" s="309"/>
      <c r="Q226" s="309"/>
      <c r="R226" s="309"/>
      <c r="S226" s="309"/>
      <c r="T226" s="309"/>
      <c r="U226" s="309"/>
      <c r="V226" s="309"/>
      <c r="W226" s="309"/>
      <c r="X226" s="309"/>
      <c r="Y226" s="309"/>
      <c r="Z226" s="309"/>
    </row>
    <row r="227" ht="12.75" customHeight="1">
      <c r="A227" s="309"/>
      <c r="B227" s="309"/>
      <c r="C227" s="309"/>
      <c r="D227" s="309"/>
      <c r="E227" s="309"/>
      <c r="F227" s="309"/>
      <c r="G227" s="309"/>
      <c r="H227" s="309"/>
      <c r="I227" s="309"/>
      <c r="J227" s="309"/>
      <c r="K227" s="309"/>
      <c r="L227" s="309"/>
      <c r="M227" s="309"/>
      <c r="N227" s="309"/>
      <c r="O227" s="309"/>
      <c r="P227" s="309"/>
      <c r="Q227" s="309"/>
      <c r="R227" s="309"/>
      <c r="S227" s="309"/>
      <c r="T227" s="309"/>
      <c r="U227" s="309"/>
      <c r="V227" s="309"/>
      <c r="W227" s="309"/>
      <c r="X227" s="309"/>
      <c r="Y227" s="309"/>
      <c r="Z227" s="309"/>
    </row>
    <row r="228" ht="12.75" customHeight="1">
      <c r="A228" s="309"/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</row>
    <row r="229" ht="12.75" customHeight="1">
      <c r="A229" s="309"/>
      <c r="B229" s="309"/>
      <c r="C229" s="309"/>
      <c r="D229" s="309"/>
      <c r="E229" s="309"/>
      <c r="F229" s="309"/>
      <c r="G229" s="309"/>
      <c r="H229" s="309"/>
      <c r="I229" s="309"/>
      <c r="J229" s="309"/>
      <c r="K229" s="309"/>
      <c r="L229" s="309"/>
      <c r="M229" s="309"/>
      <c r="N229" s="309"/>
      <c r="O229" s="309"/>
      <c r="P229" s="309"/>
      <c r="Q229" s="309"/>
      <c r="R229" s="309"/>
      <c r="S229" s="309"/>
      <c r="T229" s="309"/>
      <c r="U229" s="309"/>
      <c r="V229" s="309"/>
      <c r="W229" s="309"/>
      <c r="X229" s="309"/>
      <c r="Y229" s="309"/>
      <c r="Z229" s="309"/>
    </row>
    <row r="230" ht="12.75" customHeight="1">
      <c r="A230" s="309"/>
      <c r="B230" s="309"/>
      <c r="C230" s="309"/>
      <c r="D230" s="309"/>
      <c r="E230" s="309"/>
      <c r="F230" s="309"/>
      <c r="G230" s="309"/>
      <c r="H230" s="309"/>
      <c r="I230" s="309"/>
      <c r="J230" s="309"/>
      <c r="K230" s="309"/>
      <c r="L230" s="309"/>
      <c r="M230" s="309"/>
      <c r="N230" s="309"/>
      <c r="O230" s="309"/>
      <c r="P230" s="309"/>
      <c r="Q230" s="309"/>
      <c r="R230" s="309"/>
      <c r="S230" s="309"/>
      <c r="T230" s="309"/>
      <c r="U230" s="309"/>
      <c r="V230" s="309"/>
      <c r="W230" s="309"/>
      <c r="X230" s="309"/>
      <c r="Y230" s="309"/>
      <c r="Z230" s="309"/>
    </row>
    <row r="231" ht="12.75" customHeight="1">
      <c r="A231" s="309"/>
      <c r="B231" s="309"/>
      <c r="C231" s="309"/>
      <c r="D231" s="309"/>
      <c r="E231" s="309"/>
      <c r="F231" s="309"/>
      <c r="G231" s="309"/>
      <c r="H231" s="309"/>
      <c r="I231" s="309"/>
      <c r="J231" s="309"/>
      <c r="K231" s="309"/>
      <c r="L231" s="309"/>
      <c r="M231" s="309"/>
      <c r="N231" s="309"/>
      <c r="O231" s="309"/>
      <c r="P231" s="309"/>
      <c r="Q231" s="309"/>
      <c r="R231" s="309"/>
      <c r="S231" s="309"/>
      <c r="T231" s="309"/>
      <c r="U231" s="309"/>
      <c r="V231" s="309"/>
      <c r="W231" s="309"/>
      <c r="X231" s="309"/>
      <c r="Y231" s="309"/>
      <c r="Z231" s="309"/>
    </row>
    <row r="232" ht="12.75" customHeight="1">
      <c r="A232" s="309"/>
      <c r="B232" s="309"/>
      <c r="C232" s="309"/>
      <c r="D232" s="309"/>
      <c r="E232" s="309"/>
      <c r="F232" s="309"/>
      <c r="G232" s="309"/>
      <c r="H232" s="309"/>
      <c r="I232" s="309"/>
      <c r="J232" s="309"/>
      <c r="K232" s="309"/>
      <c r="L232" s="309"/>
      <c r="M232" s="309"/>
      <c r="N232" s="309"/>
      <c r="O232" s="309"/>
      <c r="P232" s="309"/>
      <c r="Q232" s="309"/>
      <c r="R232" s="309"/>
      <c r="S232" s="309"/>
      <c r="T232" s="309"/>
      <c r="U232" s="309"/>
      <c r="V232" s="309"/>
      <c r="W232" s="309"/>
      <c r="X232" s="309"/>
      <c r="Y232" s="309"/>
      <c r="Z232" s="309"/>
    </row>
    <row r="233" ht="12.75" customHeight="1">
      <c r="A233" s="309"/>
      <c r="B233" s="309"/>
      <c r="C233" s="309"/>
      <c r="D233" s="309"/>
      <c r="E233" s="309"/>
      <c r="F233" s="309"/>
      <c r="G233" s="309"/>
      <c r="H233" s="309"/>
      <c r="I233" s="309"/>
      <c r="J233" s="309"/>
      <c r="K233" s="309"/>
      <c r="L233" s="309"/>
      <c r="M233" s="309"/>
      <c r="N233" s="309"/>
      <c r="O233" s="309"/>
      <c r="P233" s="309"/>
      <c r="Q233" s="309"/>
      <c r="R233" s="309"/>
      <c r="S233" s="309"/>
      <c r="T233" s="309"/>
      <c r="U233" s="309"/>
      <c r="V233" s="309"/>
      <c r="W233" s="309"/>
      <c r="X233" s="309"/>
      <c r="Y233" s="309"/>
      <c r="Z233" s="309"/>
    </row>
    <row r="234" ht="12.75" customHeight="1">
      <c r="A234" s="309"/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</row>
    <row r="235" ht="12.75" customHeight="1">
      <c r="A235" s="309"/>
      <c r="B235" s="309"/>
      <c r="C235" s="309"/>
      <c r="D235" s="309"/>
      <c r="E235" s="309"/>
      <c r="F235" s="309"/>
      <c r="G235" s="309"/>
      <c r="H235" s="309"/>
      <c r="I235" s="309"/>
      <c r="J235" s="309"/>
      <c r="K235" s="309"/>
      <c r="L235" s="309"/>
      <c r="M235" s="309"/>
      <c r="N235" s="309"/>
      <c r="O235" s="309"/>
      <c r="P235" s="309"/>
      <c r="Q235" s="309"/>
      <c r="R235" s="309"/>
      <c r="S235" s="309"/>
      <c r="T235" s="309"/>
      <c r="U235" s="309"/>
      <c r="V235" s="309"/>
      <c r="W235" s="309"/>
      <c r="X235" s="309"/>
      <c r="Y235" s="309"/>
      <c r="Z235" s="309"/>
    </row>
    <row r="236" ht="12.75" customHeight="1">
      <c r="A236" s="309"/>
      <c r="B236" s="309"/>
      <c r="C236" s="309"/>
      <c r="D236" s="309"/>
      <c r="E236" s="309"/>
      <c r="F236" s="309"/>
      <c r="G236" s="309"/>
      <c r="H236" s="309"/>
      <c r="I236" s="309"/>
      <c r="J236" s="309"/>
      <c r="K236" s="309"/>
      <c r="L236" s="309"/>
      <c r="M236" s="309"/>
      <c r="N236" s="309"/>
      <c r="O236" s="309"/>
      <c r="P236" s="309"/>
      <c r="Q236" s="309"/>
      <c r="R236" s="309"/>
      <c r="S236" s="309"/>
      <c r="T236" s="309"/>
      <c r="U236" s="309"/>
      <c r="V236" s="309"/>
      <c r="W236" s="309"/>
      <c r="X236" s="309"/>
      <c r="Y236" s="309"/>
      <c r="Z236" s="309"/>
    </row>
    <row r="237" ht="12.75" customHeight="1">
      <c r="A237" s="309"/>
      <c r="B237" s="309"/>
      <c r="C237" s="309"/>
      <c r="D237" s="309"/>
      <c r="E237" s="309"/>
      <c r="F237" s="309"/>
      <c r="G237" s="309"/>
      <c r="H237" s="309"/>
      <c r="I237" s="309"/>
      <c r="J237" s="309"/>
      <c r="K237" s="309"/>
      <c r="L237" s="309"/>
      <c r="M237" s="309"/>
      <c r="N237" s="309"/>
      <c r="O237" s="309"/>
      <c r="P237" s="309"/>
      <c r="Q237" s="309"/>
      <c r="R237" s="309"/>
      <c r="S237" s="309"/>
      <c r="T237" s="309"/>
      <c r="U237" s="309"/>
      <c r="V237" s="309"/>
      <c r="W237" s="309"/>
      <c r="X237" s="309"/>
      <c r="Y237" s="309"/>
      <c r="Z237" s="309"/>
    </row>
    <row r="238" ht="12.75" customHeight="1">
      <c r="A238" s="309"/>
      <c r="B238" s="309"/>
      <c r="C238" s="309"/>
      <c r="D238" s="309"/>
      <c r="E238" s="309"/>
      <c r="F238" s="309"/>
      <c r="G238" s="309"/>
      <c r="H238" s="309"/>
      <c r="I238" s="309"/>
      <c r="J238" s="309"/>
      <c r="K238" s="309"/>
      <c r="L238" s="309"/>
      <c r="M238" s="309"/>
      <c r="N238" s="309"/>
      <c r="O238" s="309"/>
      <c r="P238" s="309"/>
      <c r="Q238" s="309"/>
      <c r="R238" s="309"/>
      <c r="S238" s="309"/>
      <c r="T238" s="309"/>
      <c r="U238" s="309"/>
      <c r="V238" s="309"/>
      <c r="W238" s="309"/>
      <c r="X238" s="309"/>
      <c r="Y238" s="309"/>
      <c r="Z238" s="309"/>
    </row>
    <row r="239" ht="12.75" customHeight="1">
      <c r="A239" s="309"/>
      <c r="B239" s="309"/>
      <c r="C239" s="309"/>
      <c r="D239" s="309"/>
      <c r="E239" s="309"/>
      <c r="F239" s="309"/>
      <c r="G239" s="309"/>
      <c r="H239" s="309"/>
      <c r="I239" s="309"/>
      <c r="J239" s="309"/>
      <c r="K239" s="309"/>
      <c r="L239" s="309"/>
      <c r="M239" s="309"/>
      <c r="N239" s="309"/>
      <c r="O239" s="309"/>
      <c r="P239" s="309"/>
      <c r="Q239" s="309"/>
      <c r="R239" s="309"/>
      <c r="S239" s="309"/>
      <c r="T239" s="309"/>
      <c r="U239" s="309"/>
      <c r="V239" s="309"/>
      <c r="W239" s="309"/>
      <c r="X239" s="309"/>
      <c r="Y239" s="309"/>
      <c r="Z239" s="309"/>
    </row>
    <row r="240" ht="12.75" customHeight="1">
      <c r="A240" s="309"/>
      <c r="B240" s="309"/>
      <c r="C240" s="309"/>
      <c r="D240" s="309"/>
      <c r="E240" s="309"/>
      <c r="F240" s="309"/>
      <c r="G240" s="309"/>
      <c r="H240" s="309"/>
      <c r="I240" s="309"/>
      <c r="J240" s="309"/>
      <c r="K240" s="309"/>
      <c r="L240" s="309"/>
      <c r="M240" s="309"/>
      <c r="N240" s="309"/>
      <c r="O240" s="309"/>
      <c r="P240" s="309"/>
      <c r="Q240" s="309"/>
      <c r="R240" s="309"/>
      <c r="S240" s="309"/>
      <c r="T240" s="309"/>
      <c r="U240" s="309"/>
      <c r="V240" s="309"/>
      <c r="W240" s="309"/>
      <c r="X240" s="309"/>
      <c r="Y240" s="309"/>
      <c r="Z240" s="309"/>
    </row>
    <row r="241" ht="12.75" customHeight="1">
      <c r="A241" s="309"/>
      <c r="B241" s="309"/>
      <c r="C241" s="309"/>
      <c r="D241" s="309"/>
      <c r="E241" s="309"/>
      <c r="F241" s="309"/>
      <c r="G241" s="309"/>
      <c r="H241" s="309"/>
      <c r="I241" s="309"/>
      <c r="J241" s="309"/>
      <c r="K241" s="309"/>
      <c r="L241" s="309"/>
      <c r="M241" s="309"/>
      <c r="N241" s="309"/>
      <c r="O241" s="309"/>
      <c r="P241" s="309"/>
      <c r="Q241" s="309"/>
      <c r="R241" s="309"/>
      <c r="S241" s="309"/>
      <c r="T241" s="309"/>
      <c r="U241" s="309"/>
      <c r="V241" s="309"/>
      <c r="W241" s="309"/>
      <c r="X241" s="309"/>
      <c r="Y241" s="309"/>
      <c r="Z241" s="309"/>
    </row>
    <row r="242" ht="12.75" customHeight="1">
      <c r="A242" s="309"/>
      <c r="B242" s="309"/>
      <c r="C242" s="309"/>
      <c r="D242" s="309"/>
      <c r="E242" s="309"/>
      <c r="F242" s="309"/>
      <c r="G242" s="309"/>
      <c r="H242" s="309"/>
      <c r="I242" s="309"/>
      <c r="J242" s="309"/>
      <c r="K242" s="309"/>
      <c r="L242" s="309"/>
      <c r="M242" s="309"/>
      <c r="N242" s="309"/>
      <c r="O242" s="309"/>
      <c r="P242" s="309"/>
      <c r="Q242" s="309"/>
      <c r="R242" s="309"/>
      <c r="S242" s="309"/>
      <c r="T242" s="309"/>
      <c r="U242" s="309"/>
      <c r="V242" s="309"/>
      <c r="W242" s="309"/>
      <c r="X242" s="309"/>
      <c r="Y242" s="309"/>
      <c r="Z242" s="309"/>
    </row>
    <row r="243" ht="12.75" customHeight="1">
      <c r="A243" s="309"/>
      <c r="B243" s="309"/>
      <c r="C243" s="309"/>
      <c r="D243" s="309"/>
      <c r="E243" s="309"/>
      <c r="F243" s="309"/>
      <c r="G243" s="309"/>
      <c r="H243" s="309"/>
      <c r="I243" s="309"/>
      <c r="J243" s="309"/>
      <c r="K243" s="309"/>
      <c r="L243" s="309"/>
      <c r="M243" s="309"/>
      <c r="N243" s="309"/>
      <c r="O243" s="309"/>
      <c r="P243" s="309"/>
      <c r="Q243" s="309"/>
      <c r="R243" s="309"/>
      <c r="S243" s="309"/>
      <c r="T243" s="309"/>
      <c r="U243" s="309"/>
      <c r="V243" s="309"/>
      <c r="W243" s="309"/>
      <c r="X243" s="309"/>
      <c r="Y243" s="309"/>
      <c r="Z243" s="309"/>
    </row>
    <row r="244" ht="12.75" customHeight="1">
      <c r="A244" s="309"/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</row>
    <row r="245" ht="12.75" customHeight="1">
      <c r="A245" s="309"/>
      <c r="B245" s="309"/>
      <c r="C245" s="309"/>
      <c r="D245" s="309"/>
      <c r="E245" s="309"/>
      <c r="F245" s="309"/>
      <c r="G245" s="309"/>
      <c r="H245" s="309"/>
      <c r="I245" s="309"/>
      <c r="J245" s="309"/>
      <c r="K245" s="309"/>
      <c r="L245" s="309"/>
      <c r="M245" s="309"/>
      <c r="N245" s="309"/>
      <c r="O245" s="309"/>
      <c r="P245" s="309"/>
      <c r="Q245" s="309"/>
      <c r="R245" s="309"/>
      <c r="S245" s="309"/>
      <c r="T245" s="309"/>
      <c r="U245" s="309"/>
      <c r="V245" s="309"/>
      <c r="W245" s="309"/>
      <c r="X245" s="309"/>
      <c r="Y245" s="309"/>
      <c r="Z245" s="309"/>
    </row>
    <row r="246" ht="12.75" customHeight="1">
      <c r="A246" s="309"/>
      <c r="B246" s="309"/>
      <c r="C246" s="309"/>
      <c r="D246" s="309"/>
      <c r="E246" s="309"/>
      <c r="F246" s="309"/>
      <c r="G246" s="309"/>
      <c r="H246" s="309"/>
      <c r="I246" s="309"/>
      <c r="J246" s="309"/>
      <c r="K246" s="309"/>
      <c r="L246" s="309"/>
      <c r="M246" s="309"/>
      <c r="N246" s="309"/>
      <c r="O246" s="309"/>
      <c r="P246" s="309"/>
      <c r="Q246" s="309"/>
      <c r="R246" s="309"/>
      <c r="S246" s="309"/>
      <c r="T246" s="309"/>
      <c r="U246" s="309"/>
      <c r="V246" s="309"/>
      <c r="W246" s="309"/>
      <c r="X246" s="309"/>
      <c r="Y246" s="309"/>
      <c r="Z246" s="309"/>
    </row>
    <row r="247" ht="12.75" customHeight="1">
      <c r="A247" s="309"/>
      <c r="B247" s="309"/>
      <c r="C247" s="309"/>
      <c r="D247" s="309"/>
      <c r="E247" s="309"/>
      <c r="F247" s="309"/>
      <c r="G247" s="309"/>
      <c r="H247" s="309"/>
      <c r="I247" s="309"/>
      <c r="J247" s="309"/>
      <c r="K247" s="309"/>
      <c r="L247" s="309"/>
      <c r="M247" s="309"/>
      <c r="N247" s="309"/>
      <c r="O247" s="309"/>
      <c r="P247" s="309"/>
      <c r="Q247" s="309"/>
      <c r="R247" s="309"/>
      <c r="S247" s="309"/>
      <c r="T247" s="309"/>
      <c r="U247" s="309"/>
      <c r="V247" s="309"/>
      <c r="W247" s="309"/>
      <c r="X247" s="309"/>
      <c r="Y247" s="309"/>
      <c r="Z247" s="309"/>
    </row>
    <row r="248" ht="12.75" customHeight="1">
      <c r="A248" s="309"/>
      <c r="B248" s="309"/>
      <c r="C248" s="309"/>
      <c r="D248" s="309"/>
      <c r="E248" s="309"/>
      <c r="F248" s="309"/>
      <c r="G248" s="309"/>
      <c r="H248" s="309"/>
      <c r="I248" s="309"/>
      <c r="J248" s="309"/>
      <c r="K248" s="309"/>
      <c r="L248" s="309"/>
      <c r="M248" s="309"/>
      <c r="N248" s="309"/>
      <c r="O248" s="309"/>
      <c r="P248" s="309"/>
      <c r="Q248" s="309"/>
      <c r="R248" s="309"/>
      <c r="S248" s="309"/>
      <c r="T248" s="309"/>
      <c r="U248" s="309"/>
      <c r="V248" s="309"/>
      <c r="W248" s="309"/>
      <c r="X248" s="309"/>
      <c r="Y248" s="309"/>
      <c r="Z248" s="309"/>
    </row>
    <row r="249" ht="12.75" customHeight="1">
      <c r="A249" s="309"/>
      <c r="B249" s="309"/>
      <c r="C249" s="309"/>
      <c r="D249" s="309"/>
      <c r="E249" s="309"/>
      <c r="F249" s="309"/>
      <c r="G249" s="309"/>
      <c r="H249" s="309"/>
      <c r="I249" s="309"/>
      <c r="J249" s="309"/>
      <c r="K249" s="309"/>
      <c r="L249" s="309"/>
      <c r="M249" s="309"/>
      <c r="N249" s="309"/>
      <c r="O249" s="309"/>
      <c r="P249" s="309"/>
      <c r="Q249" s="309"/>
      <c r="R249" s="309"/>
      <c r="S249" s="309"/>
      <c r="T249" s="309"/>
      <c r="U249" s="309"/>
      <c r="V249" s="309"/>
      <c r="W249" s="309"/>
      <c r="X249" s="309"/>
      <c r="Y249" s="309"/>
      <c r="Z249" s="309"/>
    </row>
    <row r="250" ht="12.75" customHeight="1">
      <c r="A250" s="309"/>
      <c r="B250" s="309"/>
      <c r="C250" s="309"/>
      <c r="D250" s="309"/>
      <c r="E250" s="309"/>
      <c r="F250" s="309"/>
      <c r="G250" s="309"/>
      <c r="H250" s="309"/>
      <c r="I250" s="309"/>
      <c r="J250" s="309"/>
      <c r="K250" s="309"/>
      <c r="L250" s="309"/>
      <c r="M250" s="309"/>
      <c r="N250" s="309"/>
      <c r="O250" s="309"/>
      <c r="P250" s="309"/>
      <c r="Q250" s="309"/>
      <c r="R250" s="309"/>
      <c r="S250" s="309"/>
      <c r="T250" s="309"/>
      <c r="U250" s="309"/>
      <c r="V250" s="309"/>
      <c r="W250" s="309"/>
      <c r="X250" s="309"/>
      <c r="Y250" s="309"/>
      <c r="Z250" s="309"/>
    </row>
    <row r="251" ht="12.75" customHeight="1">
      <c r="A251" s="309"/>
      <c r="B251" s="309"/>
      <c r="C251" s="309"/>
      <c r="D251" s="309"/>
      <c r="E251" s="309"/>
      <c r="F251" s="309"/>
      <c r="G251" s="309"/>
      <c r="H251" s="309"/>
      <c r="I251" s="309"/>
      <c r="J251" s="309"/>
      <c r="K251" s="309"/>
      <c r="L251" s="309"/>
      <c r="M251" s="309"/>
      <c r="N251" s="309"/>
      <c r="O251" s="309"/>
      <c r="P251" s="309"/>
      <c r="Q251" s="309"/>
      <c r="R251" s="309"/>
      <c r="S251" s="309"/>
      <c r="T251" s="309"/>
      <c r="U251" s="309"/>
      <c r="V251" s="309"/>
      <c r="W251" s="309"/>
      <c r="X251" s="309"/>
      <c r="Y251" s="309"/>
      <c r="Z251" s="309"/>
    </row>
    <row r="252" ht="12.75" customHeight="1">
      <c r="A252" s="309"/>
      <c r="B252" s="309"/>
      <c r="C252" s="309"/>
      <c r="D252" s="309"/>
      <c r="E252" s="309"/>
      <c r="F252" s="309"/>
      <c r="G252" s="309"/>
      <c r="H252" s="309"/>
      <c r="I252" s="309"/>
      <c r="J252" s="309"/>
      <c r="K252" s="309"/>
      <c r="L252" s="309"/>
      <c r="M252" s="309"/>
      <c r="N252" s="309"/>
      <c r="O252" s="309"/>
      <c r="P252" s="309"/>
      <c r="Q252" s="309"/>
      <c r="R252" s="309"/>
      <c r="S252" s="309"/>
      <c r="T252" s="309"/>
      <c r="U252" s="309"/>
      <c r="V252" s="309"/>
      <c r="W252" s="309"/>
      <c r="X252" s="309"/>
      <c r="Y252" s="309"/>
      <c r="Z252" s="309"/>
    </row>
    <row r="253" ht="12.75" customHeight="1">
      <c r="A253" s="309"/>
      <c r="B253" s="309"/>
      <c r="C253" s="309"/>
      <c r="D253" s="309"/>
      <c r="E253" s="309"/>
      <c r="F253" s="309"/>
      <c r="G253" s="309"/>
      <c r="H253" s="309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09"/>
      <c r="V253" s="309"/>
      <c r="W253" s="309"/>
      <c r="X253" s="309"/>
      <c r="Y253" s="309"/>
      <c r="Z253" s="309"/>
    </row>
    <row r="254" ht="12.75" customHeight="1">
      <c r="A254" s="309"/>
      <c r="B254" s="309"/>
      <c r="C254" s="309"/>
      <c r="D254" s="309"/>
      <c r="E254" s="309"/>
      <c r="F254" s="309"/>
      <c r="G254" s="309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09"/>
      <c r="V254" s="309"/>
      <c r="W254" s="309"/>
      <c r="X254" s="309"/>
      <c r="Y254" s="309"/>
      <c r="Z254" s="309"/>
    </row>
    <row r="255" ht="12.75" customHeight="1">
      <c r="A255" s="309"/>
      <c r="B255" s="309"/>
      <c r="C255" s="309"/>
      <c r="D255" s="309"/>
      <c r="E255" s="309"/>
      <c r="F255" s="309"/>
      <c r="G255" s="309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09"/>
      <c r="V255" s="309"/>
      <c r="W255" s="309"/>
      <c r="X255" s="309"/>
      <c r="Y255" s="309"/>
      <c r="Z255" s="309"/>
    </row>
    <row r="256" ht="12.75" customHeight="1">
      <c r="A256" s="309"/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</row>
    <row r="257" ht="12.75" customHeight="1">
      <c r="A257" s="309"/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</row>
    <row r="258" ht="12.75" customHeight="1">
      <c r="A258" s="309"/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</row>
    <row r="259" ht="12.75" customHeight="1">
      <c r="A259" s="309"/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</row>
    <row r="260" ht="12.75" customHeight="1">
      <c r="A260" s="309"/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</row>
    <row r="261" ht="12.75" customHeight="1">
      <c r="A261" s="309"/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</row>
    <row r="262" ht="12.75" customHeight="1">
      <c r="A262" s="309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</row>
    <row r="263" ht="12.75" customHeight="1">
      <c r="A263" s="309"/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</row>
    <row r="264" ht="12.75" customHeight="1">
      <c r="A264" s="309"/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</row>
    <row r="265" ht="12.75" customHeight="1">
      <c r="A265" s="309"/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</row>
    <row r="266" ht="12.75" customHeight="1">
      <c r="A266" s="309"/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</row>
    <row r="267" ht="12.75" customHeight="1">
      <c r="A267" s="309"/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</row>
    <row r="268" ht="12.75" customHeight="1">
      <c r="A268" s="309"/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</row>
    <row r="269" ht="12.75" customHeight="1">
      <c r="A269" s="309"/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</row>
    <row r="270" ht="12.75" customHeight="1">
      <c r="A270" s="309"/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</row>
    <row r="271" ht="12.75" customHeight="1">
      <c r="A271" s="309"/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</row>
    <row r="272" ht="12.75" customHeight="1">
      <c r="A272" s="309"/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</row>
    <row r="273" ht="12.75" customHeight="1">
      <c r="A273" s="309"/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</row>
    <row r="274" ht="12.75" customHeight="1">
      <c r="A274" s="309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</row>
    <row r="275" ht="12.75" customHeight="1">
      <c r="A275" s="309"/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</row>
    <row r="276" ht="12.75" customHeight="1">
      <c r="A276" s="309"/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</row>
    <row r="277" ht="12.75" customHeight="1">
      <c r="A277" s="309"/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</row>
    <row r="278" ht="12.75" customHeight="1">
      <c r="A278" s="309"/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</row>
    <row r="279" ht="12.75" customHeight="1">
      <c r="A279" s="309"/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</row>
    <row r="280" ht="12.75" customHeight="1">
      <c r="A280" s="309"/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</row>
    <row r="281" ht="12.75" customHeight="1">
      <c r="A281" s="309"/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</row>
    <row r="282" ht="12.75" customHeight="1">
      <c r="A282" s="309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</row>
    <row r="283" ht="12.75" customHeight="1">
      <c r="A283" s="309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</row>
    <row r="284" ht="12.75" customHeight="1">
      <c r="A284" s="309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</row>
    <row r="285" ht="12.75" customHeight="1">
      <c r="A285" s="309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</row>
    <row r="286" ht="12.75" customHeight="1">
      <c r="A286" s="309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</row>
    <row r="287" ht="12.75" customHeight="1">
      <c r="A287" s="309"/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</row>
    <row r="288" ht="12.75" customHeight="1">
      <c r="A288" s="309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</row>
    <row r="289" ht="12.75" customHeight="1">
      <c r="A289" s="309"/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</row>
    <row r="290" ht="12.75" customHeight="1">
      <c r="A290" s="309"/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</row>
    <row r="291" ht="12.75" customHeight="1">
      <c r="A291" s="309"/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</row>
    <row r="292" ht="12.75" customHeight="1">
      <c r="A292" s="309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</row>
    <row r="293" ht="12.75" customHeight="1">
      <c r="A293" s="309"/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</row>
    <row r="294" ht="12.75" customHeight="1">
      <c r="A294" s="309"/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</row>
    <row r="295" ht="12.75" customHeight="1">
      <c r="A295" s="309"/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</row>
    <row r="296" ht="12.75" customHeight="1">
      <c r="A296" s="309"/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</row>
    <row r="297" ht="12.75" customHeight="1">
      <c r="A297" s="309"/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</row>
    <row r="298" ht="12.75" customHeight="1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</row>
    <row r="299" ht="12.75" customHeight="1">
      <c r="A299" s="309"/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</row>
    <row r="300" ht="12.75" customHeight="1">
      <c r="A300" s="309"/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</row>
    <row r="301" ht="12.75" customHeight="1">
      <c r="A301" s="309"/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</row>
    <row r="302" ht="12.75" customHeight="1">
      <c r="A302" s="309"/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</row>
    <row r="303" ht="12.75" customHeight="1">
      <c r="A303" s="309"/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</row>
    <row r="304" ht="12.75" customHeight="1">
      <c r="A304" s="309"/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</row>
    <row r="305" ht="12.75" customHeight="1">
      <c r="A305" s="309"/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</row>
    <row r="306" ht="12.75" customHeight="1">
      <c r="A306" s="309"/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</row>
    <row r="307" ht="12.75" customHeight="1">
      <c r="A307" s="309"/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</row>
    <row r="308" ht="12.75" customHeight="1">
      <c r="A308" s="309"/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</row>
    <row r="309" ht="12.75" customHeight="1">
      <c r="A309" s="309"/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</row>
    <row r="310" ht="12.75" customHeight="1">
      <c r="A310" s="309"/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</row>
    <row r="311" ht="12.75" customHeight="1">
      <c r="A311" s="309"/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</row>
    <row r="312" ht="12.75" customHeight="1">
      <c r="A312" s="309"/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</row>
    <row r="313" ht="12.75" customHeight="1">
      <c r="A313" s="309"/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</row>
    <row r="314" ht="12.75" customHeight="1">
      <c r="A314" s="309"/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</row>
    <row r="315" ht="12.75" customHeight="1">
      <c r="A315" s="309"/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</row>
    <row r="316" ht="12.75" customHeight="1">
      <c r="A316" s="309"/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</row>
    <row r="317" ht="12.75" customHeight="1">
      <c r="A317" s="309"/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</row>
    <row r="318" ht="12.75" customHeight="1">
      <c r="A318" s="309"/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</row>
    <row r="319" ht="12.75" customHeight="1">
      <c r="A319" s="309"/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</row>
    <row r="320" ht="12.75" customHeight="1">
      <c r="A320" s="309"/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</row>
    <row r="321" ht="12.75" customHeight="1">
      <c r="A321" s="309"/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</row>
    <row r="322" ht="12.75" customHeight="1">
      <c r="A322" s="309"/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</row>
    <row r="323" ht="12.75" customHeight="1">
      <c r="A323" s="309"/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</row>
    <row r="324" ht="12.75" customHeight="1">
      <c r="A324" s="309"/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</row>
    <row r="325" ht="12.75" customHeight="1">
      <c r="A325" s="309"/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</row>
    <row r="326" ht="12.75" customHeight="1">
      <c r="A326" s="309"/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</row>
    <row r="327" ht="12.75" customHeight="1">
      <c r="A327" s="309"/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</row>
    <row r="328" ht="12.75" customHeight="1">
      <c r="A328" s="309"/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</row>
    <row r="329" ht="12.75" customHeight="1">
      <c r="A329" s="309"/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</row>
    <row r="330" ht="12.75" customHeight="1">
      <c r="A330" s="309"/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</row>
    <row r="331" ht="12.75" customHeight="1">
      <c r="A331" s="309"/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</row>
    <row r="332" ht="12.75" customHeight="1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</row>
    <row r="333" ht="12.75" customHeight="1">
      <c r="A333" s="309"/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</row>
    <row r="334" ht="12.75" customHeight="1">
      <c r="A334" s="309"/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</row>
    <row r="335" ht="12.75" customHeight="1">
      <c r="A335" s="309"/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</row>
    <row r="336" ht="12.75" customHeight="1">
      <c r="A336" s="309"/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</row>
    <row r="337" ht="12.75" customHeight="1">
      <c r="A337" s="309"/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</row>
    <row r="338" ht="12.75" customHeight="1">
      <c r="A338" s="309"/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</row>
    <row r="339" ht="12.75" customHeight="1">
      <c r="A339" s="309"/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</row>
    <row r="340" ht="12.75" customHeight="1">
      <c r="A340" s="309"/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</row>
    <row r="341" ht="12.75" customHeight="1">
      <c r="A341" s="309"/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</row>
    <row r="342" ht="12.75" customHeight="1">
      <c r="A342" s="309"/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</row>
    <row r="343" ht="12.75" customHeight="1">
      <c r="A343" s="309"/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</row>
    <row r="344" ht="12.75" customHeight="1">
      <c r="A344" s="309"/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</row>
    <row r="345" ht="12.75" customHeight="1">
      <c r="A345" s="309"/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</row>
    <row r="346" ht="12.75" customHeight="1">
      <c r="A346" s="309"/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</row>
    <row r="347" ht="12.75" customHeight="1">
      <c r="A347" s="309"/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</row>
    <row r="348" ht="12.75" customHeight="1">
      <c r="A348" s="309"/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</row>
    <row r="349" ht="12.75" customHeight="1">
      <c r="A349" s="309"/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</row>
    <row r="350" ht="12.75" customHeight="1">
      <c r="A350" s="309"/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</row>
    <row r="351" ht="12.75" customHeight="1">
      <c r="A351" s="309"/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</row>
    <row r="352" ht="12.75" customHeight="1">
      <c r="A352" s="309"/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</row>
    <row r="353" ht="12.75" customHeight="1">
      <c r="A353" s="309"/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</row>
    <row r="354" ht="12.75" customHeight="1">
      <c r="A354" s="309"/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</row>
    <row r="355" ht="12.75" customHeight="1">
      <c r="A355" s="309"/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</row>
    <row r="356" ht="12.75" customHeight="1">
      <c r="A356" s="309"/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</row>
    <row r="357" ht="12.75" customHeight="1">
      <c r="A357" s="309"/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</row>
    <row r="358" ht="12.75" customHeight="1">
      <c r="A358" s="309"/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</row>
    <row r="359" ht="12.75" customHeight="1">
      <c r="A359" s="309"/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</row>
    <row r="360" ht="12.75" customHeight="1">
      <c r="A360" s="309"/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</row>
    <row r="361" ht="12.75" customHeight="1">
      <c r="A361" s="309"/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</row>
    <row r="362" ht="12.75" customHeight="1">
      <c r="A362" s="309"/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</row>
    <row r="363" ht="12.75" customHeight="1">
      <c r="A363" s="309"/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</row>
    <row r="364" ht="12.75" customHeight="1">
      <c r="A364" s="309"/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</row>
    <row r="365" ht="12.75" customHeight="1">
      <c r="A365" s="309"/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</row>
    <row r="366" ht="12.75" customHeight="1">
      <c r="A366" s="309"/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</row>
    <row r="367" ht="12.75" customHeight="1">
      <c r="A367" s="309"/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</row>
    <row r="368" ht="12.75" customHeight="1">
      <c r="A368" s="309"/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</row>
    <row r="369" ht="12.75" customHeight="1">
      <c r="A369" s="309"/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</row>
    <row r="370" ht="12.75" customHeight="1">
      <c r="A370" s="309"/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</row>
    <row r="371" ht="12.75" customHeight="1">
      <c r="A371" s="309"/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</row>
    <row r="372" ht="12.75" customHeight="1">
      <c r="A372" s="309"/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</row>
    <row r="373" ht="12.75" customHeight="1">
      <c r="A373" s="309"/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</row>
    <row r="374" ht="12.75" customHeight="1">
      <c r="A374" s="309"/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</row>
    <row r="375" ht="12.75" customHeight="1">
      <c r="A375" s="309"/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</row>
    <row r="376" ht="12.75" customHeight="1">
      <c r="A376" s="309"/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</row>
    <row r="377" ht="12.75" customHeight="1">
      <c r="A377" s="309"/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</row>
    <row r="378" ht="12.75" customHeight="1">
      <c r="A378" s="309"/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</row>
    <row r="379" ht="12.75" customHeight="1">
      <c r="A379" s="309"/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</row>
    <row r="380" ht="12.75" customHeight="1">
      <c r="A380" s="309"/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</row>
    <row r="381" ht="12.75" customHeight="1">
      <c r="A381" s="309"/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</row>
    <row r="382" ht="12.75" customHeight="1">
      <c r="A382" s="309"/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</row>
    <row r="383" ht="12.75" customHeight="1">
      <c r="A383" s="309"/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</row>
    <row r="384" ht="12.75" customHeight="1">
      <c r="A384" s="309"/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</row>
    <row r="385" ht="12.75" customHeight="1">
      <c r="A385" s="309"/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</row>
    <row r="386" ht="12.75" customHeight="1">
      <c r="A386" s="309"/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</row>
    <row r="387" ht="12.75" customHeight="1">
      <c r="A387" s="309"/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</row>
    <row r="388" ht="12.75" customHeight="1">
      <c r="A388" s="309"/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</row>
    <row r="389" ht="12.75" customHeight="1">
      <c r="A389" s="309"/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</row>
    <row r="390" ht="12.75" customHeight="1">
      <c r="A390" s="309"/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</row>
    <row r="391" ht="12.75" customHeight="1">
      <c r="A391" s="309"/>
      <c r="B391" s="309"/>
      <c r="C391" s="309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</row>
    <row r="392" ht="12.75" customHeight="1">
      <c r="A392" s="309"/>
      <c r="B392" s="309"/>
      <c r="C392" s="309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</row>
    <row r="393" ht="12.75" customHeight="1">
      <c r="A393" s="309"/>
      <c r="B393" s="309"/>
      <c r="C393" s="309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</row>
    <row r="394" ht="12.75" customHeight="1">
      <c r="A394" s="309"/>
      <c r="B394" s="309"/>
      <c r="C394" s="309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</row>
    <row r="395" ht="12.75" customHeight="1">
      <c r="A395" s="309"/>
      <c r="B395" s="309"/>
      <c r="C395" s="309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</row>
    <row r="396" ht="12.75" customHeight="1">
      <c r="A396" s="309"/>
      <c r="B396" s="309"/>
      <c r="C396" s="309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</row>
    <row r="397" ht="12.75" customHeight="1">
      <c r="A397" s="309"/>
      <c r="B397" s="309"/>
      <c r="C397" s="309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</row>
    <row r="398" ht="12.75" customHeight="1">
      <c r="A398" s="309"/>
      <c r="B398" s="309"/>
      <c r="C398" s="309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</row>
    <row r="399" ht="12.75" customHeight="1">
      <c r="A399" s="309"/>
      <c r="B399" s="309"/>
      <c r="C399" s="309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</row>
    <row r="400" ht="12.75" customHeight="1">
      <c r="A400" s="309"/>
      <c r="B400" s="309"/>
      <c r="C400" s="309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</row>
    <row r="401" ht="12.75" customHeight="1">
      <c r="A401" s="309"/>
      <c r="B401" s="309"/>
      <c r="C401" s="309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</row>
    <row r="402" ht="12.75" customHeight="1">
      <c r="A402" s="309"/>
      <c r="B402" s="309"/>
      <c r="C402" s="309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</row>
    <row r="403" ht="12.75" customHeight="1">
      <c r="A403" s="309"/>
      <c r="B403" s="309"/>
      <c r="C403" s="309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</row>
    <row r="404" ht="12.75" customHeight="1">
      <c r="A404" s="309"/>
      <c r="B404" s="309"/>
      <c r="C404" s="309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</row>
    <row r="405" ht="12.75" customHeight="1">
      <c r="A405" s="309"/>
      <c r="B405" s="309"/>
      <c r="C405" s="309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</row>
    <row r="406" ht="12.75" customHeight="1">
      <c r="A406" s="309"/>
      <c r="B406" s="309"/>
      <c r="C406" s="309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</row>
    <row r="407" ht="12.75" customHeight="1">
      <c r="A407" s="309"/>
      <c r="B407" s="309"/>
      <c r="C407" s="309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</row>
    <row r="408" ht="12.75" customHeight="1">
      <c r="A408" s="309"/>
      <c r="B408" s="309"/>
      <c r="C408" s="309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</row>
    <row r="409" ht="12.75" customHeight="1">
      <c r="A409" s="309"/>
      <c r="B409" s="309"/>
      <c r="C409" s="309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</row>
    <row r="410" ht="12.75" customHeight="1">
      <c r="A410" s="309"/>
      <c r="B410" s="309"/>
      <c r="C410" s="309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</row>
    <row r="411" ht="12.75" customHeight="1">
      <c r="A411" s="309"/>
      <c r="B411" s="309"/>
      <c r="C411" s="309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</row>
    <row r="412" ht="12.75" customHeight="1">
      <c r="A412" s="309"/>
      <c r="B412" s="309"/>
      <c r="C412" s="309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</row>
    <row r="413" ht="12.75" customHeight="1">
      <c r="A413" s="309"/>
      <c r="B413" s="309"/>
      <c r="C413" s="309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</row>
    <row r="414" ht="12.75" customHeight="1">
      <c r="A414" s="309"/>
      <c r="B414" s="309"/>
      <c r="C414" s="309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</row>
    <row r="415" ht="12.75" customHeight="1">
      <c r="A415" s="309"/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</row>
    <row r="416" ht="12.75" customHeight="1">
      <c r="A416" s="309"/>
      <c r="B416" s="309"/>
      <c r="C416" s="309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</row>
    <row r="417" ht="12.75" customHeight="1">
      <c r="A417" s="309"/>
      <c r="B417" s="309"/>
      <c r="C417" s="309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</row>
    <row r="418" ht="12.75" customHeight="1">
      <c r="A418" s="309"/>
      <c r="B418" s="309"/>
      <c r="C418" s="309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</row>
    <row r="419" ht="12.75" customHeight="1">
      <c r="A419" s="309"/>
      <c r="B419" s="309"/>
      <c r="C419" s="309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</row>
    <row r="420" ht="12.75" customHeight="1">
      <c r="A420" s="309"/>
      <c r="B420" s="309"/>
      <c r="C420" s="309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</row>
    <row r="421" ht="12.75" customHeight="1">
      <c r="A421" s="309"/>
      <c r="B421" s="309"/>
      <c r="C421" s="309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</row>
    <row r="422" ht="12.75" customHeight="1">
      <c r="A422" s="309"/>
      <c r="B422" s="309"/>
      <c r="C422" s="309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</row>
    <row r="423" ht="12.75" customHeight="1">
      <c r="A423" s="309"/>
      <c r="B423" s="309"/>
      <c r="C423" s="309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</row>
    <row r="424" ht="12.75" customHeight="1">
      <c r="A424" s="309"/>
      <c r="B424" s="309"/>
      <c r="C424" s="309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</row>
    <row r="425" ht="12.75" customHeight="1">
      <c r="A425" s="309"/>
      <c r="B425" s="309"/>
      <c r="C425" s="309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</row>
    <row r="426" ht="12.75" customHeight="1">
      <c r="A426" s="309"/>
      <c r="B426" s="309"/>
      <c r="C426" s="309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</row>
    <row r="427" ht="12.75" customHeight="1">
      <c r="A427" s="309"/>
      <c r="B427" s="309"/>
      <c r="C427" s="309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</row>
    <row r="428" ht="12.75" customHeight="1">
      <c r="A428" s="309"/>
      <c r="B428" s="309"/>
      <c r="C428" s="309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</row>
    <row r="429" ht="12.75" customHeight="1">
      <c r="A429" s="309"/>
      <c r="B429" s="309"/>
      <c r="C429" s="309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</row>
    <row r="430" ht="12.75" customHeight="1">
      <c r="A430" s="309"/>
      <c r="B430" s="309"/>
      <c r="C430" s="309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</row>
    <row r="431" ht="12.75" customHeight="1">
      <c r="A431" s="309"/>
      <c r="B431" s="309"/>
      <c r="C431" s="309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</row>
    <row r="432" ht="12.75" customHeight="1">
      <c r="A432" s="309"/>
      <c r="B432" s="309"/>
      <c r="C432" s="309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</row>
    <row r="433" ht="12.75" customHeight="1">
      <c r="A433" s="309"/>
      <c r="B433" s="309"/>
      <c r="C433" s="309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</row>
    <row r="434" ht="12.75" customHeight="1">
      <c r="A434" s="309"/>
      <c r="B434" s="309"/>
      <c r="C434" s="309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</row>
    <row r="435" ht="12.75" customHeight="1">
      <c r="A435" s="309"/>
      <c r="B435" s="309"/>
      <c r="C435" s="309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</row>
    <row r="436" ht="12.75" customHeight="1">
      <c r="A436" s="309"/>
      <c r="B436" s="309"/>
      <c r="C436" s="309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</row>
    <row r="437" ht="12.75" customHeight="1">
      <c r="A437" s="309"/>
      <c r="B437" s="309"/>
      <c r="C437" s="309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</row>
    <row r="438" ht="12.75" customHeight="1">
      <c r="A438" s="309"/>
      <c r="B438" s="309"/>
      <c r="C438" s="309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</row>
    <row r="439" ht="12.75" customHeight="1">
      <c r="A439" s="309"/>
      <c r="B439" s="309"/>
      <c r="C439" s="309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</row>
    <row r="440" ht="12.75" customHeight="1">
      <c r="A440" s="309"/>
      <c r="B440" s="309"/>
      <c r="C440" s="309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</row>
    <row r="441" ht="12.75" customHeight="1">
      <c r="A441" s="309"/>
      <c r="B441" s="309"/>
      <c r="C441" s="309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</row>
    <row r="442" ht="12.75" customHeight="1">
      <c r="A442" s="309"/>
      <c r="B442" s="309"/>
      <c r="C442" s="309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</row>
    <row r="443" ht="12.75" customHeight="1">
      <c r="A443" s="309"/>
      <c r="B443" s="309"/>
      <c r="C443" s="309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</row>
    <row r="444" ht="12.75" customHeight="1">
      <c r="A444" s="309"/>
      <c r="B444" s="309"/>
      <c r="C444" s="309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</row>
    <row r="445" ht="12.75" customHeight="1">
      <c r="A445" s="309"/>
      <c r="B445" s="309"/>
      <c r="C445" s="309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</row>
    <row r="446" ht="12.75" customHeight="1">
      <c r="A446" s="309"/>
      <c r="B446" s="309"/>
      <c r="C446" s="309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</row>
    <row r="447" ht="12.75" customHeight="1">
      <c r="A447" s="309"/>
      <c r="B447" s="309"/>
      <c r="C447" s="309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</row>
    <row r="448" ht="12.75" customHeight="1">
      <c r="A448" s="309"/>
      <c r="B448" s="309"/>
      <c r="C448" s="309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</row>
    <row r="449" ht="12.75" customHeight="1">
      <c r="A449" s="309"/>
      <c r="B449" s="309"/>
      <c r="C449" s="309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</row>
    <row r="450" ht="12.75" customHeight="1">
      <c r="A450" s="309"/>
      <c r="B450" s="309"/>
      <c r="C450" s="309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</row>
    <row r="451" ht="12.75" customHeight="1">
      <c r="A451" s="309"/>
      <c r="B451" s="309"/>
      <c r="C451" s="309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</row>
    <row r="452" ht="12.75" customHeight="1">
      <c r="A452" s="309"/>
      <c r="B452" s="309"/>
      <c r="C452" s="309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</row>
    <row r="453" ht="12.75" customHeight="1">
      <c r="A453" s="309"/>
      <c r="B453" s="309"/>
      <c r="C453" s="309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</row>
    <row r="454" ht="12.75" customHeight="1">
      <c r="A454" s="309"/>
      <c r="B454" s="309"/>
      <c r="C454" s="309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</row>
    <row r="455" ht="12.75" customHeight="1">
      <c r="A455" s="309"/>
      <c r="B455" s="309"/>
      <c r="C455" s="309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</row>
    <row r="456" ht="12.75" customHeight="1">
      <c r="A456" s="309"/>
      <c r="B456" s="309"/>
      <c r="C456" s="309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</row>
    <row r="457" ht="12.75" customHeight="1">
      <c r="A457" s="309"/>
      <c r="B457" s="309"/>
      <c r="C457" s="309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</row>
    <row r="458" ht="12.75" customHeight="1">
      <c r="A458" s="309"/>
      <c r="B458" s="309"/>
      <c r="C458" s="309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</row>
    <row r="459" ht="12.75" customHeight="1">
      <c r="A459" s="309"/>
      <c r="B459" s="309"/>
      <c r="C459" s="30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</row>
    <row r="460" ht="12.75" customHeight="1">
      <c r="A460" s="309"/>
      <c r="B460" s="309"/>
      <c r="C460" s="309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</row>
    <row r="461" ht="12.75" customHeight="1">
      <c r="A461" s="309"/>
      <c r="B461" s="309"/>
      <c r="C461" s="309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</row>
    <row r="462" ht="12.75" customHeight="1">
      <c r="A462" s="309"/>
      <c r="B462" s="309"/>
      <c r="C462" s="309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</row>
    <row r="463" ht="12.75" customHeight="1">
      <c r="A463" s="309"/>
      <c r="B463" s="309"/>
      <c r="C463" s="309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</row>
    <row r="464" ht="12.75" customHeight="1">
      <c r="A464" s="309"/>
      <c r="B464" s="309"/>
      <c r="C464" s="309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</row>
    <row r="465" ht="12.75" customHeight="1">
      <c r="A465" s="309"/>
      <c r="B465" s="309"/>
      <c r="C465" s="309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</row>
    <row r="466" ht="12.75" customHeight="1">
      <c r="A466" s="309"/>
      <c r="B466" s="309"/>
      <c r="C466" s="309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</row>
    <row r="467" ht="12.75" customHeight="1">
      <c r="A467" s="309"/>
      <c r="B467" s="309"/>
      <c r="C467" s="309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</row>
    <row r="468" ht="12.75" customHeight="1">
      <c r="A468" s="309"/>
      <c r="B468" s="309"/>
      <c r="C468" s="309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</row>
    <row r="469" ht="12.75" customHeight="1">
      <c r="A469" s="309"/>
      <c r="B469" s="309"/>
      <c r="C469" s="309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</row>
    <row r="470" ht="12.75" customHeight="1">
      <c r="A470" s="309"/>
      <c r="B470" s="309"/>
      <c r="C470" s="309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</row>
    <row r="471" ht="12.75" customHeight="1">
      <c r="A471" s="309"/>
      <c r="B471" s="309"/>
      <c r="C471" s="309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</row>
    <row r="472" ht="12.75" customHeight="1">
      <c r="A472" s="309"/>
      <c r="B472" s="309"/>
      <c r="C472" s="309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</row>
    <row r="473" ht="12.75" customHeight="1">
      <c r="A473" s="309"/>
      <c r="B473" s="309"/>
      <c r="C473" s="309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</row>
    <row r="474" ht="12.75" customHeight="1">
      <c r="A474" s="309"/>
      <c r="B474" s="309"/>
      <c r="C474" s="309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</row>
    <row r="475" ht="12.75" customHeight="1">
      <c r="A475" s="309"/>
      <c r="B475" s="309"/>
      <c r="C475" s="309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</row>
    <row r="476" ht="12.75" customHeight="1">
      <c r="A476" s="309"/>
      <c r="B476" s="309"/>
      <c r="C476" s="309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</row>
    <row r="477" ht="12.75" customHeight="1">
      <c r="A477" s="309"/>
      <c r="B477" s="309"/>
      <c r="C477" s="309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</row>
    <row r="478" ht="12.75" customHeight="1">
      <c r="A478" s="309"/>
      <c r="B478" s="309"/>
      <c r="C478" s="309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</row>
    <row r="479" ht="12.75" customHeight="1">
      <c r="A479" s="309"/>
      <c r="B479" s="309"/>
      <c r="C479" s="309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</row>
    <row r="480" ht="12.75" customHeight="1">
      <c r="A480" s="309"/>
      <c r="B480" s="309"/>
      <c r="C480" s="309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</row>
    <row r="481" ht="12.75" customHeight="1">
      <c r="A481" s="309"/>
      <c r="B481" s="309"/>
      <c r="C481" s="309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</row>
    <row r="482" ht="12.75" customHeight="1">
      <c r="A482" s="309"/>
      <c r="B482" s="309"/>
      <c r="C482" s="309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</row>
    <row r="483" ht="12.75" customHeight="1">
      <c r="A483" s="309"/>
      <c r="B483" s="309"/>
      <c r="C483" s="309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</row>
    <row r="484" ht="12.75" customHeight="1">
      <c r="A484" s="309"/>
      <c r="B484" s="309"/>
      <c r="C484" s="309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</row>
    <row r="485" ht="12.75" customHeight="1">
      <c r="A485" s="309"/>
      <c r="B485" s="309"/>
      <c r="C485" s="309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</row>
    <row r="486" ht="12.75" customHeight="1">
      <c r="A486" s="309"/>
      <c r="B486" s="309"/>
      <c r="C486" s="309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</row>
    <row r="487" ht="12.75" customHeight="1">
      <c r="A487" s="309"/>
      <c r="B487" s="309"/>
      <c r="C487" s="309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</row>
    <row r="488" ht="12.75" customHeight="1">
      <c r="A488" s="309"/>
      <c r="B488" s="309"/>
      <c r="C488" s="309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</row>
    <row r="489" ht="12.75" customHeight="1">
      <c r="A489" s="309"/>
      <c r="B489" s="309"/>
      <c r="C489" s="309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</row>
    <row r="490" ht="12.75" customHeight="1">
      <c r="A490" s="309"/>
      <c r="B490" s="309"/>
      <c r="C490" s="309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</row>
    <row r="491" ht="12.75" customHeight="1">
      <c r="A491" s="309"/>
      <c r="B491" s="309"/>
      <c r="C491" s="309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</row>
    <row r="492" ht="12.75" customHeight="1">
      <c r="A492" s="309"/>
      <c r="B492" s="309"/>
      <c r="C492" s="309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</row>
    <row r="493" ht="12.75" customHeight="1">
      <c r="A493" s="309"/>
      <c r="B493" s="309"/>
      <c r="C493" s="309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</row>
    <row r="494" ht="12.75" customHeight="1">
      <c r="A494" s="309"/>
      <c r="B494" s="309"/>
      <c r="C494" s="309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</row>
    <row r="495" ht="12.75" customHeight="1">
      <c r="A495" s="309"/>
      <c r="B495" s="309"/>
      <c r="C495" s="309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</row>
    <row r="496" ht="12.75" customHeight="1">
      <c r="A496" s="309"/>
      <c r="B496" s="309"/>
      <c r="C496" s="309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</row>
    <row r="497" ht="12.75" customHeight="1">
      <c r="A497" s="309"/>
      <c r="B497" s="309"/>
      <c r="C497" s="309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</row>
    <row r="498" ht="12.75" customHeight="1">
      <c r="A498" s="309"/>
      <c r="B498" s="309"/>
      <c r="C498" s="309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</row>
    <row r="499" ht="12.75" customHeight="1">
      <c r="A499" s="309"/>
      <c r="B499" s="309"/>
      <c r="C499" s="309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</row>
    <row r="500" ht="12.75" customHeight="1">
      <c r="A500" s="309"/>
      <c r="B500" s="309"/>
      <c r="C500" s="309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</row>
    <row r="501" ht="12.75" customHeight="1">
      <c r="A501" s="309"/>
      <c r="B501" s="309"/>
      <c r="C501" s="309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</row>
    <row r="502" ht="12.75" customHeight="1">
      <c r="A502" s="309"/>
      <c r="B502" s="309"/>
      <c r="C502" s="309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</row>
    <row r="503" ht="12.75" customHeight="1">
      <c r="A503" s="309"/>
      <c r="B503" s="309"/>
      <c r="C503" s="309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</row>
    <row r="504" ht="12.75" customHeight="1">
      <c r="A504" s="309"/>
      <c r="B504" s="309"/>
      <c r="C504" s="309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</row>
    <row r="505" ht="12.75" customHeight="1">
      <c r="A505" s="309"/>
      <c r="B505" s="309"/>
      <c r="C505" s="309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</row>
    <row r="506" ht="12.75" customHeight="1">
      <c r="A506" s="309"/>
      <c r="B506" s="309"/>
      <c r="C506" s="309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</row>
    <row r="507" ht="12.75" customHeight="1">
      <c r="A507" s="309"/>
      <c r="B507" s="309"/>
      <c r="C507" s="309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</row>
    <row r="508" ht="12.75" customHeight="1">
      <c r="A508" s="309"/>
      <c r="B508" s="309"/>
      <c r="C508" s="309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</row>
    <row r="509" ht="12.75" customHeight="1">
      <c r="A509" s="309"/>
      <c r="B509" s="309"/>
      <c r="C509" s="309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</row>
    <row r="510" ht="12.75" customHeight="1">
      <c r="A510" s="309"/>
      <c r="B510" s="309"/>
      <c r="C510" s="309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</row>
    <row r="511" ht="12.75" customHeight="1">
      <c r="A511" s="309"/>
      <c r="B511" s="309"/>
      <c r="C511" s="309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</row>
    <row r="512" ht="12.75" customHeight="1">
      <c r="A512" s="309"/>
      <c r="B512" s="309"/>
      <c r="C512" s="309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</row>
    <row r="513" ht="12.75" customHeight="1">
      <c r="A513" s="309"/>
      <c r="B513" s="309"/>
      <c r="C513" s="309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</row>
    <row r="514" ht="12.75" customHeight="1">
      <c r="A514" s="309"/>
      <c r="B514" s="309"/>
      <c r="C514" s="309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</row>
    <row r="515" ht="12.75" customHeight="1">
      <c r="A515" s="309"/>
      <c r="B515" s="309"/>
      <c r="C515" s="309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</row>
    <row r="516" ht="12.75" customHeight="1">
      <c r="A516" s="309"/>
      <c r="B516" s="309"/>
      <c r="C516" s="309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</row>
    <row r="517" ht="12.75" customHeight="1">
      <c r="A517" s="309"/>
      <c r="B517" s="309"/>
      <c r="C517" s="309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</row>
    <row r="518" ht="12.75" customHeight="1">
      <c r="A518" s="309"/>
      <c r="B518" s="309"/>
      <c r="C518" s="309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</row>
    <row r="519" ht="12.75" customHeight="1">
      <c r="A519" s="309"/>
      <c r="B519" s="309"/>
      <c r="C519" s="309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</row>
    <row r="520" ht="12.75" customHeight="1">
      <c r="A520" s="309"/>
      <c r="B520" s="309"/>
      <c r="C520" s="309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</row>
    <row r="521" ht="12.75" customHeight="1">
      <c r="A521" s="309"/>
      <c r="B521" s="309"/>
      <c r="C521" s="309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</row>
    <row r="522" ht="12.75" customHeight="1">
      <c r="A522" s="309"/>
      <c r="B522" s="309"/>
      <c r="C522" s="309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</row>
    <row r="523" ht="12.75" customHeight="1">
      <c r="A523" s="309"/>
      <c r="B523" s="309"/>
      <c r="C523" s="309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</row>
    <row r="524" ht="12.75" customHeight="1">
      <c r="A524" s="309"/>
      <c r="B524" s="309"/>
      <c r="C524" s="309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</row>
    <row r="525" ht="12.75" customHeight="1">
      <c r="A525" s="309"/>
      <c r="B525" s="309"/>
      <c r="C525" s="309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</row>
    <row r="526" ht="12.75" customHeight="1">
      <c r="A526" s="309"/>
      <c r="B526" s="309"/>
      <c r="C526" s="309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</row>
    <row r="527" ht="12.75" customHeight="1">
      <c r="A527" s="309"/>
      <c r="B527" s="309"/>
      <c r="C527" s="309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</row>
    <row r="528" ht="12.75" customHeight="1">
      <c r="A528" s="309"/>
      <c r="B528" s="309"/>
      <c r="C528" s="309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</row>
    <row r="529" ht="12.75" customHeight="1">
      <c r="A529" s="309"/>
      <c r="B529" s="309"/>
      <c r="C529" s="309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</row>
    <row r="530" ht="12.75" customHeight="1">
      <c r="A530" s="309"/>
      <c r="B530" s="309"/>
      <c r="C530" s="309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</row>
    <row r="531" ht="12.75" customHeight="1">
      <c r="A531" s="309"/>
      <c r="B531" s="309"/>
      <c r="C531" s="309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</row>
    <row r="532" ht="12.75" customHeight="1">
      <c r="A532" s="309"/>
      <c r="B532" s="309"/>
      <c r="C532" s="309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</row>
    <row r="533" ht="12.75" customHeight="1">
      <c r="A533" s="309"/>
      <c r="B533" s="309"/>
      <c r="C533" s="309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</row>
    <row r="534" ht="12.75" customHeight="1">
      <c r="A534" s="309"/>
      <c r="B534" s="309"/>
      <c r="C534" s="309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</row>
    <row r="535" ht="12.75" customHeight="1">
      <c r="A535" s="309"/>
      <c r="B535" s="309"/>
      <c r="C535" s="309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</row>
    <row r="536" ht="12.75" customHeight="1">
      <c r="A536" s="309"/>
      <c r="B536" s="309"/>
      <c r="C536" s="309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</row>
    <row r="537" ht="12.75" customHeight="1">
      <c r="A537" s="309"/>
      <c r="B537" s="309"/>
      <c r="C537" s="309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</row>
    <row r="538" ht="12.75" customHeight="1">
      <c r="A538" s="309"/>
      <c r="B538" s="309"/>
      <c r="C538" s="309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</row>
    <row r="539" ht="12.75" customHeight="1">
      <c r="A539" s="309"/>
      <c r="B539" s="309"/>
      <c r="C539" s="309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</row>
    <row r="540" ht="12.75" customHeight="1">
      <c r="A540" s="309"/>
      <c r="B540" s="309"/>
      <c r="C540" s="309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</row>
    <row r="541" ht="12.75" customHeight="1">
      <c r="A541" s="309"/>
      <c r="B541" s="309"/>
      <c r="C541" s="309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</row>
    <row r="542" ht="12.75" customHeight="1">
      <c r="A542" s="309"/>
      <c r="B542" s="309"/>
      <c r="C542" s="309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</row>
    <row r="543" ht="12.75" customHeight="1">
      <c r="A543" s="309"/>
      <c r="B543" s="309"/>
      <c r="C543" s="309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</row>
    <row r="544" ht="12.75" customHeight="1">
      <c r="A544" s="309"/>
      <c r="B544" s="309"/>
      <c r="C544" s="309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</row>
    <row r="545" ht="12.75" customHeight="1">
      <c r="A545" s="309"/>
      <c r="B545" s="309"/>
      <c r="C545" s="309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</row>
    <row r="546" ht="12.75" customHeight="1">
      <c r="A546" s="309"/>
      <c r="B546" s="309"/>
      <c r="C546" s="309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</row>
    <row r="547" ht="12.75" customHeight="1">
      <c r="A547" s="309"/>
      <c r="B547" s="309"/>
      <c r="C547" s="309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</row>
    <row r="548" ht="12.75" customHeight="1">
      <c r="A548" s="309"/>
      <c r="B548" s="309"/>
      <c r="C548" s="309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</row>
    <row r="549" ht="12.75" customHeight="1">
      <c r="A549" s="309"/>
      <c r="B549" s="309"/>
      <c r="C549" s="309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</row>
    <row r="550" ht="12.75" customHeight="1">
      <c r="A550" s="309"/>
      <c r="B550" s="309"/>
      <c r="C550" s="309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</row>
    <row r="551" ht="12.75" customHeight="1">
      <c r="A551" s="309"/>
      <c r="B551" s="309"/>
      <c r="C551" s="309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</row>
    <row r="552" ht="12.75" customHeight="1">
      <c r="A552" s="309"/>
      <c r="B552" s="309"/>
      <c r="C552" s="309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</row>
    <row r="553" ht="12.75" customHeight="1">
      <c r="A553" s="309"/>
      <c r="B553" s="309"/>
      <c r="C553" s="309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</row>
    <row r="554" ht="12.75" customHeight="1">
      <c r="A554" s="309"/>
      <c r="B554" s="309"/>
      <c r="C554" s="309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</row>
    <row r="555" ht="12.75" customHeight="1">
      <c r="A555" s="309"/>
      <c r="B555" s="309"/>
      <c r="C555" s="309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</row>
    <row r="556" ht="12.75" customHeight="1">
      <c r="A556" s="309"/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</row>
    <row r="557" ht="12.75" customHeight="1">
      <c r="A557" s="309"/>
      <c r="B557" s="309"/>
      <c r="C557" s="309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</row>
    <row r="558" ht="12.75" customHeight="1">
      <c r="A558" s="309"/>
      <c r="B558" s="309"/>
      <c r="C558" s="309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</row>
    <row r="559" ht="12.75" customHeight="1">
      <c r="A559" s="309"/>
      <c r="B559" s="309"/>
      <c r="C559" s="309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</row>
    <row r="560" ht="12.75" customHeight="1">
      <c r="A560" s="309"/>
      <c r="B560" s="309"/>
      <c r="C560" s="309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</row>
    <row r="561" ht="12.75" customHeight="1">
      <c r="A561" s="309"/>
      <c r="B561" s="309"/>
      <c r="C561" s="309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</row>
    <row r="562" ht="12.75" customHeight="1">
      <c r="A562" s="309"/>
      <c r="B562" s="309"/>
      <c r="C562" s="309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</row>
    <row r="563" ht="12.75" customHeight="1">
      <c r="A563" s="309"/>
      <c r="B563" s="309"/>
      <c r="C563" s="309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</row>
    <row r="564" ht="12.75" customHeight="1">
      <c r="A564" s="309"/>
      <c r="B564" s="309"/>
      <c r="C564" s="309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</row>
    <row r="565" ht="12.75" customHeight="1">
      <c r="A565" s="309"/>
      <c r="B565" s="309"/>
      <c r="C565" s="309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</row>
    <row r="566" ht="12.75" customHeight="1">
      <c r="A566" s="309"/>
      <c r="B566" s="309"/>
      <c r="C566" s="309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</row>
    <row r="567" ht="12.75" customHeight="1">
      <c r="A567" s="309"/>
      <c r="B567" s="309"/>
      <c r="C567" s="309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</row>
    <row r="568" ht="12.75" customHeight="1">
      <c r="A568" s="309"/>
      <c r="B568" s="309"/>
      <c r="C568" s="309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</row>
    <row r="569" ht="12.75" customHeight="1">
      <c r="A569" s="309"/>
      <c r="B569" s="309"/>
      <c r="C569" s="309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</row>
    <row r="570" ht="12.75" customHeight="1">
      <c r="A570" s="309"/>
      <c r="B570" s="309"/>
      <c r="C570" s="309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</row>
    <row r="571" ht="12.75" customHeight="1">
      <c r="A571" s="309"/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</row>
    <row r="572" ht="12.75" customHeight="1">
      <c r="A572" s="309"/>
      <c r="B572" s="309"/>
      <c r="C572" s="309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</row>
    <row r="573" ht="12.75" customHeight="1">
      <c r="A573" s="309"/>
      <c r="B573" s="309"/>
      <c r="C573" s="309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</row>
    <row r="574" ht="12.75" customHeight="1">
      <c r="A574" s="309"/>
      <c r="B574" s="309"/>
      <c r="C574" s="309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</row>
    <row r="575" ht="12.75" customHeight="1">
      <c r="A575" s="309"/>
      <c r="B575" s="309"/>
      <c r="C575" s="309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</row>
    <row r="576" ht="12.75" customHeight="1">
      <c r="A576" s="309"/>
      <c r="B576" s="309"/>
      <c r="C576" s="309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</row>
    <row r="577" ht="12.75" customHeight="1">
      <c r="A577" s="309"/>
      <c r="B577" s="309"/>
      <c r="C577" s="309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</row>
    <row r="578" ht="12.75" customHeight="1">
      <c r="A578" s="309"/>
      <c r="B578" s="309"/>
      <c r="C578" s="309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</row>
    <row r="579" ht="12.75" customHeight="1">
      <c r="A579" s="309"/>
      <c r="B579" s="309"/>
      <c r="C579" s="309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</row>
    <row r="580" ht="12.75" customHeight="1">
      <c r="A580" s="309"/>
      <c r="B580" s="309"/>
      <c r="C580" s="309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</row>
    <row r="581" ht="12.75" customHeight="1">
      <c r="A581" s="309"/>
      <c r="B581" s="309"/>
      <c r="C581" s="309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</row>
    <row r="582" ht="12.75" customHeight="1">
      <c r="A582" s="309"/>
      <c r="B582" s="309"/>
      <c r="C582" s="309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</row>
    <row r="583" ht="12.75" customHeight="1">
      <c r="A583" s="309"/>
      <c r="B583" s="309"/>
      <c r="C583" s="309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</row>
    <row r="584" ht="12.75" customHeight="1">
      <c r="A584" s="309"/>
      <c r="B584" s="309"/>
      <c r="C584" s="309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</row>
    <row r="585" ht="12.75" customHeight="1">
      <c r="A585" s="309"/>
      <c r="B585" s="309"/>
      <c r="C585" s="309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</row>
    <row r="586" ht="12.75" customHeight="1">
      <c r="A586" s="309"/>
      <c r="B586" s="309"/>
      <c r="C586" s="309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</row>
    <row r="587" ht="12.75" customHeight="1">
      <c r="A587" s="309"/>
      <c r="B587" s="309"/>
      <c r="C587" s="309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</row>
    <row r="588" ht="12.75" customHeight="1">
      <c r="A588" s="309"/>
      <c r="B588" s="309"/>
      <c r="C588" s="309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</row>
    <row r="589" ht="12.75" customHeight="1">
      <c r="A589" s="309"/>
      <c r="B589" s="309"/>
      <c r="C589" s="309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</row>
    <row r="590" ht="12.75" customHeight="1">
      <c r="A590" s="309"/>
      <c r="B590" s="309"/>
      <c r="C590" s="309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</row>
    <row r="591" ht="12.75" customHeight="1">
      <c r="A591" s="309"/>
      <c r="B591" s="309"/>
      <c r="C591" s="309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</row>
    <row r="592" ht="12.75" customHeight="1">
      <c r="A592" s="309"/>
      <c r="B592" s="309"/>
      <c r="C592" s="309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</row>
    <row r="593" ht="12.75" customHeight="1">
      <c r="A593" s="309"/>
      <c r="B593" s="309"/>
      <c r="C593" s="309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</row>
    <row r="594" ht="12.75" customHeight="1">
      <c r="A594" s="309"/>
      <c r="B594" s="309"/>
      <c r="C594" s="309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</row>
    <row r="595" ht="12.75" customHeight="1">
      <c r="A595" s="309"/>
      <c r="B595" s="309"/>
      <c r="C595" s="309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</row>
    <row r="596" ht="12.75" customHeight="1">
      <c r="A596" s="309"/>
      <c r="B596" s="309"/>
      <c r="C596" s="309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</row>
    <row r="597" ht="12.75" customHeight="1">
      <c r="A597" s="309"/>
      <c r="B597" s="309"/>
      <c r="C597" s="309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</row>
    <row r="598" ht="12.75" customHeight="1">
      <c r="A598" s="309"/>
      <c r="B598" s="309"/>
      <c r="C598" s="309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</row>
    <row r="599" ht="12.75" customHeight="1">
      <c r="A599" s="309"/>
      <c r="B599" s="309"/>
      <c r="C599" s="309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</row>
    <row r="600" ht="12.75" customHeight="1">
      <c r="A600" s="309"/>
      <c r="B600" s="309"/>
      <c r="C600" s="309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</row>
    <row r="601" ht="12.75" customHeight="1">
      <c r="A601" s="309"/>
      <c r="B601" s="309"/>
      <c r="C601" s="309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</row>
    <row r="602" ht="12.75" customHeight="1">
      <c r="A602" s="309"/>
      <c r="B602" s="309"/>
      <c r="C602" s="309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</row>
    <row r="603" ht="12.75" customHeight="1">
      <c r="A603" s="309"/>
      <c r="B603" s="309"/>
      <c r="C603" s="309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</row>
    <row r="604" ht="12.75" customHeight="1">
      <c r="A604" s="309"/>
      <c r="B604" s="309"/>
      <c r="C604" s="309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</row>
    <row r="605" ht="12.75" customHeight="1">
      <c r="A605" s="309"/>
      <c r="B605" s="309"/>
      <c r="C605" s="309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</row>
    <row r="606" ht="12.75" customHeight="1">
      <c r="A606" s="309"/>
      <c r="B606" s="309"/>
      <c r="C606" s="309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</row>
    <row r="607" ht="12.75" customHeight="1">
      <c r="A607" s="309"/>
      <c r="B607" s="309"/>
      <c r="C607" s="309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</row>
    <row r="608" ht="12.75" customHeight="1">
      <c r="A608" s="309"/>
      <c r="B608" s="309"/>
      <c r="C608" s="309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</row>
    <row r="609" ht="12.75" customHeight="1">
      <c r="A609" s="309"/>
      <c r="B609" s="309"/>
      <c r="C609" s="309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</row>
    <row r="610" ht="12.75" customHeight="1">
      <c r="A610" s="309"/>
      <c r="B610" s="309"/>
      <c r="C610" s="309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</row>
    <row r="611" ht="12.75" customHeight="1">
      <c r="A611" s="309"/>
      <c r="B611" s="309"/>
      <c r="C611" s="309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</row>
    <row r="612" ht="12.75" customHeight="1">
      <c r="A612" s="309"/>
      <c r="B612" s="309"/>
      <c r="C612" s="309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</row>
    <row r="613" ht="12.75" customHeight="1">
      <c r="A613" s="309"/>
      <c r="B613" s="309"/>
      <c r="C613" s="309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</row>
    <row r="614" ht="12.75" customHeight="1">
      <c r="A614" s="309"/>
      <c r="B614" s="309"/>
      <c r="C614" s="309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</row>
    <row r="615" ht="12.75" customHeight="1">
      <c r="A615" s="309"/>
      <c r="B615" s="309"/>
      <c r="C615" s="309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</row>
    <row r="616" ht="12.75" customHeight="1">
      <c r="A616" s="309"/>
      <c r="B616" s="309"/>
      <c r="C616" s="309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</row>
    <row r="617" ht="12.75" customHeight="1">
      <c r="A617" s="309"/>
      <c r="B617" s="309"/>
      <c r="C617" s="309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</row>
    <row r="618" ht="12.75" customHeight="1">
      <c r="A618" s="309"/>
      <c r="B618" s="309"/>
      <c r="C618" s="309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</row>
    <row r="619" ht="12.75" customHeight="1">
      <c r="A619" s="309"/>
      <c r="B619" s="309"/>
      <c r="C619" s="309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</row>
    <row r="620" ht="12.75" customHeight="1">
      <c r="A620" s="309"/>
      <c r="B620" s="309"/>
      <c r="C620" s="309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</row>
    <row r="621" ht="12.75" customHeight="1">
      <c r="A621" s="309"/>
      <c r="B621" s="309"/>
      <c r="C621" s="309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</row>
    <row r="622" ht="12.75" customHeight="1">
      <c r="A622" s="309"/>
      <c r="B622" s="309"/>
      <c r="C622" s="309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</row>
    <row r="623" ht="12.75" customHeight="1">
      <c r="A623" s="309"/>
      <c r="B623" s="309"/>
      <c r="C623" s="309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</row>
    <row r="624" ht="12.75" customHeight="1">
      <c r="A624" s="309"/>
      <c r="B624" s="309"/>
      <c r="C624" s="309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</row>
    <row r="625" ht="12.75" customHeight="1">
      <c r="A625" s="309"/>
      <c r="B625" s="309"/>
      <c r="C625" s="309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</row>
    <row r="626" ht="12.75" customHeight="1">
      <c r="A626" s="309"/>
      <c r="B626" s="309"/>
      <c r="C626" s="309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</row>
    <row r="627" ht="12.75" customHeight="1">
      <c r="A627" s="309"/>
      <c r="B627" s="309"/>
      <c r="C627" s="309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</row>
    <row r="628" ht="12.75" customHeight="1">
      <c r="A628" s="309"/>
      <c r="B628" s="309"/>
      <c r="C628" s="309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</row>
    <row r="629" ht="12.75" customHeight="1">
      <c r="A629" s="309"/>
      <c r="B629" s="309"/>
      <c r="C629" s="309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</row>
    <row r="630" ht="12.75" customHeight="1">
      <c r="A630" s="309"/>
      <c r="B630" s="309"/>
      <c r="C630" s="309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</row>
    <row r="631" ht="12.75" customHeight="1">
      <c r="A631" s="309"/>
      <c r="B631" s="309"/>
      <c r="C631" s="309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</row>
    <row r="632" ht="12.75" customHeight="1">
      <c r="A632" s="309"/>
      <c r="B632" s="309"/>
      <c r="C632" s="309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</row>
    <row r="633" ht="12.75" customHeight="1">
      <c r="A633" s="309"/>
      <c r="B633" s="309"/>
      <c r="C633" s="309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</row>
    <row r="634" ht="12.75" customHeight="1">
      <c r="A634" s="309"/>
      <c r="B634" s="309"/>
      <c r="C634" s="309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</row>
    <row r="635" ht="12.75" customHeight="1">
      <c r="A635" s="309"/>
      <c r="B635" s="309"/>
      <c r="C635" s="309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</row>
    <row r="636" ht="12.75" customHeight="1">
      <c r="A636" s="309"/>
      <c r="B636" s="309"/>
      <c r="C636" s="309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</row>
    <row r="637" ht="12.75" customHeight="1">
      <c r="A637" s="309"/>
      <c r="B637" s="309"/>
      <c r="C637" s="309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</row>
    <row r="638" ht="12.75" customHeight="1">
      <c r="A638" s="309"/>
      <c r="B638" s="309"/>
      <c r="C638" s="309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</row>
    <row r="639" ht="12.75" customHeight="1">
      <c r="A639" s="309"/>
      <c r="B639" s="309"/>
      <c r="C639" s="309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</row>
    <row r="640" ht="12.75" customHeight="1">
      <c r="A640" s="309"/>
      <c r="B640" s="309"/>
      <c r="C640" s="309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</row>
    <row r="641" ht="12.75" customHeight="1">
      <c r="A641" s="309"/>
      <c r="B641" s="309"/>
      <c r="C641" s="309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</row>
    <row r="642" ht="12.75" customHeight="1">
      <c r="A642" s="309"/>
      <c r="B642" s="309"/>
      <c r="C642" s="309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</row>
    <row r="643" ht="12.75" customHeight="1">
      <c r="A643" s="309"/>
      <c r="B643" s="309"/>
      <c r="C643" s="309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</row>
    <row r="644" ht="12.75" customHeight="1">
      <c r="A644" s="309"/>
      <c r="B644" s="309"/>
      <c r="C644" s="309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</row>
    <row r="645" ht="12.75" customHeight="1">
      <c r="A645" s="309"/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</row>
    <row r="646" ht="12.75" customHeight="1">
      <c r="A646" s="309"/>
      <c r="B646" s="309"/>
      <c r="C646" s="309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</row>
    <row r="647" ht="12.75" customHeight="1">
      <c r="A647" s="309"/>
      <c r="B647" s="309"/>
      <c r="C647" s="309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</row>
    <row r="648" ht="12.75" customHeight="1">
      <c r="A648" s="309"/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</row>
    <row r="649" ht="12.75" customHeight="1">
      <c r="A649" s="309"/>
      <c r="B649" s="309"/>
      <c r="C649" s="309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</row>
    <row r="650" ht="12.75" customHeight="1">
      <c r="A650" s="309"/>
      <c r="B650" s="309"/>
      <c r="C650" s="309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</row>
    <row r="651" ht="12.75" customHeight="1">
      <c r="A651" s="309"/>
      <c r="B651" s="309"/>
      <c r="C651" s="309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</row>
    <row r="652" ht="12.75" customHeight="1">
      <c r="A652" s="309"/>
      <c r="B652" s="309"/>
      <c r="C652" s="309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</row>
    <row r="653" ht="12.75" customHeight="1">
      <c r="A653" s="309"/>
      <c r="B653" s="309"/>
      <c r="C653" s="309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</row>
    <row r="654" ht="12.75" customHeight="1">
      <c r="A654" s="309"/>
      <c r="B654" s="309"/>
      <c r="C654" s="309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</row>
    <row r="655" ht="12.75" customHeight="1">
      <c r="A655" s="309"/>
      <c r="B655" s="309"/>
      <c r="C655" s="309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</row>
    <row r="656" ht="12.75" customHeight="1">
      <c r="A656" s="309"/>
      <c r="B656" s="309"/>
      <c r="C656" s="309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</row>
    <row r="657" ht="12.75" customHeight="1">
      <c r="A657" s="309"/>
      <c r="B657" s="309"/>
      <c r="C657" s="309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</row>
    <row r="658" ht="12.75" customHeight="1">
      <c r="A658" s="309"/>
      <c r="B658" s="309"/>
      <c r="C658" s="309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</row>
    <row r="659" ht="12.75" customHeight="1">
      <c r="A659" s="309"/>
      <c r="B659" s="309"/>
      <c r="C659" s="309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</row>
    <row r="660" ht="12.75" customHeight="1">
      <c r="A660" s="309"/>
      <c r="B660" s="309"/>
      <c r="C660" s="309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</row>
    <row r="661" ht="12.75" customHeight="1">
      <c r="A661" s="309"/>
      <c r="B661" s="309"/>
      <c r="C661" s="309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</row>
    <row r="662" ht="12.75" customHeight="1">
      <c r="A662" s="309"/>
      <c r="B662" s="309"/>
      <c r="C662" s="309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</row>
    <row r="663" ht="12.75" customHeight="1">
      <c r="A663" s="309"/>
      <c r="B663" s="309"/>
      <c r="C663" s="309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</row>
    <row r="664" ht="12.75" customHeight="1">
      <c r="A664" s="309"/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</row>
    <row r="665" ht="12.75" customHeight="1">
      <c r="A665" s="309"/>
      <c r="B665" s="309"/>
      <c r="C665" s="309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</row>
    <row r="666" ht="12.75" customHeight="1">
      <c r="A666" s="309"/>
      <c r="B666" s="309"/>
      <c r="C666" s="309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</row>
    <row r="667" ht="12.75" customHeight="1">
      <c r="A667" s="309"/>
      <c r="B667" s="309"/>
      <c r="C667" s="309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</row>
    <row r="668" ht="12.75" customHeight="1">
      <c r="A668" s="309"/>
      <c r="B668" s="309"/>
      <c r="C668" s="309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</row>
    <row r="669" ht="12.75" customHeight="1">
      <c r="A669" s="309"/>
      <c r="B669" s="309"/>
      <c r="C669" s="309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</row>
    <row r="670" ht="12.75" customHeight="1">
      <c r="A670" s="309"/>
      <c r="B670" s="309"/>
      <c r="C670" s="309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</row>
    <row r="671" ht="12.75" customHeight="1">
      <c r="A671" s="309"/>
      <c r="B671" s="309"/>
      <c r="C671" s="309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</row>
    <row r="672" ht="12.75" customHeight="1">
      <c r="A672" s="309"/>
      <c r="B672" s="309"/>
      <c r="C672" s="309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</row>
    <row r="673" ht="12.75" customHeight="1">
      <c r="A673" s="309"/>
      <c r="B673" s="309"/>
      <c r="C673" s="309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</row>
    <row r="674" ht="12.75" customHeight="1">
      <c r="A674" s="309"/>
      <c r="B674" s="309"/>
      <c r="C674" s="309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</row>
    <row r="675" ht="12.75" customHeight="1">
      <c r="A675" s="309"/>
      <c r="B675" s="309"/>
      <c r="C675" s="309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</row>
    <row r="676" ht="12.75" customHeight="1">
      <c r="A676" s="309"/>
      <c r="B676" s="309"/>
      <c r="C676" s="309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</row>
    <row r="677" ht="12.75" customHeight="1">
      <c r="A677" s="309"/>
      <c r="B677" s="309"/>
      <c r="C677" s="309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</row>
    <row r="678" ht="12.75" customHeight="1">
      <c r="A678" s="309"/>
      <c r="B678" s="309"/>
      <c r="C678" s="309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</row>
    <row r="679" ht="12.75" customHeight="1">
      <c r="A679" s="309"/>
      <c r="B679" s="309"/>
      <c r="C679" s="309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</row>
    <row r="680" ht="12.75" customHeight="1">
      <c r="A680" s="309"/>
      <c r="B680" s="309"/>
      <c r="C680" s="309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</row>
    <row r="681" ht="12.75" customHeight="1">
      <c r="A681" s="309"/>
      <c r="B681" s="309"/>
      <c r="C681" s="309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</row>
    <row r="682" ht="12.75" customHeight="1">
      <c r="A682" s="309"/>
      <c r="B682" s="309"/>
      <c r="C682" s="309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</row>
    <row r="683" ht="12.75" customHeight="1">
      <c r="A683" s="309"/>
      <c r="B683" s="309"/>
      <c r="C683" s="309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</row>
    <row r="684" ht="12.75" customHeight="1">
      <c r="A684" s="309"/>
      <c r="B684" s="309"/>
      <c r="C684" s="309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</row>
    <row r="685" ht="12.75" customHeight="1">
      <c r="A685" s="309"/>
      <c r="B685" s="309"/>
      <c r="C685" s="309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</row>
    <row r="686" ht="12.75" customHeight="1">
      <c r="A686" s="309"/>
      <c r="B686" s="309"/>
      <c r="C686" s="309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</row>
    <row r="687" ht="12.75" customHeight="1">
      <c r="A687" s="309"/>
      <c r="B687" s="309"/>
      <c r="C687" s="309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</row>
    <row r="688" ht="12.75" customHeight="1">
      <c r="A688" s="309"/>
      <c r="B688" s="309"/>
      <c r="C688" s="309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</row>
    <row r="689" ht="12.75" customHeight="1">
      <c r="A689" s="309"/>
      <c r="B689" s="309"/>
      <c r="C689" s="309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</row>
    <row r="690" ht="12.75" customHeight="1">
      <c r="A690" s="309"/>
      <c r="B690" s="309"/>
      <c r="C690" s="309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</row>
    <row r="691" ht="12.75" customHeight="1">
      <c r="A691" s="309"/>
      <c r="B691" s="309"/>
      <c r="C691" s="309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</row>
    <row r="692" ht="12.75" customHeight="1">
      <c r="A692" s="309"/>
      <c r="B692" s="309"/>
      <c r="C692" s="309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</row>
    <row r="693" ht="12.75" customHeight="1">
      <c r="A693" s="309"/>
      <c r="B693" s="309"/>
      <c r="C693" s="309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</row>
    <row r="694" ht="12.75" customHeight="1">
      <c r="A694" s="309"/>
      <c r="B694" s="309"/>
      <c r="C694" s="309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</row>
    <row r="695" ht="12.75" customHeight="1">
      <c r="A695" s="309"/>
      <c r="B695" s="309"/>
      <c r="C695" s="309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</row>
    <row r="696" ht="12.75" customHeight="1">
      <c r="A696" s="309"/>
      <c r="B696" s="309"/>
      <c r="C696" s="309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</row>
    <row r="697" ht="12.75" customHeight="1">
      <c r="A697" s="309"/>
      <c r="B697" s="309"/>
      <c r="C697" s="309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</row>
    <row r="698" ht="12.75" customHeight="1">
      <c r="A698" s="309"/>
      <c r="B698" s="309"/>
      <c r="C698" s="309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</row>
    <row r="699" ht="12.75" customHeight="1">
      <c r="A699" s="309"/>
      <c r="B699" s="309"/>
      <c r="C699" s="309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</row>
    <row r="700" ht="12.75" customHeight="1">
      <c r="A700" s="309"/>
      <c r="B700" s="309"/>
      <c r="C700" s="309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</row>
    <row r="701" ht="12.75" customHeight="1">
      <c r="A701" s="309"/>
      <c r="B701" s="309"/>
      <c r="C701" s="309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</row>
    <row r="702" ht="12.75" customHeight="1">
      <c r="A702" s="309"/>
      <c r="B702" s="309"/>
      <c r="C702" s="309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</row>
    <row r="703" ht="12.75" customHeight="1">
      <c r="A703" s="309"/>
      <c r="B703" s="309"/>
      <c r="C703" s="309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</row>
    <row r="704" ht="12.75" customHeight="1">
      <c r="A704" s="309"/>
      <c r="B704" s="309"/>
      <c r="C704" s="309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</row>
    <row r="705" ht="12.75" customHeight="1">
      <c r="A705" s="309"/>
      <c r="B705" s="309"/>
      <c r="C705" s="309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</row>
    <row r="706" ht="12.75" customHeight="1">
      <c r="A706" s="309"/>
      <c r="B706" s="309"/>
      <c r="C706" s="309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</row>
    <row r="707" ht="12.75" customHeight="1">
      <c r="A707" s="309"/>
      <c r="B707" s="309"/>
      <c r="C707" s="309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</row>
    <row r="708" ht="12.75" customHeight="1">
      <c r="A708" s="309"/>
      <c r="B708" s="309"/>
      <c r="C708" s="309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</row>
    <row r="709" ht="12.75" customHeight="1">
      <c r="A709" s="309"/>
      <c r="B709" s="309"/>
      <c r="C709" s="309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</row>
    <row r="710" ht="12.75" customHeight="1">
      <c r="A710" s="309"/>
      <c r="B710" s="309"/>
      <c r="C710" s="309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</row>
    <row r="711" ht="12.75" customHeight="1">
      <c r="A711" s="309"/>
      <c r="B711" s="309"/>
      <c r="C711" s="309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</row>
    <row r="712" ht="12.75" customHeight="1">
      <c r="A712" s="309"/>
      <c r="B712" s="309"/>
      <c r="C712" s="309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</row>
    <row r="713" ht="12.75" customHeight="1">
      <c r="A713" s="309"/>
      <c r="B713" s="309"/>
      <c r="C713" s="309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</row>
    <row r="714" ht="12.75" customHeight="1">
      <c r="A714" s="309"/>
      <c r="B714" s="309"/>
      <c r="C714" s="309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</row>
    <row r="715" ht="12.75" customHeight="1">
      <c r="A715" s="309"/>
      <c r="B715" s="309"/>
      <c r="C715" s="309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</row>
    <row r="716" ht="12.75" customHeight="1">
      <c r="A716" s="309"/>
      <c r="B716" s="309"/>
      <c r="C716" s="309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</row>
    <row r="717" ht="12.75" customHeight="1">
      <c r="A717" s="309"/>
      <c r="B717" s="309"/>
      <c r="C717" s="309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</row>
    <row r="718" ht="12.75" customHeight="1">
      <c r="A718" s="309"/>
      <c r="B718" s="309"/>
      <c r="C718" s="309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</row>
    <row r="719" ht="12.75" customHeight="1">
      <c r="A719" s="309"/>
      <c r="B719" s="309"/>
      <c r="C719" s="309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</row>
    <row r="720" ht="12.75" customHeight="1">
      <c r="A720" s="309"/>
      <c r="B720" s="309"/>
      <c r="C720" s="309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</row>
    <row r="721" ht="12.75" customHeight="1">
      <c r="A721" s="309"/>
      <c r="B721" s="309"/>
      <c r="C721" s="309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</row>
    <row r="722" ht="12.75" customHeight="1">
      <c r="A722" s="309"/>
      <c r="B722" s="309"/>
      <c r="C722" s="309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</row>
    <row r="723" ht="12.75" customHeight="1">
      <c r="A723" s="309"/>
      <c r="B723" s="309"/>
      <c r="C723" s="309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</row>
    <row r="724" ht="12.75" customHeight="1">
      <c r="A724" s="309"/>
      <c r="B724" s="309"/>
      <c r="C724" s="309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</row>
    <row r="725" ht="12.75" customHeight="1">
      <c r="A725" s="309"/>
      <c r="B725" s="309"/>
      <c r="C725" s="309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</row>
    <row r="726" ht="12.75" customHeight="1">
      <c r="A726" s="309"/>
      <c r="B726" s="309"/>
      <c r="C726" s="309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</row>
    <row r="727" ht="12.75" customHeight="1">
      <c r="A727" s="309"/>
      <c r="B727" s="309"/>
      <c r="C727" s="309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</row>
    <row r="728" ht="12.75" customHeight="1">
      <c r="A728" s="309"/>
      <c r="B728" s="309"/>
      <c r="C728" s="309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</row>
    <row r="729" ht="12.75" customHeight="1">
      <c r="A729" s="309"/>
      <c r="B729" s="309"/>
      <c r="C729" s="309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</row>
    <row r="730" ht="12.75" customHeight="1">
      <c r="A730" s="309"/>
      <c r="B730" s="309"/>
      <c r="C730" s="309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</row>
    <row r="731" ht="12.75" customHeight="1">
      <c r="A731" s="309"/>
      <c r="B731" s="309"/>
      <c r="C731" s="309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</row>
    <row r="732" ht="12.75" customHeight="1">
      <c r="A732" s="309"/>
      <c r="B732" s="309"/>
      <c r="C732" s="309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</row>
    <row r="733" ht="12.75" customHeight="1">
      <c r="A733" s="309"/>
      <c r="B733" s="309"/>
      <c r="C733" s="309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</row>
    <row r="734" ht="12.75" customHeight="1">
      <c r="A734" s="309"/>
      <c r="B734" s="309"/>
      <c r="C734" s="309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</row>
    <row r="735" ht="12.75" customHeight="1">
      <c r="A735" s="309"/>
      <c r="B735" s="309"/>
      <c r="C735" s="309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</row>
    <row r="736" ht="12.75" customHeight="1">
      <c r="A736" s="309"/>
      <c r="B736" s="309"/>
      <c r="C736" s="309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</row>
    <row r="737" ht="12.75" customHeight="1">
      <c r="A737" s="309"/>
      <c r="B737" s="309"/>
      <c r="C737" s="309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</row>
    <row r="738" ht="12.75" customHeight="1">
      <c r="A738" s="309"/>
      <c r="B738" s="309"/>
      <c r="C738" s="309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</row>
    <row r="739" ht="12.75" customHeight="1">
      <c r="A739" s="309"/>
      <c r="B739" s="309"/>
      <c r="C739" s="309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</row>
    <row r="740" ht="12.75" customHeight="1">
      <c r="A740" s="309"/>
      <c r="B740" s="309"/>
      <c r="C740" s="309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</row>
    <row r="741" ht="12.75" customHeight="1">
      <c r="A741" s="309"/>
      <c r="B741" s="309"/>
      <c r="C741" s="309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</row>
    <row r="742" ht="12.75" customHeight="1">
      <c r="A742" s="309"/>
      <c r="B742" s="309"/>
      <c r="C742" s="309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</row>
    <row r="743" ht="12.75" customHeight="1">
      <c r="A743" s="309"/>
      <c r="B743" s="309"/>
      <c r="C743" s="309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</row>
    <row r="744" ht="12.75" customHeight="1">
      <c r="A744" s="309"/>
      <c r="B744" s="309"/>
      <c r="C744" s="309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</row>
    <row r="745" ht="12.75" customHeight="1">
      <c r="A745" s="309"/>
      <c r="B745" s="309"/>
      <c r="C745" s="309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</row>
    <row r="746" ht="12.75" customHeight="1">
      <c r="A746" s="309"/>
      <c r="B746" s="309"/>
      <c r="C746" s="309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</row>
    <row r="747" ht="12.75" customHeight="1">
      <c r="A747" s="309"/>
      <c r="B747" s="309"/>
      <c r="C747" s="309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</row>
    <row r="748" ht="12.75" customHeight="1">
      <c r="A748" s="309"/>
      <c r="B748" s="309"/>
      <c r="C748" s="309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</row>
    <row r="749" ht="12.75" customHeight="1">
      <c r="A749" s="309"/>
      <c r="B749" s="309"/>
      <c r="C749" s="309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</row>
    <row r="750" ht="12.75" customHeight="1">
      <c r="A750" s="309"/>
      <c r="B750" s="309"/>
      <c r="C750" s="309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</row>
    <row r="751" ht="12.75" customHeight="1">
      <c r="A751" s="309"/>
      <c r="B751" s="309"/>
      <c r="C751" s="309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</row>
    <row r="752" ht="12.75" customHeight="1">
      <c r="A752" s="309"/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</row>
    <row r="753" ht="12.75" customHeight="1">
      <c r="A753" s="309"/>
      <c r="B753" s="309"/>
      <c r="C753" s="309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</row>
    <row r="754" ht="12.75" customHeight="1">
      <c r="A754" s="309"/>
      <c r="B754" s="309"/>
      <c r="C754" s="309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</row>
    <row r="755" ht="12.75" customHeight="1">
      <c r="A755" s="309"/>
      <c r="B755" s="309"/>
      <c r="C755" s="309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</row>
    <row r="756" ht="12.75" customHeight="1">
      <c r="A756" s="309"/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</row>
    <row r="757" ht="12.75" customHeight="1">
      <c r="A757" s="309"/>
      <c r="B757" s="309"/>
      <c r="C757" s="309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</row>
    <row r="758" ht="12.75" customHeight="1">
      <c r="A758" s="309"/>
      <c r="B758" s="309"/>
      <c r="C758" s="309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</row>
    <row r="759" ht="12.75" customHeight="1">
      <c r="A759" s="309"/>
      <c r="B759" s="309"/>
      <c r="C759" s="309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</row>
    <row r="760" ht="12.75" customHeight="1">
      <c r="A760" s="309"/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</row>
    <row r="761" ht="12.75" customHeight="1">
      <c r="A761" s="309"/>
      <c r="B761" s="309"/>
      <c r="C761" s="309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</row>
    <row r="762" ht="12.75" customHeight="1">
      <c r="A762" s="309"/>
      <c r="B762" s="309"/>
      <c r="C762" s="309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</row>
    <row r="763" ht="12.75" customHeight="1">
      <c r="A763" s="309"/>
      <c r="B763" s="309"/>
      <c r="C763" s="309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</row>
    <row r="764" ht="12.75" customHeight="1">
      <c r="A764" s="309"/>
      <c r="B764" s="309"/>
      <c r="C764" s="309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</row>
    <row r="765" ht="12.75" customHeight="1">
      <c r="A765" s="309"/>
      <c r="B765" s="309"/>
      <c r="C765" s="309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</row>
    <row r="766" ht="12.75" customHeight="1">
      <c r="A766" s="309"/>
      <c r="B766" s="309"/>
      <c r="C766" s="309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</row>
    <row r="767" ht="12.75" customHeight="1">
      <c r="A767" s="309"/>
      <c r="B767" s="309"/>
      <c r="C767" s="309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</row>
    <row r="768" ht="12.75" customHeight="1">
      <c r="A768" s="309"/>
      <c r="B768" s="309"/>
      <c r="C768" s="309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</row>
    <row r="769" ht="12.75" customHeight="1">
      <c r="A769" s="309"/>
      <c r="B769" s="309"/>
      <c r="C769" s="309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</row>
    <row r="770" ht="12.75" customHeight="1">
      <c r="A770" s="309"/>
      <c r="B770" s="309"/>
      <c r="C770" s="309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</row>
    <row r="771" ht="12.75" customHeight="1">
      <c r="A771" s="309"/>
      <c r="B771" s="309"/>
      <c r="C771" s="309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</row>
    <row r="772" ht="12.75" customHeight="1">
      <c r="A772" s="309"/>
      <c r="B772" s="309"/>
      <c r="C772" s="309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</row>
    <row r="773" ht="12.75" customHeight="1">
      <c r="A773" s="309"/>
      <c r="B773" s="309"/>
      <c r="C773" s="309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</row>
    <row r="774" ht="12.75" customHeight="1">
      <c r="A774" s="309"/>
      <c r="B774" s="309"/>
      <c r="C774" s="309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</row>
    <row r="775" ht="12.75" customHeight="1">
      <c r="A775" s="309"/>
      <c r="B775" s="309"/>
      <c r="C775" s="309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</row>
    <row r="776" ht="12.75" customHeight="1">
      <c r="A776" s="309"/>
      <c r="B776" s="309"/>
      <c r="C776" s="309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</row>
    <row r="777" ht="12.75" customHeight="1">
      <c r="A777" s="309"/>
      <c r="B777" s="309"/>
      <c r="C777" s="309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</row>
    <row r="778" ht="12.75" customHeight="1">
      <c r="A778" s="309"/>
      <c r="B778" s="309"/>
      <c r="C778" s="309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</row>
    <row r="779" ht="12.75" customHeight="1">
      <c r="A779" s="309"/>
      <c r="B779" s="309"/>
      <c r="C779" s="309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</row>
    <row r="780" ht="12.75" customHeight="1">
      <c r="A780" s="309"/>
      <c r="B780" s="309"/>
      <c r="C780" s="309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</row>
    <row r="781" ht="12.75" customHeight="1">
      <c r="A781" s="309"/>
      <c r="B781" s="309"/>
      <c r="C781" s="309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</row>
    <row r="782" ht="12.75" customHeight="1">
      <c r="A782" s="309"/>
      <c r="B782" s="309"/>
      <c r="C782" s="309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</row>
    <row r="783" ht="12.75" customHeight="1">
      <c r="A783" s="309"/>
      <c r="B783" s="309"/>
      <c r="C783" s="309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</row>
    <row r="784" ht="12.75" customHeight="1">
      <c r="A784" s="309"/>
      <c r="B784" s="309"/>
      <c r="C784" s="309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</row>
    <row r="785" ht="12.75" customHeight="1">
      <c r="A785" s="309"/>
      <c r="B785" s="309"/>
      <c r="C785" s="309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</row>
    <row r="786" ht="12.75" customHeight="1">
      <c r="A786" s="309"/>
      <c r="B786" s="309"/>
      <c r="C786" s="309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</row>
    <row r="787" ht="12.75" customHeight="1">
      <c r="A787" s="309"/>
      <c r="B787" s="309"/>
      <c r="C787" s="309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</row>
    <row r="788" ht="12.75" customHeight="1">
      <c r="A788" s="309"/>
      <c r="B788" s="309"/>
      <c r="C788" s="309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</row>
    <row r="789" ht="12.75" customHeight="1">
      <c r="A789" s="309"/>
      <c r="B789" s="309"/>
      <c r="C789" s="309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</row>
    <row r="790" ht="12.75" customHeight="1">
      <c r="A790" s="309"/>
      <c r="B790" s="309"/>
      <c r="C790" s="309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</row>
    <row r="791" ht="12.75" customHeight="1">
      <c r="A791" s="309"/>
      <c r="B791" s="309"/>
      <c r="C791" s="309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</row>
    <row r="792" ht="12.75" customHeight="1">
      <c r="A792" s="309"/>
      <c r="B792" s="309"/>
      <c r="C792" s="309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</row>
    <row r="793" ht="12.75" customHeight="1">
      <c r="A793" s="309"/>
      <c r="B793" s="309"/>
      <c r="C793" s="309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</row>
    <row r="794" ht="12.75" customHeight="1">
      <c r="A794" s="309"/>
      <c r="B794" s="309"/>
      <c r="C794" s="309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</row>
    <row r="795" ht="12.75" customHeight="1">
      <c r="A795" s="309"/>
      <c r="B795" s="309"/>
      <c r="C795" s="309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</row>
    <row r="796" ht="12.75" customHeight="1">
      <c r="A796" s="309"/>
      <c r="B796" s="309"/>
      <c r="C796" s="309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</row>
    <row r="797" ht="12.75" customHeight="1">
      <c r="A797" s="309"/>
      <c r="B797" s="309"/>
      <c r="C797" s="309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</row>
    <row r="798" ht="12.75" customHeight="1">
      <c r="A798" s="309"/>
      <c r="B798" s="309"/>
      <c r="C798" s="309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</row>
    <row r="799" ht="12.75" customHeight="1">
      <c r="A799" s="309"/>
      <c r="B799" s="309"/>
      <c r="C799" s="309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</row>
    <row r="800" ht="12.75" customHeight="1">
      <c r="A800" s="309"/>
      <c r="B800" s="309"/>
      <c r="C800" s="309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</row>
    <row r="801" ht="12.75" customHeight="1">
      <c r="A801" s="309"/>
      <c r="B801" s="309"/>
      <c r="C801" s="309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</row>
    <row r="802" ht="12.75" customHeight="1">
      <c r="A802" s="309"/>
      <c r="B802" s="309"/>
      <c r="C802" s="309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</row>
    <row r="803" ht="12.75" customHeight="1">
      <c r="A803" s="309"/>
      <c r="B803" s="309"/>
      <c r="C803" s="309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</row>
    <row r="804" ht="12.75" customHeight="1">
      <c r="A804" s="309"/>
      <c r="B804" s="309"/>
      <c r="C804" s="309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</row>
    <row r="805" ht="12.75" customHeight="1">
      <c r="A805" s="309"/>
      <c r="B805" s="309"/>
      <c r="C805" s="309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</row>
    <row r="806" ht="12.75" customHeight="1">
      <c r="A806" s="309"/>
      <c r="B806" s="309"/>
      <c r="C806" s="309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</row>
    <row r="807" ht="12.75" customHeight="1">
      <c r="A807" s="309"/>
      <c r="B807" s="309"/>
      <c r="C807" s="309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</row>
    <row r="808" ht="12.75" customHeight="1">
      <c r="A808" s="309"/>
      <c r="B808" s="309"/>
      <c r="C808" s="309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</row>
    <row r="809" ht="12.75" customHeight="1">
      <c r="A809" s="309"/>
      <c r="B809" s="309"/>
      <c r="C809" s="309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</row>
    <row r="810" ht="12.75" customHeight="1">
      <c r="A810" s="309"/>
      <c r="B810" s="309"/>
      <c r="C810" s="309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</row>
    <row r="811" ht="12.75" customHeight="1">
      <c r="A811" s="309"/>
      <c r="B811" s="309"/>
      <c r="C811" s="309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</row>
    <row r="812" ht="12.75" customHeight="1">
      <c r="A812" s="309"/>
      <c r="B812" s="309"/>
      <c r="C812" s="309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</row>
    <row r="813" ht="12.75" customHeight="1">
      <c r="A813" s="309"/>
      <c r="B813" s="309"/>
      <c r="C813" s="309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</row>
    <row r="814" ht="12.75" customHeight="1">
      <c r="A814" s="309"/>
      <c r="B814" s="309"/>
      <c r="C814" s="309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</row>
    <row r="815" ht="12.75" customHeight="1">
      <c r="A815" s="309"/>
      <c r="B815" s="309"/>
      <c r="C815" s="309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</row>
    <row r="816" ht="12.75" customHeight="1">
      <c r="A816" s="309"/>
      <c r="B816" s="309"/>
      <c r="C816" s="309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</row>
    <row r="817" ht="12.75" customHeight="1">
      <c r="A817" s="309"/>
      <c r="B817" s="309"/>
      <c r="C817" s="309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</row>
    <row r="818" ht="12.75" customHeight="1">
      <c r="A818" s="309"/>
      <c r="B818" s="309"/>
      <c r="C818" s="309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</row>
    <row r="819" ht="12.75" customHeight="1">
      <c r="A819" s="309"/>
      <c r="B819" s="309"/>
      <c r="C819" s="309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</row>
    <row r="820" ht="12.75" customHeight="1">
      <c r="A820" s="309"/>
      <c r="B820" s="309"/>
      <c r="C820" s="309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</row>
    <row r="821" ht="12.75" customHeight="1">
      <c r="A821" s="309"/>
      <c r="B821" s="309"/>
      <c r="C821" s="309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</row>
    <row r="822" ht="12.75" customHeight="1">
      <c r="A822" s="309"/>
      <c r="B822" s="309"/>
      <c r="C822" s="309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</row>
    <row r="823" ht="12.75" customHeight="1">
      <c r="A823" s="309"/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</row>
    <row r="824" ht="12.75" customHeight="1">
      <c r="A824" s="309"/>
      <c r="B824" s="309"/>
      <c r="C824" s="309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</row>
    <row r="825" ht="12.75" customHeight="1">
      <c r="A825" s="309"/>
      <c r="B825" s="309"/>
      <c r="C825" s="309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</row>
    <row r="826" ht="12.75" customHeight="1">
      <c r="A826" s="309"/>
      <c r="B826" s="309"/>
      <c r="C826" s="309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</row>
    <row r="827" ht="12.75" customHeight="1">
      <c r="A827" s="309"/>
      <c r="B827" s="309"/>
      <c r="C827" s="309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</row>
    <row r="828" ht="12.75" customHeight="1">
      <c r="A828" s="309"/>
      <c r="B828" s="309"/>
      <c r="C828" s="309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</row>
    <row r="829" ht="12.75" customHeight="1">
      <c r="A829" s="309"/>
      <c r="B829" s="309"/>
      <c r="C829" s="309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</row>
    <row r="830" ht="12.75" customHeight="1">
      <c r="A830" s="309"/>
      <c r="B830" s="309"/>
      <c r="C830" s="309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</row>
    <row r="831" ht="12.75" customHeight="1">
      <c r="A831" s="309"/>
      <c r="B831" s="309"/>
      <c r="C831" s="309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</row>
    <row r="832" ht="12.75" customHeight="1">
      <c r="A832" s="309"/>
      <c r="B832" s="309"/>
      <c r="C832" s="309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</row>
    <row r="833" ht="12.75" customHeight="1">
      <c r="A833" s="309"/>
      <c r="B833" s="309"/>
      <c r="C833" s="309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</row>
    <row r="834" ht="12.75" customHeight="1">
      <c r="A834" s="309"/>
      <c r="B834" s="309"/>
      <c r="C834" s="309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</row>
    <row r="835" ht="12.75" customHeight="1">
      <c r="A835" s="309"/>
      <c r="B835" s="309"/>
      <c r="C835" s="309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</row>
    <row r="836" ht="12.75" customHeight="1">
      <c r="A836" s="309"/>
      <c r="B836" s="309"/>
      <c r="C836" s="309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</row>
    <row r="837" ht="12.75" customHeight="1">
      <c r="A837" s="309"/>
      <c r="B837" s="309"/>
      <c r="C837" s="309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</row>
    <row r="838" ht="12.75" customHeight="1">
      <c r="A838" s="309"/>
      <c r="B838" s="309"/>
      <c r="C838" s="309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</row>
    <row r="839" ht="12.75" customHeight="1">
      <c r="A839" s="309"/>
      <c r="B839" s="309"/>
      <c r="C839" s="309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</row>
    <row r="840" ht="12.75" customHeight="1">
      <c r="A840" s="309"/>
      <c r="B840" s="309"/>
      <c r="C840" s="309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</row>
    <row r="841" ht="12.75" customHeight="1">
      <c r="A841" s="309"/>
      <c r="B841" s="309"/>
      <c r="C841" s="309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</row>
    <row r="842" ht="12.75" customHeight="1">
      <c r="A842" s="309"/>
      <c r="B842" s="309"/>
      <c r="C842" s="309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</row>
    <row r="843" ht="12.75" customHeight="1">
      <c r="A843" s="309"/>
      <c r="B843" s="309"/>
      <c r="C843" s="309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</row>
    <row r="844" ht="12.75" customHeight="1">
      <c r="A844" s="309"/>
      <c r="B844" s="309"/>
      <c r="C844" s="309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</row>
    <row r="845" ht="12.75" customHeight="1">
      <c r="A845" s="309"/>
      <c r="B845" s="309"/>
      <c r="C845" s="309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</row>
    <row r="846" ht="12.75" customHeight="1">
      <c r="A846" s="309"/>
      <c r="B846" s="309"/>
      <c r="C846" s="309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</row>
    <row r="847" ht="12.75" customHeight="1">
      <c r="A847" s="309"/>
      <c r="B847" s="309"/>
      <c r="C847" s="309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</row>
    <row r="848" ht="12.75" customHeight="1">
      <c r="A848" s="309"/>
      <c r="B848" s="309"/>
      <c r="C848" s="309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</row>
    <row r="849" ht="12.75" customHeight="1">
      <c r="A849" s="309"/>
      <c r="B849" s="309"/>
      <c r="C849" s="309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</row>
    <row r="850" ht="12.75" customHeight="1">
      <c r="A850" s="309"/>
      <c r="B850" s="309"/>
      <c r="C850" s="309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</row>
    <row r="851" ht="12.75" customHeight="1">
      <c r="A851" s="309"/>
      <c r="B851" s="309"/>
      <c r="C851" s="309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</row>
    <row r="852" ht="12.75" customHeight="1">
      <c r="A852" s="309"/>
      <c r="B852" s="309"/>
      <c r="C852" s="309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</row>
    <row r="853" ht="12.75" customHeight="1">
      <c r="A853" s="309"/>
      <c r="B853" s="309"/>
      <c r="C853" s="309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</row>
    <row r="854" ht="12.75" customHeight="1">
      <c r="A854" s="309"/>
      <c r="B854" s="309"/>
      <c r="C854" s="309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</row>
    <row r="855" ht="12.75" customHeight="1">
      <c r="A855" s="309"/>
      <c r="B855" s="309"/>
      <c r="C855" s="309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</row>
    <row r="856" ht="12.75" customHeight="1">
      <c r="A856" s="309"/>
      <c r="B856" s="309"/>
      <c r="C856" s="309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</row>
    <row r="857" ht="12.75" customHeight="1">
      <c r="A857" s="309"/>
      <c r="B857" s="309"/>
      <c r="C857" s="309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</row>
    <row r="858" ht="12.75" customHeight="1">
      <c r="A858" s="309"/>
      <c r="B858" s="309"/>
      <c r="C858" s="309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</row>
    <row r="859" ht="12.75" customHeight="1">
      <c r="A859" s="309"/>
      <c r="B859" s="309"/>
      <c r="C859" s="309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</row>
    <row r="860" ht="12.75" customHeight="1">
      <c r="A860" s="309"/>
      <c r="B860" s="309"/>
      <c r="C860" s="309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</row>
    <row r="861" ht="12.75" customHeight="1">
      <c r="A861" s="309"/>
      <c r="B861" s="309"/>
      <c r="C861" s="309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</row>
    <row r="862" ht="12.75" customHeight="1">
      <c r="A862" s="309"/>
      <c r="B862" s="309"/>
      <c r="C862" s="309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</row>
    <row r="863" ht="12.75" customHeight="1">
      <c r="A863" s="309"/>
      <c r="B863" s="309"/>
      <c r="C863" s="309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</row>
    <row r="864" ht="12.75" customHeight="1">
      <c r="A864" s="309"/>
      <c r="B864" s="309"/>
      <c r="C864" s="309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</row>
    <row r="865" ht="12.75" customHeight="1">
      <c r="A865" s="309"/>
      <c r="B865" s="309"/>
      <c r="C865" s="309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</row>
    <row r="866" ht="12.75" customHeight="1">
      <c r="A866" s="309"/>
      <c r="B866" s="309"/>
      <c r="C866" s="309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</row>
    <row r="867" ht="12.75" customHeight="1">
      <c r="A867" s="309"/>
      <c r="B867" s="309"/>
      <c r="C867" s="309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</row>
    <row r="868" ht="12.75" customHeight="1">
      <c r="A868" s="309"/>
      <c r="B868" s="309"/>
      <c r="C868" s="309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</row>
    <row r="869" ht="12.75" customHeight="1">
      <c r="A869" s="309"/>
      <c r="B869" s="309"/>
      <c r="C869" s="309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</row>
    <row r="870" ht="12.75" customHeight="1">
      <c r="A870" s="309"/>
      <c r="B870" s="309"/>
      <c r="C870" s="309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</row>
    <row r="871" ht="12.75" customHeight="1">
      <c r="A871" s="309"/>
      <c r="B871" s="309"/>
      <c r="C871" s="309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</row>
    <row r="872" ht="12.75" customHeight="1">
      <c r="A872" s="309"/>
      <c r="B872" s="309"/>
      <c r="C872" s="309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</row>
    <row r="873" ht="12.75" customHeight="1">
      <c r="A873" s="309"/>
      <c r="B873" s="309"/>
      <c r="C873" s="309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</row>
    <row r="874" ht="12.75" customHeight="1">
      <c r="A874" s="309"/>
      <c r="B874" s="309"/>
      <c r="C874" s="309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</row>
    <row r="875" ht="12.75" customHeight="1">
      <c r="A875" s="309"/>
      <c r="B875" s="309"/>
      <c r="C875" s="309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</row>
    <row r="876" ht="12.75" customHeight="1">
      <c r="A876" s="309"/>
      <c r="B876" s="309"/>
      <c r="C876" s="309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</row>
    <row r="877" ht="12.75" customHeight="1">
      <c r="A877" s="309"/>
      <c r="B877" s="309"/>
      <c r="C877" s="309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</row>
    <row r="878" ht="12.75" customHeight="1">
      <c r="A878" s="309"/>
      <c r="B878" s="309"/>
      <c r="C878" s="309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</row>
    <row r="879" ht="12.75" customHeight="1">
      <c r="A879" s="309"/>
      <c r="B879" s="309"/>
      <c r="C879" s="309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</row>
    <row r="880" ht="12.75" customHeight="1">
      <c r="A880" s="309"/>
      <c r="B880" s="309"/>
      <c r="C880" s="309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</row>
    <row r="881" ht="12.75" customHeight="1">
      <c r="A881" s="309"/>
      <c r="B881" s="309"/>
      <c r="C881" s="309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</row>
    <row r="882" ht="12.75" customHeight="1">
      <c r="A882" s="309"/>
      <c r="B882" s="309"/>
      <c r="C882" s="309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</row>
    <row r="883" ht="12.75" customHeight="1">
      <c r="A883" s="309"/>
      <c r="B883" s="309"/>
      <c r="C883" s="309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</row>
    <row r="884" ht="12.75" customHeight="1">
      <c r="A884" s="309"/>
      <c r="B884" s="309"/>
      <c r="C884" s="309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</row>
    <row r="885" ht="12.75" customHeight="1">
      <c r="A885" s="309"/>
      <c r="B885" s="309"/>
      <c r="C885" s="309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</row>
    <row r="886" ht="12.75" customHeight="1">
      <c r="A886" s="309"/>
      <c r="B886" s="309"/>
      <c r="C886" s="309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</row>
    <row r="887" ht="12.75" customHeight="1">
      <c r="A887" s="309"/>
      <c r="B887" s="309"/>
      <c r="C887" s="309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</row>
    <row r="888" ht="12.75" customHeight="1">
      <c r="A888" s="309"/>
      <c r="B888" s="309"/>
      <c r="C888" s="309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</row>
    <row r="889" ht="12.75" customHeight="1">
      <c r="A889" s="309"/>
      <c r="B889" s="309"/>
      <c r="C889" s="309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</row>
    <row r="890" ht="12.75" customHeight="1">
      <c r="A890" s="309"/>
      <c r="B890" s="309"/>
      <c r="C890" s="309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</row>
    <row r="891" ht="12.75" customHeight="1">
      <c r="A891" s="309"/>
      <c r="B891" s="309"/>
      <c r="C891" s="309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</row>
    <row r="892" ht="12.75" customHeight="1">
      <c r="A892" s="309"/>
      <c r="B892" s="309"/>
      <c r="C892" s="309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</row>
    <row r="893" ht="12.75" customHeight="1">
      <c r="A893" s="309"/>
      <c r="B893" s="309"/>
      <c r="C893" s="309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</row>
    <row r="894" ht="12.75" customHeight="1">
      <c r="A894" s="309"/>
      <c r="B894" s="309"/>
      <c r="C894" s="309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</row>
    <row r="895" ht="12.75" customHeight="1">
      <c r="A895" s="309"/>
      <c r="B895" s="309"/>
      <c r="C895" s="309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</row>
    <row r="896" ht="12.75" customHeight="1">
      <c r="A896" s="309"/>
      <c r="B896" s="309"/>
      <c r="C896" s="309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</row>
    <row r="897" ht="12.75" customHeight="1">
      <c r="A897" s="309"/>
      <c r="B897" s="309"/>
      <c r="C897" s="309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</row>
    <row r="898" ht="12.75" customHeight="1">
      <c r="A898" s="309"/>
      <c r="B898" s="309"/>
      <c r="C898" s="309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</row>
    <row r="899" ht="12.75" customHeight="1">
      <c r="A899" s="309"/>
      <c r="B899" s="309"/>
      <c r="C899" s="309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</row>
    <row r="900" ht="12.75" customHeight="1">
      <c r="A900" s="309"/>
      <c r="B900" s="309"/>
      <c r="C900" s="309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</row>
    <row r="901" ht="12.75" customHeight="1">
      <c r="A901" s="309"/>
      <c r="B901" s="309"/>
      <c r="C901" s="309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</row>
    <row r="902" ht="12.75" customHeight="1">
      <c r="A902" s="309"/>
      <c r="B902" s="309"/>
      <c r="C902" s="309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</row>
    <row r="903" ht="12.75" customHeight="1">
      <c r="A903" s="309"/>
      <c r="B903" s="309"/>
      <c r="C903" s="309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</row>
    <row r="904" ht="12.75" customHeight="1">
      <c r="A904" s="309"/>
      <c r="B904" s="309"/>
      <c r="C904" s="309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</row>
    <row r="905" ht="12.75" customHeight="1">
      <c r="A905" s="309"/>
      <c r="B905" s="309"/>
      <c r="C905" s="309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</row>
    <row r="906" ht="12.75" customHeight="1">
      <c r="A906" s="309"/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</row>
    <row r="907" ht="12.75" customHeight="1">
      <c r="A907" s="309"/>
      <c r="B907" s="309"/>
      <c r="C907" s="309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</row>
    <row r="908" ht="12.75" customHeight="1">
      <c r="A908" s="309"/>
      <c r="B908" s="309"/>
      <c r="C908" s="309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</row>
    <row r="909" ht="12.75" customHeight="1">
      <c r="A909" s="309"/>
      <c r="B909" s="309"/>
      <c r="C909" s="309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</row>
    <row r="910" ht="12.75" customHeight="1">
      <c r="A910" s="309"/>
      <c r="B910" s="309"/>
      <c r="C910" s="309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</row>
    <row r="911" ht="12.75" customHeight="1">
      <c r="A911" s="309"/>
      <c r="B911" s="309"/>
      <c r="C911" s="309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</row>
    <row r="912" ht="12.75" customHeight="1">
      <c r="A912" s="309"/>
      <c r="B912" s="309"/>
      <c r="C912" s="309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</row>
    <row r="913" ht="12.75" customHeight="1">
      <c r="A913" s="309"/>
      <c r="B913" s="309"/>
      <c r="C913" s="309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</row>
    <row r="914" ht="12.75" customHeight="1">
      <c r="A914" s="309"/>
      <c r="B914" s="309"/>
      <c r="C914" s="309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</row>
    <row r="915" ht="12.75" customHeight="1">
      <c r="A915" s="309"/>
      <c r="B915" s="309"/>
      <c r="C915" s="309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</row>
    <row r="916" ht="12.75" customHeight="1">
      <c r="A916" s="309"/>
      <c r="B916" s="309"/>
      <c r="C916" s="309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</row>
    <row r="917" ht="12.75" customHeight="1">
      <c r="A917" s="309"/>
      <c r="B917" s="309"/>
      <c r="C917" s="309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</row>
    <row r="918" ht="12.75" customHeight="1">
      <c r="A918" s="309"/>
      <c r="B918" s="309"/>
      <c r="C918" s="309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</row>
    <row r="919" ht="12.75" customHeight="1">
      <c r="A919" s="309"/>
      <c r="B919" s="309"/>
      <c r="C919" s="309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</row>
    <row r="920" ht="12.75" customHeight="1">
      <c r="A920" s="309"/>
      <c r="B920" s="309"/>
      <c r="C920" s="309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</row>
    <row r="921" ht="12.75" customHeight="1">
      <c r="A921" s="309"/>
      <c r="B921" s="309"/>
      <c r="C921" s="309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</row>
    <row r="922" ht="12.75" customHeight="1">
      <c r="A922" s="309"/>
      <c r="B922" s="309"/>
      <c r="C922" s="309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</row>
    <row r="923" ht="12.75" customHeight="1">
      <c r="A923" s="309"/>
      <c r="B923" s="309"/>
      <c r="C923" s="309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</row>
    <row r="924" ht="12.75" customHeight="1">
      <c r="A924" s="309"/>
      <c r="B924" s="309"/>
      <c r="C924" s="309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</row>
    <row r="925" ht="12.75" customHeight="1">
      <c r="A925" s="309"/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</row>
    <row r="926" ht="12.75" customHeight="1">
      <c r="A926" s="309"/>
      <c r="B926" s="309"/>
      <c r="C926" s="309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</row>
    <row r="927" ht="12.75" customHeight="1">
      <c r="A927" s="309"/>
      <c r="B927" s="309"/>
      <c r="C927" s="309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</row>
    <row r="928" ht="12.75" customHeight="1">
      <c r="A928" s="309"/>
      <c r="B928" s="309"/>
      <c r="C928" s="309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</row>
    <row r="929" ht="12.75" customHeight="1">
      <c r="A929" s="309"/>
      <c r="B929" s="309"/>
      <c r="C929" s="309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</row>
    <row r="930" ht="12.75" customHeight="1">
      <c r="A930" s="309"/>
      <c r="B930" s="309"/>
      <c r="C930" s="309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</row>
    <row r="931" ht="12.75" customHeight="1">
      <c r="A931" s="309"/>
      <c r="B931" s="309"/>
      <c r="C931" s="309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</row>
    <row r="932" ht="12.75" customHeight="1">
      <c r="A932" s="309"/>
      <c r="B932" s="309"/>
      <c r="C932" s="309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</row>
    <row r="933" ht="12.75" customHeight="1">
      <c r="A933" s="309"/>
      <c r="B933" s="309"/>
      <c r="C933" s="309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</row>
    <row r="934" ht="12.75" customHeight="1">
      <c r="A934" s="309"/>
      <c r="B934" s="309"/>
      <c r="C934" s="309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</row>
    <row r="935" ht="12.75" customHeight="1">
      <c r="A935" s="309"/>
      <c r="B935" s="309"/>
      <c r="C935" s="309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</row>
    <row r="936" ht="12.75" customHeight="1">
      <c r="A936" s="309"/>
      <c r="B936" s="309"/>
      <c r="C936" s="309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</row>
    <row r="937" ht="12.75" customHeight="1">
      <c r="A937" s="309"/>
      <c r="B937" s="309"/>
      <c r="C937" s="309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</row>
    <row r="938" ht="12.75" customHeight="1">
      <c r="A938" s="309"/>
      <c r="B938" s="309"/>
      <c r="C938" s="309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</row>
    <row r="939" ht="12.75" customHeight="1">
      <c r="A939" s="309"/>
      <c r="B939" s="309"/>
      <c r="C939" s="309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</row>
    <row r="940" ht="12.75" customHeight="1">
      <c r="A940" s="309"/>
      <c r="B940" s="309"/>
      <c r="C940" s="309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</row>
    <row r="941" ht="12.75" customHeight="1">
      <c r="A941" s="309"/>
      <c r="B941" s="309"/>
      <c r="C941" s="309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</row>
    <row r="942" ht="12.75" customHeight="1">
      <c r="A942" s="309"/>
      <c r="B942" s="309"/>
      <c r="C942" s="309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</row>
    <row r="943" ht="12.75" customHeight="1">
      <c r="A943" s="309"/>
      <c r="B943" s="309"/>
      <c r="C943" s="309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</row>
    <row r="944" ht="12.75" customHeight="1">
      <c r="A944" s="309"/>
      <c r="B944" s="309"/>
      <c r="C944" s="309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</row>
    <row r="945" ht="12.75" customHeight="1">
      <c r="A945" s="309"/>
      <c r="B945" s="309"/>
      <c r="C945" s="309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</row>
    <row r="946" ht="12.75" customHeight="1">
      <c r="A946" s="309"/>
      <c r="B946" s="309"/>
      <c r="C946" s="309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</row>
    <row r="947" ht="12.75" customHeight="1">
      <c r="A947" s="309"/>
      <c r="B947" s="309"/>
      <c r="C947" s="309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</row>
    <row r="948" ht="12.75" customHeight="1">
      <c r="A948" s="309"/>
      <c r="B948" s="309"/>
      <c r="C948" s="309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</row>
    <row r="949" ht="12.75" customHeight="1">
      <c r="A949" s="309"/>
      <c r="B949" s="309"/>
      <c r="C949" s="309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</row>
    <row r="950" ht="12.75" customHeight="1">
      <c r="A950" s="309"/>
      <c r="B950" s="309"/>
      <c r="C950" s="309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</row>
    <row r="951" ht="12.75" customHeight="1">
      <c r="A951" s="309"/>
      <c r="B951" s="309"/>
      <c r="C951" s="309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</row>
    <row r="952" ht="12.75" customHeight="1">
      <c r="A952" s="309"/>
      <c r="B952" s="309"/>
      <c r="C952" s="309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</row>
    <row r="953" ht="12.75" customHeight="1">
      <c r="A953" s="309"/>
      <c r="B953" s="309"/>
      <c r="C953" s="309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</row>
    <row r="954" ht="12.75" customHeight="1">
      <c r="A954" s="309"/>
      <c r="B954" s="309"/>
      <c r="C954" s="309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</row>
    <row r="955" ht="12.75" customHeight="1">
      <c r="A955" s="309"/>
      <c r="B955" s="309"/>
      <c r="C955" s="309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</row>
    <row r="956" ht="12.75" customHeight="1">
      <c r="A956" s="309"/>
      <c r="B956" s="309"/>
      <c r="C956" s="309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</row>
    <row r="957" ht="12.75" customHeight="1">
      <c r="A957" s="309"/>
      <c r="B957" s="309"/>
      <c r="C957" s="309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</row>
    <row r="958" ht="12.75" customHeight="1">
      <c r="A958" s="309"/>
      <c r="B958" s="309"/>
      <c r="C958" s="309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</row>
    <row r="959" ht="12.75" customHeight="1">
      <c r="A959" s="309"/>
      <c r="B959" s="309"/>
      <c r="C959" s="309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</row>
    <row r="960" ht="12.75" customHeight="1">
      <c r="A960" s="309"/>
      <c r="B960" s="309"/>
      <c r="C960" s="309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</row>
    <row r="961" ht="12.75" customHeight="1">
      <c r="A961" s="309"/>
      <c r="B961" s="309"/>
      <c r="C961" s="309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</row>
    <row r="962" ht="12.75" customHeight="1">
      <c r="A962" s="309"/>
      <c r="B962" s="309"/>
      <c r="C962" s="309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</row>
    <row r="963" ht="12.75" customHeight="1">
      <c r="A963" s="309"/>
      <c r="B963" s="309"/>
      <c r="C963" s="309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</row>
    <row r="964" ht="12.75" customHeight="1">
      <c r="A964" s="309"/>
      <c r="B964" s="309"/>
      <c r="C964" s="309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</row>
    <row r="965" ht="12.75" customHeight="1">
      <c r="A965" s="309"/>
      <c r="B965" s="309"/>
      <c r="C965" s="309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</row>
    <row r="966" ht="12.75" customHeight="1">
      <c r="A966" s="309"/>
      <c r="B966" s="309"/>
      <c r="C966" s="309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</row>
    <row r="967" ht="12.75" customHeight="1">
      <c r="A967" s="309"/>
      <c r="B967" s="309"/>
      <c r="C967" s="309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</row>
    <row r="968" ht="12.75" customHeight="1">
      <c r="A968" s="309"/>
      <c r="B968" s="309"/>
      <c r="C968" s="309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</row>
    <row r="969" ht="12.75" customHeight="1">
      <c r="A969" s="309"/>
      <c r="B969" s="309"/>
      <c r="C969" s="309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</row>
    <row r="970" ht="12.75" customHeight="1">
      <c r="A970" s="309"/>
      <c r="B970" s="309"/>
      <c r="C970" s="309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</row>
    <row r="971" ht="12.75" customHeight="1">
      <c r="A971" s="309"/>
      <c r="B971" s="309"/>
      <c r="C971" s="309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</row>
    <row r="972" ht="12.75" customHeight="1">
      <c r="A972" s="309"/>
      <c r="B972" s="309"/>
      <c r="C972" s="309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</row>
    <row r="973" ht="12.75" customHeight="1">
      <c r="A973" s="309"/>
      <c r="B973" s="309"/>
      <c r="C973" s="309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</row>
    <row r="974" ht="12.75" customHeight="1">
      <c r="A974" s="309"/>
      <c r="B974" s="309"/>
      <c r="C974" s="309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</row>
    <row r="975" ht="12.75" customHeight="1">
      <c r="A975" s="309"/>
      <c r="B975" s="309"/>
      <c r="C975" s="309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</row>
    <row r="976" ht="12.75" customHeight="1">
      <c r="A976" s="309"/>
      <c r="B976" s="309"/>
      <c r="C976" s="309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</row>
    <row r="977" ht="12.75" customHeight="1">
      <c r="A977" s="309"/>
      <c r="B977" s="309"/>
      <c r="C977" s="309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</row>
    <row r="978" ht="12.75" customHeight="1">
      <c r="A978" s="309"/>
      <c r="B978" s="309"/>
      <c r="C978" s="309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</row>
    <row r="979" ht="12.75" customHeight="1">
      <c r="A979" s="309"/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</row>
    <row r="980" ht="12.75" customHeight="1">
      <c r="A980" s="309"/>
      <c r="B980" s="309"/>
      <c r="C980" s="309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</row>
    <row r="981" ht="12.75" customHeight="1">
      <c r="A981" s="309"/>
      <c r="B981" s="309"/>
      <c r="C981" s="309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</row>
    <row r="982" ht="12.75" customHeight="1">
      <c r="A982" s="309"/>
      <c r="B982" s="309"/>
      <c r="C982" s="309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</row>
    <row r="983" ht="12.75" customHeight="1">
      <c r="A983" s="309"/>
      <c r="B983" s="309"/>
      <c r="C983" s="309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</row>
    <row r="984" ht="12.75" customHeight="1">
      <c r="A984" s="309"/>
      <c r="B984" s="309"/>
      <c r="C984" s="309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</row>
    <row r="985" ht="12.75" customHeight="1">
      <c r="A985" s="309"/>
      <c r="B985" s="309"/>
      <c r="C985" s="309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</row>
    <row r="986" ht="12.75" customHeight="1">
      <c r="A986" s="309"/>
      <c r="B986" s="309"/>
      <c r="C986" s="309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</row>
    <row r="987" ht="12.75" customHeight="1">
      <c r="A987" s="309"/>
      <c r="B987" s="309"/>
      <c r="C987" s="309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</row>
    <row r="988" ht="12.75" customHeight="1">
      <c r="A988" s="309"/>
      <c r="B988" s="309"/>
      <c r="C988" s="309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</row>
    <row r="989" ht="12.75" customHeight="1">
      <c r="A989" s="309"/>
      <c r="B989" s="309"/>
      <c r="C989" s="309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</row>
    <row r="990" ht="12.75" customHeight="1">
      <c r="A990" s="309"/>
      <c r="B990" s="309"/>
      <c r="C990" s="309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</row>
    <row r="991" ht="12.75" customHeight="1">
      <c r="A991" s="309"/>
      <c r="B991" s="309"/>
      <c r="C991" s="309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</row>
    <row r="992" ht="12.75" customHeight="1">
      <c r="A992" s="309"/>
      <c r="B992" s="309"/>
      <c r="C992" s="309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</row>
    <row r="993" ht="12.75" customHeight="1">
      <c r="A993" s="309"/>
      <c r="B993" s="309"/>
      <c r="C993" s="309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</row>
    <row r="994" ht="12.75" customHeight="1">
      <c r="A994" s="309"/>
      <c r="B994" s="309"/>
      <c r="C994" s="309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</row>
    <row r="995" ht="12.75" customHeight="1">
      <c r="A995" s="309"/>
      <c r="B995" s="309"/>
      <c r="C995" s="309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</row>
    <row r="996" ht="12.75" customHeight="1">
      <c r="A996" s="309"/>
      <c r="B996" s="309"/>
      <c r="C996" s="309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</row>
    <row r="997" ht="12.75" customHeight="1">
      <c r="A997" s="309"/>
      <c r="B997" s="309"/>
      <c r="C997" s="309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</row>
    <row r="998" ht="12.75" customHeight="1">
      <c r="A998" s="309"/>
      <c r="B998" s="309"/>
      <c r="C998" s="309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</row>
    <row r="999" ht="12.75" customHeight="1">
      <c r="A999" s="309"/>
      <c r="B999" s="309"/>
      <c r="C999" s="309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</row>
    <row r="1000" ht="12.75" customHeight="1">
      <c r="A1000" s="309"/>
      <c r="B1000" s="309"/>
      <c r="C1000" s="309"/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2.75"/>
    <col customWidth="1" min="3" max="3" width="18.13"/>
    <col customWidth="1" min="4" max="4" width="20.0"/>
    <col customWidth="1" min="5" max="5" width="17.88"/>
    <col customWidth="1" min="6" max="6" width="15.75"/>
    <col customWidth="1" min="7" max="7" width="23.0"/>
    <col customWidth="1" min="8" max="8" width="11.63"/>
    <col customWidth="1" min="9" max="9" width="23.88"/>
    <col customWidth="1" min="10" max="10" width="18.88"/>
    <col customWidth="1" min="11" max="11" width="15.75"/>
    <col customWidth="1" min="12" max="12" width="21.0"/>
    <col customWidth="1" min="13" max="13" width="19.25"/>
    <col customWidth="1" min="14" max="14" width="19.63"/>
    <col customWidth="1" min="15" max="15" width="19.88"/>
    <col customWidth="1" min="16" max="16" width="18.63"/>
    <col customWidth="1" min="17" max="17" width="19.38"/>
    <col customWidth="1" min="18" max="18" width="19.25"/>
    <col customWidth="1" min="19" max="19" width="8.88"/>
    <col customWidth="1" min="20" max="25" width="11.25"/>
    <col customWidth="1" min="26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29"/>
      <c r="W2" s="29"/>
      <c r="X2" s="29"/>
      <c r="Y2" s="29"/>
      <c r="Z2" s="29"/>
    </row>
    <row r="3" ht="13.5" customHeight="1">
      <c r="A3" s="29"/>
      <c r="C3" s="282" t="s">
        <v>288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4"/>
      <c r="V3" s="44"/>
      <c r="W3" s="44"/>
      <c r="X3" s="44"/>
      <c r="Y3" s="44"/>
      <c r="Z3" s="29"/>
    </row>
    <row r="4" ht="13.5" customHeight="1">
      <c r="A4" s="2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4"/>
      <c r="V4" s="44"/>
      <c r="W4" s="44"/>
      <c r="X4" s="44"/>
      <c r="Y4" s="44"/>
      <c r="Z4" s="29"/>
    </row>
    <row r="5" ht="13.5" customHeight="1">
      <c r="A5" s="29"/>
      <c r="C5" s="47" t="s">
        <v>289</v>
      </c>
      <c r="D5" s="40"/>
      <c r="E5" s="40"/>
      <c r="F5" s="40"/>
      <c r="G5" s="40"/>
      <c r="H5" s="40"/>
      <c r="I5" s="40"/>
      <c r="J5" s="40" t="s">
        <v>223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4"/>
      <c r="V5" s="44"/>
      <c r="W5" s="44"/>
      <c r="X5" s="44"/>
      <c r="Y5" s="44"/>
      <c r="Z5" s="29"/>
    </row>
    <row r="6" ht="34.5" customHeight="1">
      <c r="A6" s="146"/>
      <c r="B6" s="40"/>
      <c r="C6" s="323" t="s">
        <v>20</v>
      </c>
      <c r="D6" s="323" t="s">
        <v>290</v>
      </c>
      <c r="E6" s="323" t="s">
        <v>291</v>
      </c>
      <c r="F6" s="323" t="s">
        <v>292</v>
      </c>
      <c r="G6" s="323" t="s">
        <v>293</v>
      </c>
      <c r="H6" s="323" t="s">
        <v>294</v>
      </c>
      <c r="I6" s="323" t="s">
        <v>295</v>
      </c>
      <c r="J6" s="323" t="s">
        <v>296</v>
      </c>
      <c r="K6" s="323" t="s">
        <v>297</v>
      </c>
      <c r="L6" s="323" t="s">
        <v>298</v>
      </c>
      <c r="M6" s="323" t="s">
        <v>299</v>
      </c>
      <c r="N6" s="323" t="s">
        <v>300</v>
      </c>
      <c r="O6" s="323" t="s">
        <v>301</v>
      </c>
      <c r="P6" s="323" t="s">
        <v>302</v>
      </c>
      <c r="Q6" s="324"/>
      <c r="R6" s="324"/>
      <c r="S6" s="324"/>
      <c r="T6" s="324"/>
      <c r="U6" s="325"/>
      <c r="V6" s="325"/>
      <c r="W6" s="325"/>
      <c r="X6" s="325"/>
      <c r="Y6" s="325"/>
      <c r="Z6" s="146"/>
    </row>
    <row r="7" ht="13.5" customHeight="1">
      <c r="A7" s="29"/>
      <c r="B7" s="30"/>
      <c r="C7" s="206">
        <v>0.0</v>
      </c>
      <c r="D7" s="177">
        <f>'Activo no Corriente'!E13</f>
        <v>300000</v>
      </c>
      <c r="E7" s="177">
        <f>+'Capital de trabajo'!D13</f>
        <v>13614000</v>
      </c>
      <c r="F7" s="177">
        <f>+'Activo no Corriente'!E14+'Capital de trabajo'!D7</f>
        <v>1283940</v>
      </c>
      <c r="G7" s="177">
        <v>0.0</v>
      </c>
      <c r="H7" s="177">
        <v>0.0</v>
      </c>
      <c r="I7" s="177">
        <f t="shared" ref="I7:I12" si="1">SUM(D7:H7)</f>
        <v>15197940</v>
      </c>
      <c r="J7" s="177">
        <v>0.0</v>
      </c>
      <c r="K7" s="177">
        <v>0.0</v>
      </c>
      <c r="L7" s="177">
        <v>0.0</v>
      </c>
      <c r="M7" s="177">
        <v>0.0</v>
      </c>
      <c r="N7" s="299">
        <f t="shared" ref="N7:N12" si="2">+M7-I7</f>
        <v>-15197940</v>
      </c>
      <c r="O7" s="326">
        <f>N7</f>
        <v>-15197940</v>
      </c>
      <c r="P7" s="327"/>
      <c r="Q7" s="40"/>
      <c r="R7" s="30"/>
      <c r="S7" s="30"/>
      <c r="T7" s="40"/>
      <c r="U7" s="44"/>
      <c r="V7" s="44"/>
      <c r="W7" s="44"/>
      <c r="X7" s="44"/>
      <c r="Y7" s="44"/>
      <c r="Z7" s="29"/>
    </row>
    <row r="8" ht="13.5" customHeight="1">
      <c r="A8" s="29"/>
      <c r="B8" s="30"/>
      <c r="C8" s="206">
        <v>1.0</v>
      </c>
      <c r="D8" s="177">
        <v>0.0</v>
      </c>
      <c r="E8" s="177">
        <v>0.0</v>
      </c>
      <c r="F8" s="177">
        <v>0.0</v>
      </c>
      <c r="G8" s="177">
        <f>-'Balances Pro Forma'!F24</f>
        <v>154109.858</v>
      </c>
      <c r="H8" s="177">
        <v>0.0</v>
      </c>
      <c r="I8" s="177">
        <f t="shared" si="1"/>
        <v>154109.858</v>
      </c>
      <c r="J8" s="177">
        <f>+'Balances Pro Forma'!F15</f>
        <v>2789386.88</v>
      </c>
      <c r="K8" s="177">
        <f>-'Balances Pro Forma'!F17</f>
        <v>10000</v>
      </c>
      <c r="L8" s="177">
        <f>F7</f>
        <v>1283940</v>
      </c>
      <c r="M8" s="177">
        <f t="shared" ref="M8:M12" si="3">SUM(J8:L8)</f>
        <v>4083326.88</v>
      </c>
      <c r="N8" s="299">
        <f t="shared" si="2"/>
        <v>3929217.022</v>
      </c>
      <c r="O8" s="299">
        <f>SUM(N7:N8)</f>
        <v>-11268722.98</v>
      </c>
      <c r="P8" s="299">
        <f>+IF(AND(O7&lt;0,O8&lt;0),0,IF(AND(O7&lt;0,O8&gt;0),O8*12/(-O7+O8),""))</f>
        <v>0</v>
      </c>
      <c r="Q8" s="30"/>
      <c r="R8" s="30"/>
      <c r="S8" s="30"/>
      <c r="T8" s="40"/>
      <c r="U8" s="29"/>
      <c r="V8" s="44"/>
      <c r="W8" s="44"/>
      <c r="X8" s="44"/>
      <c r="Y8" s="44"/>
      <c r="Z8" s="29"/>
    </row>
    <row r="9" ht="13.5" customHeight="1">
      <c r="A9" s="29"/>
      <c r="B9" s="30"/>
      <c r="C9" s="206">
        <v>2.0</v>
      </c>
      <c r="D9" s="177">
        <v>0.0</v>
      </c>
      <c r="E9" s="177">
        <v>0.0</v>
      </c>
      <c r="F9" s="177">
        <v>0.0</v>
      </c>
      <c r="G9" s="177">
        <f>-'Balances Pro Forma'!I24</f>
        <v>3009344.968</v>
      </c>
      <c r="H9" s="177">
        <v>0.0</v>
      </c>
      <c r="I9" s="177">
        <f t="shared" si="1"/>
        <v>3009344.968</v>
      </c>
      <c r="J9" s="177">
        <f>+'Balances Pro Forma'!I15</f>
        <v>10489386.88</v>
      </c>
      <c r="K9" s="177">
        <f>-'Balances Pro Forma'!I17</f>
        <v>20000</v>
      </c>
      <c r="L9" s="177">
        <v>0.0</v>
      </c>
      <c r="M9" s="177">
        <f t="shared" si="3"/>
        <v>10509386.88</v>
      </c>
      <c r="N9" s="177">
        <f t="shared" si="2"/>
        <v>7500041.912</v>
      </c>
      <c r="O9" s="177">
        <f>SUM(N7:N9)</f>
        <v>-3768681.066</v>
      </c>
      <c r="P9" s="299">
        <f t="shared" ref="P9:P11" si="4">+IF(AND(O8&lt;0,O9&lt;0),0,IF(AND(O8&lt;0,O9&gt;0),-O8*12/(-O8+O9),""))</f>
        <v>0</v>
      </c>
      <c r="Q9" s="328"/>
      <c r="R9" s="40"/>
      <c r="S9" s="30"/>
      <c r="T9" s="40"/>
      <c r="U9" s="44"/>
      <c r="V9" s="44"/>
      <c r="W9" s="44"/>
      <c r="X9" s="44"/>
      <c r="Y9" s="44"/>
      <c r="Z9" s="29"/>
    </row>
    <row r="10" ht="13.5" customHeight="1">
      <c r="A10" s="29"/>
      <c r="B10" s="30"/>
      <c r="C10" s="206">
        <v>3.0</v>
      </c>
      <c r="D10" s="177">
        <v>0.0</v>
      </c>
      <c r="E10" s="177">
        <v>0.0</v>
      </c>
      <c r="F10" s="177">
        <v>0.0</v>
      </c>
      <c r="G10" s="177">
        <f>-'Balances Pro Forma'!L24</f>
        <v>6942580.078</v>
      </c>
      <c r="H10" s="177">
        <v>0.0</v>
      </c>
      <c r="I10" s="177">
        <f t="shared" si="1"/>
        <v>6942580.078</v>
      </c>
      <c r="J10" s="177">
        <f>+'Balances Pro Forma'!L15</f>
        <v>21269386.88</v>
      </c>
      <c r="K10" s="177">
        <f>-'Balances Pro Forma'!L17</f>
        <v>30000</v>
      </c>
      <c r="L10" s="177">
        <v>0.0</v>
      </c>
      <c r="M10" s="177">
        <f t="shared" si="3"/>
        <v>21299386.88</v>
      </c>
      <c r="N10" s="177">
        <f t="shared" si="2"/>
        <v>14356806.8</v>
      </c>
      <c r="O10" s="177">
        <f>SUM(N7:N10)</f>
        <v>10588125.74</v>
      </c>
      <c r="P10" s="299">
        <f t="shared" si="4"/>
        <v>3.150016115</v>
      </c>
      <c r="Q10" s="30"/>
      <c r="R10" s="40"/>
      <c r="S10" s="30"/>
      <c r="T10" s="40"/>
      <c r="U10" s="44"/>
      <c r="V10" s="44"/>
      <c r="W10" s="44"/>
      <c r="X10" s="44"/>
      <c r="Y10" s="44"/>
      <c r="Z10" s="29"/>
    </row>
    <row r="11" ht="13.5" customHeight="1">
      <c r="A11" s="29"/>
      <c r="B11" s="30"/>
      <c r="C11" s="206">
        <v>4.0</v>
      </c>
      <c r="D11" s="177">
        <v>0.0</v>
      </c>
      <c r="E11" s="177">
        <v>0.0</v>
      </c>
      <c r="F11" s="177">
        <v>0.0</v>
      </c>
      <c r="G11" s="177">
        <f>-'Balances Pro Forma'!O24</f>
        <v>12385015.19</v>
      </c>
      <c r="H11" s="177">
        <v>0.0</v>
      </c>
      <c r="I11" s="177">
        <f t="shared" si="1"/>
        <v>12385015.19</v>
      </c>
      <c r="J11" s="177">
        <f>+'Balances Pro Forma'!O15</f>
        <v>36361386.88</v>
      </c>
      <c r="K11" s="177">
        <f>-'Balances Pro Forma'!O17</f>
        <v>40000</v>
      </c>
      <c r="L11" s="177">
        <v>0.0</v>
      </c>
      <c r="M11" s="177">
        <f t="shared" si="3"/>
        <v>36401386.88</v>
      </c>
      <c r="N11" s="177">
        <f t="shared" si="2"/>
        <v>24016371.69</v>
      </c>
      <c r="O11" s="177">
        <f>SUM(N7:N11)</f>
        <v>34604497.43</v>
      </c>
      <c r="P11" s="299" t="str">
        <f t="shared" si="4"/>
        <v/>
      </c>
      <c r="Q11" s="40"/>
      <c r="R11" s="40"/>
      <c r="S11" s="30"/>
      <c r="T11" s="40"/>
      <c r="U11" s="44"/>
      <c r="V11" s="44"/>
      <c r="W11" s="44"/>
      <c r="X11" s="44"/>
      <c r="Y11" s="44"/>
      <c r="Z11" s="29"/>
    </row>
    <row r="12" ht="13.5" customHeight="1">
      <c r="A12" s="29"/>
      <c r="B12" s="30"/>
      <c r="C12" s="206">
        <v>5.0</v>
      </c>
      <c r="D12" s="177">
        <f>-'Activo no Corriente'!J13</f>
        <v>-150000</v>
      </c>
      <c r="E12" s="177">
        <f>-E7</f>
        <v>-13614000</v>
      </c>
      <c r="F12" s="177">
        <v>0.0</v>
      </c>
      <c r="G12" s="177">
        <f>-'Balances Pro Forma'!R24</f>
        <v>21007550.3</v>
      </c>
      <c r="H12" s="177">
        <v>0.0</v>
      </c>
      <c r="I12" s="177">
        <f t="shared" si="1"/>
        <v>7243550.298</v>
      </c>
      <c r="J12" s="177">
        <f>+'Balances Pro Forma'!R15</f>
        <v>60539386.88</v>
      </c>
      <c r="K12" s="177">
        <f>-'Balances Pro Forma'!R17</f>
        <v>50000</v>
      </c>
      <c r="L12" s="177">
        <v>0.0</v>
      </c>
      <c r="M12" s="177">
        <f t="shared" si="3"/>
        <v>60589386.88</v>
      </c>
      <c r="N12" s="177">
        <f t="shared" si="2"/>
        <v>53345836.58</v>
      </c>
      <c r="O12" s="329">
        <f>SUM(N7:N12)</f>
        <v>87950334.01</v>
      </c>
      <c r="P12" s="30"/>
      <c r="Q12" s="40"/>
      <c r="R12" s="40"/>
      <c r="S12" s="30"/>
      <c r="T12" s="40"/>
      <c r="U12" s="44"/>
      <c r="V12" s="44"/>
      <c r="W12" s="44"/>
      <c r="X12" s="44"/>
      <c r="Y12" s="44"/>
      <c r="Z12" s="29"/>
    </row>
    <row r="13" ht="13.5" customHeight="1">
      <c r="A13" s="29"/>
      <c r="B13" s="30"/>
      <c r="C13" s="330" t="s">
        <v>44</v>
      </c>
      <c r="D13" s="331">
        <f t="shared" ref="D13:N13" si="5">SUM(D7:D12)</f>
        <v>150000</v>
      </c>
      <c r="E13" s="331">
        <f t="shared" si="5"/>
        <v>0</v>
      </c>
      <c r="F13" s="331">
        <f t="shared" si="5"/>
        <v>1283940</v>
      </c>
      <c r="G13" s="331">
        <f t="shared" si="5"/>
        <v>43498600.39</v>
      </c>
      <c r="H13" s="331">
        <f t="shared" si="5"/>
        <v>0</v>
      </c>
      <c r="I13" s="332">
        <f t="shared" si="5"/>
        <v>44932540.39</v>
      </c>
      <c r="J13" s="332">
        <f t="shared" si="5"/>
        <v>131448934.4</v>
      </c>
      <c r="K13" s="331">
        <f t="shared" si="5"/>
        <v>150000</v>
      </c>
      <c r="L13" s="331">
        <f t="shared" si="5"/>
        <v>1283940</v>
      </c>
      <c r="M13" s="331">
        <f t="shared" si="5"/>
        <v>132882874.4</v>
      </c>
      <c r="N13" s="331">
        <f t="shared" si="5"/>
        <v>87950334.01</v>
      </c>
      <c r="O13" s="333"/>
      <c r="P13" s="40"/>
      <c r="Q13" s="40"/>
      <c r="R13" s="40"/>
      <c r="S13" s="40"/>
      <c r="T13" s="40"/>
      <c r="U13" s="44"/>
      <c r="V13" s="44"/>
      <c r="W13" s="44"/>
      <c r="X13" s="44"/>
      <c r="Y13" s="44"/>
      <c r="Z13" s="29"/>
    </row>
    <row r="14" ht="13.5" customHeight="1">
      <c r="A14" s="29"/>
      <c r="B14" s="30"/>
      <c r="C14" s="40"/>
      <c r="D14" s="40"/>
      <c r="E14" s="40"/>
      <c r="F14" s="40"/>
      <c r="G14" s="40"/>
      <c r="H14" s="40"/>
      <c r="I14" s="334" t="s">
        <v>293</v>
      </c>
      <c r="J14" s="335">
        <f>-G13</f>
        <v>-43498600.39</v>
      </c>
      <c r="K14" s="40"/>
      <c r="L14" s="40"/>
      <c r="M14" s="40"/>
      <c r="N14" s="336"/>
      <c r="O14" s="40"/>
      <c r="P14" s="337"/>
      <c r="Q14" s="40"/>
      <c r="R14" s="40"/>
      <c r="S14" s="40"/>
      <c r="T14" s="40"/>
      <c r="U14" s="44"/>
      <c r="V14" s="44"/>
      <c r="W14" s="44"/>
      <c r="X14" s="44"/>
      <c r="Y14" s="44"/>
      <c r="Z14" s="29"/>
    </row>
    <row r="15" ht="13.5" customHeight="1">
      <c r="A15" s="29"/>
      <c r="B15" s="30"/>
      <c r="C15" s="40"/>
      <c r="D15" s="40"/>
      <c r="E15" s="40"/>
      <c r="F15" s="40"/>
      <c r="G15" s="40" t="s">
        <v>223</v>
      </c>
      <c r="H15" s="40"/>
      <c r="I15" s="37" t="s">
        <v>303</v>
      </c>
      <c r="J15" s="335">
        <f>J14+J13</f>
        <v>87950334.01</v>
      </c>
      <c r="K15" s="40"/>
      <c r="L15" s="40"/>
      <c r="M15" s="40"/>
      <c r="N15" s="40"/>
      <c r="O15" s="40"/>
      <c r="P15" s="338"/>
      <c r="Q15" s="338"/>
      <c r="R15" s="40"/>
      <c r="S15" s="40"/>
      <c r="T15" s="40"/>
      <c r="U15" s="44"/>
      <c r="V15" s="44"/>
      <c r="W15" s="44"/>
      <c r="X15" s="44"/>
      <c r="Y15" s="44"/>
      <c r="Z15" s="29"/>
    </row>
    <row r="16" ht="13.5" customHeight="1">
      <c r="A16" s="29"/>
      <c r="B16" s="339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340"/>
      <c r="N16" s="341"/>
      <c r="O16" s="340"/>
      <c r="P16" s="40"/>
      <c r="Q16" s="40"/>
      <c r="R16" s="40"/>
      <c r="S16" s="40"/>
      <c r="T16" s="40"/>
      <c r="U16" s="44"/>
      <c r="V16" s="44"/>
      <c r="W16" s="44"/>
      <c r="X16" s="44"/>
      <c r="Y16" s="44"/>
      <c r="Z16" s="29"/>
    </row>
    <row r="17" ht="13.5" customHeight="1">
      <c r="A17" s="29"/>
      <c r="B17" s="339"/>
      <c r="C17" s="330" t="s">
        <v>304</v>
      </c>
      <c r="D17" s="342">
        <f>COUNTIF(O7:O12,"&lt;0")</f>
        <v>3</v>
      </c>
      <c r="E17" s="342" t="s">
        <v>305</v>
      </c>
      <c r="F17" s="342">
        <f>ROUNDUP(SUMIFS(P8:P11,P8:P11,"&gt;0"),0)</f>
        <v>4</v>
      </c>
      <c r="G17" s="342" t="s">
        <v>306</v>
      </c>
      <c r="H17" s="30"/>
      <c r="I17" s="30"/>
      <c r="J17" s="30"/>
      <c r="K17" s="30"/>
      <c r="L17" s="30"/>
      <c r="M17" s="30"/>
      <c r="N17" s="341"/>
      <c r="O17" s="340"/>
      <c r="P17" s="40"/>
      <c r="Q17" s="40"/>
      <c r="R17" s="40"/>
      <c r="S17" s="40"/>
      <c r="T17" s="40"/>
      <c r="U17" s="44"/>
      <c r="V17" s="44"/>
      <c r="W17" s="44"/>
      <c r="X17" s="44"/>
      <c r="Y17" s="44"/>
      <c r="Z17" s="29"/>
    </row>
    <row r="18" ht="13.5" customHeight="1">
      <c r="A18" s="29"/>
      <c r="B18" s="339"/>
      <c r="C18" s="40"/>
      <c r="D18" s="30"/>
      <c r="E18" s="30"/>
      <c r="F18" s="30"/>
      <c r="G18" s="30"/>
      <c r="H18" s="30"/>
      <c r="I18" s="30"/>
      <c r="J18" s="30"/>
      <c r="K18" s="30"/>
      <c r="L18" s="30"/>
      <c r="M18" s="340"/>
      <c r="N18" s="341"/>
      <c r="O18" s="340"/>
      <c r="P18" s="40"/>
      <c r="Q18" s="40"/>
      <c r="R18" s="40"/>
      <c r="S18" s="40"/>
      <c r="T18" s="40"/>
      <c r="U18" s="44"/>
      <c r="V18" s="44"/>
      <c r="W18" s="44"/>
      <c r="X18" s="44"/>
      <c r="Y18" s="44"/>
      <c r="Z18" s="29"/>
    </row>
    <row r="19" ht="13.5" customHeight="1">
      <c r="A19" s="29"/>
      <c r="B19" s="339"/>
      <c r="C19" s="330" t="s">
        <v>307</v>
      </c>
      <c r="D19" s="343">
        <f>IRR(N7:N12,0.1)</f>
        <v>0.6740884682</v>
      </c>
      <c r="E19" s="40"/>
      <c r="F19" s="40"/>
      <c r="G19" s="40"/>
      <c r="H19" s="30"/>
      <c r="I19" s="30"/>
      <c r="J19" s="30"/>
      <c r="K19" s="30"/>
      <c r="L19" s="30"/>
      <c r="M19" s="340"/>
      <c r="N19" s="341"/>
      <c r="O19" s="340"/>
      <c r="P19" s="40"/>
      <c r="Q19" s="40"/>
      <c r="R19" s="40"/>
      <c r="S19" s="40"/>
      <c r="T19" s="40"/>
      <c r="U19" s="44"/>
      <c r="V19" s="44"/>
      <c r="W19" s="44"/>
      <c r="X19" s="44"/>
      <c r="Y19" s="44"/>
      <c r="Z19" s="29"/>
    </row>
    <row r="20" ht="13.5" customHeight="1">
      <c r="A20" s="29"/>
      <c r="B20" s="339"/>
      <c r="C20" s="40"/>
      <c r="D20" s="40"/>
      <c r="E20" s="40"/>
      <c r="F20" s="40"/>
      <c r="G20" s="40"/>
      <c r="H20" s="30"/>
      <c r="I20" s="30"/>
      <c r="J20" s="30"/>
      <c r="K20" s="30"/>
      <c r="L20" s="30"/>
      <c r="M20" s="340"/>
      <c r="N20" s="341"/>
      <c r="O20" s="340"/>
      <c r="P20" s="40"/>
      <c r="Q20" s="40"/>
      <c r="R20" s="40"/>
      <c r="S20" s="40"/>
      <c r="T20" s="40"/>
      <c r="U20" s="44"/>
      <c r="V20" s="44"/>
      <c r="W20" s="44"/>
      <c r="X20" s="44"/>
      <c r="Y20" s="44"/>
      <c r="Z20" s="29"/>
    </row>
    <row r="21" ht="13.5" customHeight="1">
      <c r="A21" s="29"/>
      <c r="B21" s="339"/>
      <c r="C21" s="330" t="s">
        <v>308</v>
      </c>
      <c r="D21" s="344">
        <f>+O12</f>
        <v>87950334.01</v>
      </c>
      <c r="E21" s="40"/>
      <c r="F21" s="40"/>
      <c r="G21" s="40"/>
      <c r="H21" s="30"/>
      <c r="I21" s="30"/>
      <c r="J21" s="30"/>
      <c r="K21" s="30"/>
      <c r="L21" s="30"/>
      <c r="M21" s="340"/>
      <c r="N21" s="341"/>
      <c r="O21" s="340"/>
      <c r="P21" s="40"/>
      <c r="Q21" s="40"/>
      <c r="R21" s="40"/>
      <c r="S21" s="40"/>
      <c r="T21" s="40"/>
      <c r="U21" s="44"/>
      <c r="V21" s="44"/>
      <c r="W21" s="44"/>
      <c r="X21" s="44"/>
      <c r="Y21" s="44"/>
      <c r="Z21" s="29"/>
    </row>
    <row r="22" ht="13.5" customHeight="1">
      <c r="A22" s="29"/>
      <c r="B22" s="339"/>
      <c r="C22" s="40"/>
      <c r="D22" s="40"/>
      <c r="E22" s="40"/>
      <c r="F22" s="40"/>
      <c r="G22" s="40"/>
      <c r="H22" s="30"/>
      <c r="I22" s="30"/>
      <c r="J22" s="30"/>
      <c r="K22" s="30"/>
      <c r="L22" s="30"/>
      <c r="M22" s="340"/>
      <c r="N22" s="341"/>
      <c r="O22" s="340"/>
      <c r="P22" s="40"/>
      <c r="Q22" s="40"/>
      <c r="R22" s="40"/>
      <c r="S22" s="40"/>
      <c r="T22" s="40"/>
      <c r="U22" s="44"/>
      <c r="V22" s="44"/>
      <c r="W22" s="44"/>
      <c r="X22" s="44"/>
      <c r="Y22" s="44"/>
      <c r="Z22" s="29"/>
    </row>
    <row r="23" ht="13.5" customHeight="1">
      <c r="A23" s="29"/>
      <c r="B23" s="339"/>
      <c r="C23" s="345" t="s">
        <v>309</v>
      </c>
      <c r="D23" s="346">
        <f>+'Cuadro de Usos y Fuentes'!D15</f>
        <v>0.65</v>
      </c>
      <c r="E23" s="40"/>
      <c r="F23" s="40"/>
      <c r="G23" s="40"/>
      <c r="H23" s="30"/>
      <c r="I23" s="30"/>
      <c r="J23" s="30"/>
      <c r="K23" s="30"/>
      <c r="L23" s="30"/>
      <c r="M23" s="340"/>
      <c r="N23" s="341"/>
      <c r="O23" s="340"/>
      <c r="P23" s="40"/>
      <c r="Q23" s="40"/>
      <c r="R23" s="40"/>
      <c r="S23" s="40"/>
      <c r="T23" s="40"/>
      <c r="U23" s="44"/>
      <c r="V23" s="44"/>
      <c r="W23" s="44"/>
      <c r="X23" s="44"/>
      <c r="Y23" s="44"/>
      <c r="Z23" s="29"/>
    </row>
    <row r="24" ht="13.5" customHeight="1">
      <c r="A24" s="29"/>
      <c r="B24" s="339"/>
      <c r="C24" s="40"/>
      <c r="D24" s="40"/>
      <c r="E24" s="40"/>
      <c r="F24" s="40"/>
      <c r="G24" s="40"/>
      <c r="H24" s="30"/>
      <c r="I24" s="30"/>
      <c r="J24" s="30"/>
      <c r="K24" s="30"/>
      <c r="L24" s="30"/>
      <c r="M24" s="340"/>
      <c r="N24" s="341"/>
      <c r="O24" s="340"/>
      <c r="P24" s="40"/>
      <c r="Q24" s="40"/>
      <c r="R24" s="40"/>
      <c r="S24" s="40"/>
      <c r="T24" s="40"/>
      <c r="U24" s="44"/>
      <c r="V24" s="44"/>
      <c r="W24" s="44"/>
      <c r="X24" s="44"/>
      <c r="Y24" s="44"/>
      <c r="Z24" s="29"/>
    </row>
    <row r="25" ht="13.5" customHeight="1">
      <c r="A25" s="29"/>
      <c r="B25" s="339"/>
      <c r="C25" s="347" t="str">
        <f>+"VAN"&amp;"("&amp;D23*100&amp;"%"&amp;")"</f>
        <v>VAN(65%)</v>
      </c>
      <c r="D25" s="348">
        <f t="array" ref="D25">NPV(D23,N8,N9,N10,N11,N12)+N7</f>
        <v>736384.2709</v>
      </c>
      <c r="E25" s="40"/>
      <c r="F25" s="40"/>
      <c r="G25" s="40"/>
      <c r="H25" s="30"/>
      <c r="I25" s="30"/>
      <c r="J25" s="30"/>
      <c r="K25" s="30"/>
      <c r="L25" s="30"/>
      <c r="M25" s="340"/>
      <c r="N25" s="341"/>
      <c r="O25" s="340"/>
      <c r="P25" s="40"/>
      <c r="Q25" s="40"/>
      <c r="R25" s="40"/>
      <c r="S25" s="40"/>
      <c r="T25" s="40"/>
      <c r="U25" s="44"/>
      <c r="V25" s="44"/>
      <c r="W25" s="44"/>
      <c r="X25" s="44"/>
      <c r="Y25" s="44"/>
      <c r="Z25" s="29"/>
    </row>
    <row r="26" ht="13.5" customHeight="1">
      <c r="A26" s="29"/>
      <c r="B26" s="30"/>
      <c r="C26" s="40"/>
      <c r="D26" s="40"/>
      <c r="E26" s="40"/>
      <c r="F26" s="40"/>
      <c r="G26" s="40"/>
      <c r="H26" s="40"/>
      <c r="I26" s="40"/>
      <c r="J26" s="341" t="s">
        <v>223</v>
      </c>
      <c r="K26" s="40"/>
      <c r="L26" s="40"/>
      <c r="M26" s="341"/>
      <c r="N26" s="341"/>
      <c r="O26" s="340"/>
      <c r="P26" s="40"/>
      <c r="Q26" s="349"/>
      <c r="R26" s="40"/>
      <c r="S26" s="40"/>
      <c r="T26" s="40"/>
      <c r="U26" s="44"/>
      <c r="V26" s="44"/>
      <c r="W26" s="44"/>
      <c r="X26" s="44"/>
      <c r="Y26" s="44"/>
      <c r="Z26" s="29"/>
    </row>
    <row r="27" ht="13.5" customHeight="1">
      <c r="A27" s="29"/>
      <c r="B27" s="30"/>
      <c r="C27" s="40"/>
      <c r="D27" s="40"/>
      <c r="E27" s="40"/>
      <c r="F27" s="40"/>
      <c r="G27" s="40"/>
      <c r="H27" s="40"/>
      <c r="I27" s="40"/>
      <c r="J27" s="341"/>
      <c r="K27" s="40"/>
      <c r="L27" s="40"/>
      <c r="M27" s="341"/>
      <c r="N27" s="341"/>
      <c r="O27" s="340"/>
      <c r="P27" s="40"/>
      <c r="Q27" s="349"/>
      <c r="R27" s="40"/>
      <c r="S27" s="40"/>
      <c r="T27" s="40"/>
      <c r="U27" s="44"/>
      <c r="V27" s="44"/>
      <c r="W27" s="44"/>
      <c r="X27" s="44"/>
      <c r="Y27" s="44"/>
      <c r="Z27" s="29"/>
    </row>
    <row r="28" ht="13.5" customHeight="1">
      <c r="A28" s="29"/>
      <c r="B28" s="30"/>
      <c r="C28" s="47" t="s">
        <v>310</v>
      </c>
      <c r="D28" s="40"/>
      <c r="E28" s="40"/>
      <c r="F28" s="40"/>
      <c r="G28" s="40"/>
      <c r="H28" s="40"/>
      <c r="I28" s="40"/>
      <c r="J28" s="341"/>
      <c r="K28" s="40"/>
      <c r="L28" s="40"/>
      <c r="M28" s="341"/>
      <c r="N28" s="341"/>
      <c r="O28" s="340"/>
      <c r="P28" s="40"/>
      <c r="Q28" s="349"/>
      <c r="R28" s="40"/>
      <c r="S28" s="40"/>
      <c r="T28" s="40"/>
      <c r="U28" s="44"/>
      <c r="V28" s="44"/>
      <c r="W28" s="44"/>
      <c r="X28" s="44"/>
      <c r="Y28" s="44"/>
      <c r="Z28" s="29"/>
    </row>
    <row r="29" ht="34.5" customHeight="1">
      <c r="A29" s="146"/>
      <c r="B29" s="339"/>
      <c r="C29" s="323" t="s">
        <v>20</v>
      </c>
      <c r="D29" s="323" t="s">
        <v>290</v>
      </c>
      <c r="E29" s="323" t="s">
        <v>291</v>
      </c>
      <c r="F29" s="323" t="s">
        <v>292</v>
      </c>
      <c r="G29" s="323" t="s">
        <v>293</v>
      </c>
      <c r="H29" s="323" t="s">
        <v>294</v>
      </c>
      <c r="I29" s="323" t="s">
        <v>295</v>
      </c>
      <c r="J29" s="323" t="s">
        <v>296</v>
      </c>
      <c r="K29" s="323" t="s">
        <v>297</v>
      </c>
      <c r="L29" s="323" t="s">
        <v>298</v>
      </c>
      <c r="M29" s="323" t="s">
        <v>299</v>
      </c>
      <c r="N29" s="350" t="s">
        <v>311</v>
      </c>
      <c r="O29" s="350" t="s">
        <v>312</v>
      </c>
      <c r="P29" s="350" t="s">
        <v>313</v>
      </c>
      <c r="Q29" s="350" t="s">
        <v>300</v>
      </c>
      <c r="R29" s="350" t="s">
        <v>301</v>
      </c>
      <c r="S29" s="350" t="s">
        <v>302</v>
      </c>
      <c r="T29" s="324"/>
      <c r="U29" s="325"/>
      <c r="V29" s="325"/>
      <c r="W29" s="325"/>
      <c r="X29" s="325"/>
      <c r="Y29" s="325"/>
      <c r="Z29" s="146"/>
    </row>
    <row r="30" ht="13.5" customHeight="1">
      <c r="A30" s="29"/>
      <c r="B30" s="30"/>
      <c r="C30" s="351">
        <v>0.0</v>
      </c>
      <c r="D30" s="299">
        <f>'Activo no Corriente'!E13</f>
        <v>300000</v>
      </c>
      <c r="E30" s="299">
        <f t="shared" ref="E30:E34" si="6">+E7</f>
        <v>13614000</v>
      </c>
      <c r="F30" s="299">
        <f>+'Activo no Corriente'!E14+'Capital de trabajo'!D7</f>
        <v>1283940</v>
      </c>
      <c r="G30" s="299">
        <v>0.0</v>
      </c>
      <c r="H30" s="299">
        <v>0.0</v>
      </c>
      <c r="I30" s="299">
        <f t="shared" ref="I30:I35" si="7">SUM(D30:H30)</f>
        <v>15197940</v>
      </c>
      <c r="J30" s="299">
        <v>0.0</v>
      </c>
      <c r="K30" s="299">
        <v>0.0</v>
      </c>
      <c r="L30" s="299">
        <v>0.0</v>
      </c>
      <c r="M30" s="299">
        <v>0.0</v>
      </c>
      <c r="N30" s="299">
        <v>0.0</v>
      </c>
      <c r="O30" s="299">
        <v>0.0</v>
      </c>
      <c r="P30" s="299">
        <f t="shared" ref="P30:P35" si="8">N30-O30</f>
        <v>0</v>
      </c>
      <c r="Q30" s="327">
        <f t="shared" ref="Q30:Q35" si="9">+P30+M30-I30</f>
        <v>-15197940</v>
      </c>
      <c r="R30" s="327">
        <f>Q30</f>
        <v>-15197940</v>
      </c>
      <c r="S30" s="327"/>
      <c r="T30" s="40"/>
      <c r="U30" s="44"/>
      <c r="V30" s="44"/>
      <c r="W30" s="44"/>
      <c r="X30" s="44"/>
      <c r="Y30" s="44"/>
      <c r="Z30" s="29"/>
    </row>
    <row r="31" ht="13.5" customHeight="1">
      <c r="A31" s="29"/>
      <c r="B31" s="339"/>
      <c r="C31" s="351">
        <v>1.0</v>
      </c>
      <c r="D31" s="299">
        <v>0.0</v>
      </c>
      <c r="E31" s="299">
        <f t="shared" si="6"/>
        <v>0</v>
      </c>
      <c r="F31" s="299">
        <v>0.0</v>
      </c>
      <c r="G31" s="299">
        <f>-'Balances Pro Forma'!F24</f>
        <v>154109.858</v>
      </c>
      <c r="H31" s="299">
        <v>0.0</v>
      </c>
      <c r="I31" s="299">
        <f t="shared" si="7"/>
        <v>154109.858</v>
      </c>
      <c r="J31" s="299">
        <f>+'Balances Pro Forma'!F15</f>
        <v>2789386.88</v>
      </c>
      <c r="K31" s="299">
        <f>-'Balances Pro Forma'!F17</f>
        <v>10000</v>
      </c>
      <c r="L31" s="299">
        <f>F30</f>
        <v>1283940</v>
      </c>
      <c r="M31" s="299">
        <f t="shared" ref="M31:M35" si="10">SUM(J31:L31)</f>
        <v>4083326.88</v>
      </c>
      <c r="N31" s="299">
        <f>+'Balances Pro Forma'!F22</f>
        <v>0</v>
      </c>
      <c r="O31" s="299">
        <f>-'Balances Pro Forma'!F21</f>
        <v>2339073</v>
      </c>
      <c r="P31" s="299">
        <f t="shared" si="8"/>
        <v>-2339073</v>
      </c>
      <c r="Q31" s="327">
        <f t="shared" si="9"/>
        <v>1590144.022</v>
      </c>
      <c r="R31" s="327">
        <f>SUM(Q30:Q31)</f>
        <v>-13607795.98</v>
      </c>
      <c r="S31" s="299">
        <f>+IF(AND(R30&lt;0,R31&lt;0),0,IF(AND(R30&lt;0,R31&gt;0),R31*12/(-R30+R31),""))</f>
        <v>0</v>
      </c>
      <c r="T31" s="40"/>
      <c r="U31" s="44"/>
      <c r="V31" s="44"/>
      <c r="W31" s="44"/>
      <c r="X31" s="44"/>
      <c r="Y31" s="44"/>
      <c r="Z31" s="29"/>
    </row>
    <row r="32" ht="13.5" customHeight="1">
      <c r="A32" s="29"/>
      <c r="B32" s="30"/>
      <c r="C32" s="351">
        <v>2.0</v>
      </c>
      <c r="D32" s="299">
        <v>0.0</v>
      </c>
      <c r="E32" s="299">
        <f t="shared" si="6"/>
        <v>0</v>
      </c>
      <c r="F32" s="299">
        <v>0.0</v>
      </c>
      <c r="G32" s="299">
        <f>-'Balances Pro Forma'!I24</f>
        <v>3009344.968</v>
      </c>
      <c r="H32" s="299">
        <v>0.0</v>
      </c>
      <c r="I32" s="299">
        <f t="shared" si="7"/>
        <v>3009344.968</v>
      </c>
      <c r="J32" s="299">
        <f>+'Balances Pro Forma'!I15</f>
        <v>10489386.88</v>
      </c>
      <c r="K32" s="299">
        <f>-'Balances Pro Forma'!I17</f>
        <v>20000</v>
      </c>
      <c r="L32" s="299">
        <v>0.0</v>
      </c>
      <c r="M32" s="299">
        <f t="shared" si="10"/>
        <v>10509386.88</v>
      </c>
      <c r="N32" s="299">
        <f>+'Balances Pro Forma'!I22</f>
        <v>0</v>
      </c>
      <c r="O32" s="299">
        <f>-'Balances Pro Forma'!I21</f>
        <v>1871258.4</v>
      </c>
      <c r="P32" s="299">
        <f t="shared" si="8"/>
        <v>-1871258.4</v>
      </c>
      <c r="Q32" s="327">
        <f t="shared" si="9"/>
        <v>5628783.512</v>
      </c>
      <c r="R32" s="327">
        <f>SUM(Q30:Q32)</f>
        <v>-7979012.466</v>
      </c>
      <c r="S32" s="299">
        <f t="shared" ref="S32:S34" si="11">+IF(AND(R31&lt;0,R32&lt;0),0,IF(AND(R31&lt;0,R32&gt;0),-R31*12/(-R31+R32),""))</f>
        <v>0</v>
      </c>
      <c r="T32" s="40"/>
      <c r="U32" s="44"/>
      <c r="V32" s="44"/>
      <c r="W32" s="44"/>
      <c r="X32" s="44"/>
      <c r="Y32" s="44"/>
      <c r="Z32" s="29"/>
    </row>
    <row r="33" ht="13.5" customHeight="1">
      <c r="A33" s="29"/>
      <c r="B33" s="339"/>
      <c r="C33" s="351">
        <v>3.0</v>
      </c>
      <c r="D33" s="299">
        <v>0.0</v>
      </c>
      <c r="E33" s="299">
        <f t="shared" si="6"/>
        <v>0</v>
      </c>
      <c r="F33" s="299">
        <v>0.0</v>
      </c>
      <c r="G33" s="299">
        <f>-'Balances Pro Forma'!L24</f>
        <v>6942580.078</v>
      </c>
      <c r="H33" s="299">
        <v>0.0</v>
      </c>
      <c r="I33" s="299">
        <f t="shared" si="7"/>
        <v>6942580.078</v>
      </c>
      <c r="J33" s="299">
        <f>+'Balances Pro Forma'!L15</f>
        <v>21269386.88</v>
      </c>
      <c r="K33" s="299">
        <f>-'Balances Pro Forma'!L17</f>
        <v>30000</v>
      </c>
      <c r="L33" s="299">
        <v>0.0</v>
      </c>
      <c r="M33" s="299">
        <f t="shared" si="10"/>
        <v>21299386.88</v>
      </c>
      <c r="N33" s="299">
        <f>+'Balances Pro Forma'!L22</f>
        <v>0</v>
      </c>
      <c r="O33" s="299">
        <f>-'Balances Pro Forma'!L21</f>
        <v>1403443.8</v>
      </c>
      <c r="P33" s="299">
        <f t="shared" si="8"/>
        <v>-1403443.8</v>
      </c>
      <c r="Q33" s="327">
        <f t="shared" si="9"/>
        <v>12953363</v>
      </c>
      <c r="R33" s="327">
        <f>SUM(Q30:Q33)</f>
        <v>4974350.536</v>
      </c>
      <c r="S33" s="299">
        <f t="shared" si="11"/>
        <v>7.39175993</v>
      </c>
      <c r="T33" s="40"/>
      <c r="U33" s="44"/>
      <c r="V33" s="44"/>
      <c r="W33" s="44"/>
      <c r="X33" s="44"/>
      <c r="Y33" s="44"/>
      <c r="Z33" s="29"/>
    </row>
    <row r="34" ht="13.5" customHeight="1">
      <c r="A34" s="29"/>
      <c r="B34" s="339"/>
      <c r="C34" s="351">
        <v>4.0</v>
      </c>
      <c r="D34" s="299">
        <v>0.0</v>
      </c>
      <c r="E34" s="299">
        <f t="shared" si="6"/>
        <v>0</v>
      </c>
      <c r="F34" s="299">
        <v>0.0</v>
      </c>
      <c r="G34" s="299">
        <f>-'Balances Pro Forma'!O24</f>
        <v>12385015.19</v>
      </c>
      <c r="H34" s="299">
        <v>0.0</v>
      </c>
      <c r="I34" s="299">
        <f t="shared" si="7"/>
        <v>12385015.19</v>
      </c>
      <c r="J34" s="299">
        <f>+'Balances Pro Forma'!O15</f>
        <v>36361386.88</v>
      </c>
      <c r="K34" s="299">
        <f>-'Balances Pro Forma'!O17</f>
        <v>40000</v>
      </c>
      <c r="L34" s="299">
        <v>0.0</v>
      </c>
      <c r="M34" s="299">
        <f t="shared" si="10"/>
        <v>36401386.88</v>
      </c>
      <c r="N34" s="299">
        <f>+'Balances Pro Forma'!O22</f>
        <v>0</v>
      </c>
      <c r="O34" s="299">
        <f>-'Balances Pro Forma'!O21</f>
        <v>935629.2</v>
      </c>
      <c r="P34" s="299">
        <f t="shared" si="8"/>
        <v>-935629.2</v>
      </c>
      <c r="Q34" s="327">
        <f t="shared" si="9"/>
        <v>23080742.49</v>
      </c>
      <c r="R34" s="327">
        <f>SUM(Q30:Q34)</f>
        <v>28055093.03</v>
      </c>
      <c r="S34" s="299" t="str">
        <f t="shared" si="11"/>
        <v/>
      </c>
      <c r="T34" s="40"/>
      <c r="U34" s="44"/>
      <c r="V34" s="44"/>
      <c r="W34" s="44"/>
      <c r="X34" s="44"/>
      <c r="Y34" s="44"/>
      <c r="Z34" s="29"/>
    </row>
    <row r="35" ht="13.5" customHeight="1">
      <c r="A35" s="29"/>
      <c r="B35" s="30"/>
      <c r="C35" s="351">
        <v>5.0</v>
      </c>
      <c r="D35" s="299">
        <f>-'Activo no Corriente'!J13</f>
        <v>-150000</v>
      </c>
      <c r="E35" s="299">
        <f>-E30</f>
        <v>-13614000</v>
      </c>
      <c r="F35" s="299">
        <v>0.0</v>
      </c>
      <c r="G35" s="299">
        <f>-'Balances Pro Forma'!R24</f>
        <v>21007550.3</v>
      </c>
      <c r="H35" s="299">
        <v>0.0</v>
      </c>
      <c r="I35" s="299">
        <f t="shared" si="7"/>
        <v>7243550.298</v>
      </c>
      <c r="J35" s="299">
        <f>+'Balances Pro Forma'!R15</f>
        <v>60539386.88</v>
      </c>
      <c r="K35" s="299">
        <f>-'Balances Pro Forma'!R17</f>
        <v>50000</v>
      </c>
      <c r="L35" s="299">
        <v>0.0</v>
      </c>
      <c r="M35" s="299">
        <f t="shared" si="10"/>
        <v>60589386.88</v>
      </c>
      <c r="N35" s="299">
        <f>+'Balances Pro Forma'!R22</f>
        <v>0</v>
      </c>
      <c r="O35" s="299">
        <f>-'Balances Pro Forma'!R21</f>
        <v>467814.6</v>
      </c>
      <c r="P35" s="299">
        <f t="shared" si="8"/>
        <v>-467814.6</v>
      </c>
      <c r="Q35" s="327">
        <f t="shared" si="9"/>
        <v>52878021.98</v>
      </c>
      <c r="R35" s="267">
        <f>SUM(Q30:Q35)</f>
        <v>80933115.01</v>
      </c>
      <c r="S35" s="352"/>
      <c r="T35" s="40"/>
      <c r="U35" s="44"/>
      <c r="V35" s="44"/>
      <c r="W35" s="44"/>
      <c r="X35" s="44"/>
      <c r="Y35" s="44"/>
      <c r="Z35" s="29"/>
    </row>
    <row r="36" ht="13.5" customHeight="1">
      <c r="A36" s="29"/>
      <c r="B36" s="339"/>
      <c r="C36" s="353" t="s">
        <v>44</v>
      </c>
      <c r="D36" s="354">
        <f t="shared" ref="D36:Q36" si="12">SUM(D30:D35)</f>
        <v>150000</v>
      </c>
      <c r="E36" s="354">
        <f t="shared" si="12"/>
        <v>0</v>
      </c>
      <c r="F36" s="354">
        <f t="shared" si="12"/>
        <v>1283940</v>
      </c>
      <c r="G36" s="355">
        <f t="shared" si="12"/>
        <v>43498600.39</v>
      </c>
      <c r="H36" s="354">
        <f t="shared" si="12"/>
        <v>0</v>
      </c>
      <c r="I36" s="356">
        <f t="shared" si="12"/>
        <v>44932540.39</v>
      </c>
      <c r="J36" s="356">
        <f t="shared" si="12"/>
        <v>131448934.4</v>
      </c>
      <c r="K36" s="354">
        <f t="shared" si="12"/>
        <v>150000</v>
      </c>
      <c r="L36" s="354">
        <f t="shared" si="12"/>
        <v>1283940</v>
      </c>
      <c r="M36" s="354">
        <f t="shared" si="12"/>
        <v>132882874.4</v>
      </c>
      <c r="N36" s="357">
        <f t="shared" si="12"/>
        <v>0</v>
      </c>
      <c r="O36" s="354">
        <f t="shared" si="12"/>
        <v>7017219</v>
      </c>
      <c r="P36" s="354">
        <f t="shared" si="12"/>
        <v>-7017219</v>
      </c>
      <c r="Q36" s="355">
        <f t="shared" si="12"/>
        <v>80933115.01</v>
      </c>
      <c r="R36" s="333"/>
      <c r="S36" s="40"/>
      <c r="T36" s="40"/>
      <c r="U36" s="44"/>
      <c r="V36" s="44"/>
      <c r="W36" s="44"/>
      <c r="X36" s="44"/>
      <c r="Y36" s="44"/>
      <c r="Z36" s="29"/>
    </row>
    <row r="37" ht="13.5" customHeight="1">
      <c r="A37" s="29"/>
      <c r="B37" s="339"/>
      <c r="C37" s="40"/>
      <c r="D37" s="40"/>
      <c r="E37" s="40"/>
      <c r="F37" s="40"/>
      <c r="G37" s="40"/>
      <c r="H37" s="40"/>
      <c r="I37" s="78" t="s">
        <v>293</v>
      </c>
      <c r="J37" s="358">
        <f>-G36</f>
        <v>-43498600.39</v>
      </c>
      <c r="K37" s="40"/>
      <c r="L37" s="40"/>
      <c r="M37" s="40"/>
      <c r="N37" s="336"/>
      <c r="O37" s="40"/>
      <c r="P37" s="40"/>
      <c r="Q37" s="40"/>
      <c r="R37" s="40"/>
      <c r="S37" s="40"/>
      <c r="T37" s="40"/>
      <c r="U37" s="44"/>
      <c r="V37" s="44"/>
      <c r="W37" s="44"/>
      <c r="X37" s="44"/>
      <c r="Y37" s="44"/>
      <c r="Z37" s="29"/>
    </row>
    <row r="38" ht="13.5" customHeight="1">
      <c r="A38" s="29"/>
      <c r="B38" s="339"/>
      <c r="C38" s="40"/>
      <c r="D38" s="40"/>
      <c r="E38" s="40"/>
      <c r="F38" s="40"/>
      <c r="G38" s="40" t="s">
        <v>223</v>
      </c>
      <c r="H38" s="40"/>
      <c r="I38" s="78" t="s">
        <v>313</v>
      </c>
      <c r="J38" s="358">
        <f>+P36</f>
        <v>-7017219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4"/>
      <c r="V38" s="44"/>
      <c r="W38" s="44"/>
      <c r="X38" s="44"/>
      <c r="Y38" s="44"/>
      <c r="Z38" s="29"/>
    </row>
    <row r="39" ht="13.5" customHeight="1">
      <c r="A39" s="29"/>
      <c r="B39" s="30"/>
      <c r="C39" s="40"/>
      <c r="D39" s="40"/>
      <c r="E39" s="40"/>
      <c r="F39" s="40"/>
      <c r="G39" s="40"/>
      <c r="H39" s="40"/>
      <c r="I39" s="78" t="s">
        <v>314</v>
      </c>
      <c r="J39" s="359">
        <f>J38+J37+J36</f>
        <v>80933115.01</v>
      </c>
      <c r="K39" s="40"/>
      <c r="L39" s="40"/>
      <c r="M39" s="340"/>
      <c r="N39" s="341"/>
      <c r="O39" s="340"/>
      <c r="P39" s="40"/>
      <c r="Q39" s="40"/>
      <c r="R39" s="40"/>
      <c r="S39" s="40"/>
      <c r="T39" s="40"/>
      <c r="U39" s="44"/>
      <c r="V39" s="44"/>
      <c r="W39" s="44"/>
      <c r="X39" s="44"/>
      <c r="Y39" s="44"/>
      <c r="Z39" s="29"/>
    </row>
    <row r="40" ht="15.7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29"/>
      <c r="V40" s="29"/>
      <c r="W40" s="29"/>
      <c r="X40" s="29"/>
      <c r="Y40" s="29"/>
      <c r="Z40" s="29"/>
    </row>
    <row r="41" ht="15.75" customHeight="1">
      <c r="A41" s="29"/>
      <c r="B41" s="30"/>
      <c r="C41" s="353" t="s">
        <v>304</v>
      </c>
      <c r="D41" s="360">
        <f>COUNTIF(R30:R35,"&lt;0")</f>
        <v>3</v>
      </c>
      <c r="E41" s="353" t="s">
        <v>305</v>
      </c>
      <c r="F41" s="360">
        <f>ROUNDUP(SUMIFS(S31:S34,S31:S34,"&gt;0"),0)</f>
        <v>8</v>
      </c>
      <c r="G41" s="353" t="s">
        <v>306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29"/>
      <c r="V41" s="29"/>
      <c r="W41" s="29"/>
      <c r="X41" s="29"/>
      <c r="Y41" s="29"/>
      <c r="Z41" s="29"/>
    </row>
    <row r="42" ht="15.75" customHeight="1">
      <c r="A42" s="29"/>
      <c r="B42" s="30"/>
      <c r="C42" s="40"/>
      <c r="D42" s="40"/>
      <c r="E42" s="40"/>
      <c r="F42" s="40"/>
      <c r="G42" s="4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29"/>
      <c r="V42" s="29"/>
      <c r="W42" s="29"/>
      <c r="X42" s="29"/>
      <c r="Y42" s="29"/>
      <c r="Z42" s="29"/>
    </row>
    <row r="43" ht="15.75" customHeight="1">
      <c r="A43" s="29"/>
      <c r="B43" s="30"/>
      <c r="C43" s="353" t="s">
        <v>315</v>
      </c>
      <c r="D43" s="361">
        <f>IRR(Q30:Q35,0.1)</f>
        <v>0.591888946</v>
      </c>
      <c r="E43" s="40"/>
      <c r="F43" s="30"/>
      <c r="G43" s="4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29"/>
      <c r="V43" s="29"/>
      <c r="W43" s="29"/>
      <c r="X43" s="29"/>
      <c r="Y43" s="29"/>
      <c r="Z43" s="29"/>
    </row>
    <row r="44" ht="15.75" customHeight="1">
      <c r="A44" s="29"/>
      <c r="B44" s="30"/>
      <c r="C44" s="40"/>
      <c r="D44" s="40"/>
      <c r="E44" s="40"/>
      <c r="F44" s="30"/>
      <c r="G44" s="4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29"/>
      <c r="V44" s="29"/>
      <c r="W44" s="29"/>
      <c r="X44" s="29"/>
      <c r="Y44" s="29"/>
      <c r="Z44" s="29"/>
    </row>
    <row r="45" ht="15.75" customHeight="1">
      <c r="A45" s="29"/>
      <c r="B45" s="30"/>
      <c r="C45" s="353" t="s">
        <v>308</v>
      </c>
      <c r="D45" s="362">
        <f>+Q36</f>
        <v>80933115.01</v>
      </c>
      <c r="E45" s="40"/>
      <c r="F45" s="40"/>
      <c r="G45" s="4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29"/>
      <c r="V45" s="29"/>
      <c r="W45" s="29"/>
      <c r="X45" s="29"/>
      <c r="Y45" s="29"/>
      <c r="Z45" s="29"/>
    </row>
    <row r="46" ht="15.75" customHeight="1">
      <c r="A46" s="29"/>
      <c r="B46" s="30"/>
      <c r="C46" s="40"/>
      <c r="D46" s="40"/>
      <c r="E46" s="40"/>
      <c r="F46" s="40"/>
      <c r="G46" s="4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29"/>
      <c r="V46" s="29"/>
      <c r="W46" s="29"/>
      <c r="X46" s="29"/>
      <c r="Y46" s="29"/>
      <c r="Z46" s="29"/>
    </row>
    <row r="47" ht="15.75" customHeight="1">
      <c r="A47" s="29"/>
      <c r="B47" s="30"/>
      <c r="C47" s="206" t="s">
        <v>309</v>
      </c>
      <c r="D47" s="363">
        <f>+D23</f>
        <v>0.65</v>
      </c>
      <c r="E47" s="40"/>
      <c r="F47" s="40"/>
      <c r="G47" s="4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29"/>
      <c r="V47" s="29"/>
      <c r="W47" s="29"/>
      <c r="X47" s="29"/>
      <c r="Y47" s="29"/>
      <c r="Z47" s="29"/>
    </row>
    <row r="48" ht="15.75" customHeight="1">
      <c r="A48" s="29"/>
      <c r="B48" s="30"/>
      <c r="C48" s="40"/>
      <c r="D48" s="40"/>
      <c r="E48" s="40"/>
      <c r="F48" s="40"/>
      <c r="G48" s="4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29"/>
      <c r="V48" s="29"/>
      <c r="W48" s="29"/>
      <c r="X48" s="29"/>
      <c r="Y48" s="29"/>
      <c r="Z48" s="29"/>
    </row>
    <row r="49" ht="15.75" customHeight="1">
      <c r="A49" s="29"/>
      <c r="B49" s="30"/>
      <c r="C49" s="347" t="str">
        <f>+"VAN"&amp;"("&amp;D47*100&amp;"%"&amp;")"</f>
        <v>VAN(65%)</v>
      </c>
      <c r="D49" s="348">
        <f t="array" ref="D49">NPV(D47,Q31,Q32,Q33,Q34,Q35)+Q30</f>
        <v>-1845473.342</v>
      </c>
      <c r="E49" s="40"/>
      <c r="F49" s="40"/>
      <c r="G49" s="4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29"/>
      <c r="V49" s="29"/>
      <c r="W49" s="29"/>
      <c r="X49" s="29"/>
      <c r="Y49" s="29"/>
      <c r="Z49" s="29"/>
    </row>
    <row r="50" ht="15.75" customHeight="1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1" width="17.25"/>
    <col customWidth="1" min="2" max="2" width="2.75"/>
    <col customWidth="1" min="3" max="3" width="26.88"/>
    <col customWidth="1" min="4" max="4" width="14.63"/>
    <col customWidth="1" min="5" max="5" width="13.0"/>
    <col customWidth="1" min="6" max="6" width="28.0"/>
    <col customWidth="1" min="7" max="7" width="13.13"/>
    <col customWidth="1" min="8" max="8" width="15.75"/>
    <col customWidth="1" min="9" max="9" width="9.75"/>
    <col customWidth="1" min="10" max="10" width="12.0"/>
    <col customWidth="1" min="11" max="11" width="18.63"/>
    <col customWidth="1" min="12" max="12" width="3.0"/>
    <col customWidth="1" min="13" max="15" width="11.25"/>
    <col customWidth="1" min="16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C2" s="248"/>
      <c r="D2" s="30"/>
      <c r="E2" s="30"/>
      <c r="F2" s="30"/>
      <c r="G2" s="30"/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29"/>
      <c r="C3" s="282" t="s">
        <v>316</v>
      </c>
      <c r="D3" s="30"/>
      <c r="E3" s="30"/>
      <c r="F3" s="30"/>
      <c r="G3" s="30"/>
      <c r="H3" s="30"/>
      <c r="I3" s="30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29"/>
      <c r="C4" s="30"/>
      <c r="D4" s="30"/>
      <c r="E4" s="30"/>
      <c r="F4" s="30"/>
      <c r="G4" s="30"/>
      <c r="H4" s="30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25.5" customHeight="1">
      <c r="A5" s="146"/>
      <c r="B5" s="147"/>
      <c r="C5" s="49" t="s">
        <v>317</v>
      </c>
      <c r="D5" s="49" t="s">
        <v>318</v>
      </c>
      <c r="E5" s="49" t="s">
        <v>319</v>
      </c>
      <c r="F5" s="49" t="s">
        <v>318</v>
      </c>
      <c r="G5" s="49" t="s">
        <v>320</v>
      </c>
      <c r="H5" s="147"/>
      <c r="I5" s="147"/>
      <c r="J5" s="146"/>
      <c r="K5" s="146"/>
      <c r="L5" s="325"/>
      <c r="M5" s="325"/>
      <c r="N5" s="325"/>
      <c r="O5" s="325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ht="12.75" customHeight="1">
      <c r="A6" s="146"/>
      <c r="B6" s="147"/>
      <c r="C6" s="37" t="s">
        <v>277</v>
      </c>
      <c r="D6" s="364">
        <f>+'Capital de trabajo'!D21</f>
        <v>13614000</v>
      </c>
      <c r="E6" s="37" t="s">
        <v>321</v>
      </c>
      <c r="F6" s="364">
        <f>IF(F7&lt;D10,D10-F7,0)</f>
        <v>5197940</v>
      </c>
      <c r="G6" s="365">
        <f>F6/F10</f>
        <v>0.342016089</v>
      </c>
      <c r="H6" s="147"/>
      <c r="I6" s="147"/>
      <c r="J6" s="146"/>
      <c r="K6" s="146"/>
      <c r="L6" s="325"/>
      <c r="M6" s="325"/>
      <c r="N6" s="325"/>
      <c r="O6" s="325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13.5" customHeight="1">
      <c r="A7" s="29"/>
      <c r="B7" s="40"/>
      <c r="C7" s="37" t="s">
        <v>322</v>
      </c>
      <c r="D7" s="364">
        <f>'Activo no Corriente'!E13</f>
        <v>300000</v>
      </c>
      <c r="E7" s="366" t="s">
        <v>323</v>
      </c>
      <c r="F7" s="367">
        <v>1.0E7</v>
      </c>
      <c r="G7" s="368">
        <f>F7/F10</f>
        <v>0.657983911</v>
      </c>
      <c r="H7" s="40"/>
      <c r="I7" s="40"/>
      <c r="J7" s="44"/>
      <c r="K7" s="44"/>
      <c r="L7" s="44"/>
      <c r="M7" s="44"/>
      <c r="N7" s="44"/>
      <c r="O7" s="44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3.5" customHeight="1">
      <c r="A8" s="29"/>
      <c r="B8" s="40"/>
      <c r="C8" s="37" t="s">
        <v>324</v>
      </c>
      <c r="D8" s="364">
        <f>'Activo no Corriente'!E14+'Capital de trabajo'!D7</f>
        <v>1283940</v>
      </c>
      <c r="E8" s="369"/>
      <c r="F8" s="369"/>
      <c r="G8" s="369"/>
      <c r="H8" s="30"/>
      <c r="I8" s="30"/>
      <c r="J8" s="29"/>
      <c r="K8" s="29"/>
      <c r="L8" s="44"/>
      <c r="M8" s="44"/>
      <c r="N8" s="44"/>
      <c r="O8" s="44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146"/>
      <c r="B9" s="147"/>
      <c r="C9" s="370"/>
      <c r="D9" s="371"/>
      <c r="E9" s="371"/>
      <c r="F9" s="371"/>
      <c r="G9" s="371"/>
      <c r="H9" s="147"/>
      <c r="I9" s="147"/>
      <c r="J9" s="146"/>
      <c r="K9" s="146"/>
      <c r="L9" s="325"/>
      <c r="M9" s="325"/>
      <c r="N9" s="325"/>
      <c r="O9" s="325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ht="13.5" customHeight="1">
      <c r="A10" s="29"/>
      <c r="B10" s="30"/>
      <c r="C10" s="372" t="s">
        <v>325</v>
      </c>
      <c r="D10" s="344">
        <f>+SUM(D6:D8)</f>
        <v>15197940</v>
      </c>
      <c r="E10" s="373" t="s">
        <v>326</v>
      </c>
      <c r="F10" s="344">
        <f>SUM(F6:F9)</f>
        <v>15197940</v>
      </c>
      <c r="G10" s="374">
        <f>G7+G6</f>
        <v>1</v>
      </c>
      <c r="H10" s="375"/>
      <c r="I10" s="40"/>
      <c r="J10" s="44"/>
      <c r="K10" s="44"/>
      <c r="L10" s="44"/>
      <c r="M10" s="44"/>
      <c r="N10" s="44"/>
      <c r="O10" s="44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3.5" customHeight="1">
      <c r="A11" s="29"/>
      <c r="B11" s="30"/>
      <c r="C11" s="40"/>
      <c r="D11" s="341" t="s">
        <v>223</v>
      </c>
      <c r="E11" s="40"/>
      <c r="F11" s="376"/>
      <c r="G11" s="40"/>
      <c r="H11" s="40"/>
      <c r="I11" s="40"/>
      <c r="J11" s="44"/>
      <c r="K11" s="44"/>
      <c r="L11" s="44"/>
      <c r="M11" s="44"/>
      <c r="N11" s="44"/>
      <c r="O11" s="44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24.0" customHeight="1">
      <c r="A12" s="29"/>
      <c r="B12" s="30"/>
      <c r="C12" s="377" t="s">
        <v>23</v>
      </c>
      <c r="D12" s="378">
        <f>+Consideraciones!D5</f>
        <v>0.45</v>
      </c>
      <c r="E12" s="49" t="s">
        <v>327</v>
      </c>
      <c r="F12" s="379" t="s">
        <v>328</v>
      </c>
      <c r="G12" s="378">
        <f>+Consideraciones!D16</f>
        <v>0.35</v>
      </c>
      <c r="H12" s="380"/>
      <c r="I12" s="3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24.0" customHeight="1">
      <c r="A13" s="29"/>
      <c r="B13" s="30"/>
      <c r="C13" s="369"/>
      <c r="D13" s="369"/>
      <c r="E13" s="381">
        <f>D12*G6</f>
        <v>0.1539072401</v>
      </c>
      <c r="F13" s="382"/>
      <c r="G13" s="369"/>
      <c r="H13" s="30"/>
      <c r="I13" s="30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29"/>
      <c r="B14" s="30"/>
      <c r="C14" s="40"/>
      <c r="D14" s="40"/>
      <c r="E14" s="40"/>
      <c r="F14" s="40"/>
      <c r="G14" s="40"/>
      <c r="H14" s="40"/>
      <c r="I14" s="30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2.75" customHeight="1">
      <c r="A15" s="29"/>
      <c r="B15" s="30"/>
      <c r="C15" s="81" t="s">
        <v>329</v>
      </c>
      <c r="D15" s="381">
        <f>+Consideraciones!D6</f>
        <v>0.65</v>
      </c>
      <c r="E15" s="383"/>
      <c r="F15" s="40"/>
      <c r="G15" s="40"/>
      <c r="H15" s="40"/>
      <c r="I15" s="30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29"/>
      <c r="B16" s="30"/>
      <c r="C16" s="30"/>
      <c r="D16" s="30"/>
      <c r="E16" s="30"/>
      <c r="F16" s="30"/>
      <c r="G16" s="30"/>
      <c r="H16" s="30"/>
      <c r="I16" s="30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2.75" customHeight="1">
      <c r="A17" s="29"/>
      <c r="B17" s="30"/>
      <c r="C17" s="81" t="s">
        <v>330</v>
      </c>
      <c r="D17" s="381">
        <f>E13*(1-G12)</f>
        <v>0.100039706</v>
      </c>
      <c r="E17" s="40"/>
      <c r="F17" s="40"/>
      <c r="G17" s="30"/>
      <c r="H17" s="30"/>
      <c r="I17" s="30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29"/>
      <c r="B18" s="30"/>
      <c r="C18" s="37" t="s">
        <v>331</v>
      </c>
      <c r="D18" s="384">
        <f>+D12</f>
        <v>0.45</v>
      </c>
      <c r="E18" s="206" t="s">
        <v>332</v>
      </c>
      <c r="F18" s="206">
        <v>12.0</v>
      </c>
      <c r="G18" s="30"/>
      <c r="H18" s="30"/>
      <c r="I18" s="30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29"/>
      <c r="B19" s="30"/>
      <c r="C19" s="37" t="s">
        <v>333</v>
      </c>
      <c r="D19" s="381" t="str">
        <f>INT.EFECTIVO(D18,F18)</f>
        <v>#NAME?</v>
      </c>
      <c r="E19" s="40"/>
      <c r="F19" s="40"/>
      <c r="G19" s="30"/>
      <c r="H19" s="30"/>
      <c r="I19" s="30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29"/>
      <c r="B20" s="30"/>
      <c r="C20" s="40"/>
      <c r="D20" s="383"/>
      <c r="E20" s="40"/>
      <c r="F20" s="40"/>
      <c r="G20" s="30"/>
      <c r="H20" s="30"/>
      <c r="I20" s="30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7">
    <mergeCell ref="E7:E8"/>
    <mergeCell ref="F7:F8"/>
    <mergeCell ref="G7:G8"/>
    <mergeCell ref="C12:C13"/>
    <mergeCell ref="D12:D13"/>
    <mergeCell ref="F12:F13"/>
    <mergeCell ref="G12:G13"/>
  </mergeCell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CFF"/>
    <pageSetUpPr/>
  </sheetPr>
  <sheetViews>
    <sheetView showGridLines="0" workbookViewId="0"/>
  </sheetViews>
  <sheetFormatPr customHeight="1" defaultColWidth="12.63" defaultRowHeight="15.0"/>
  <cols>
    <col customWidth="1" min="1" max="2" width="2.75"/>
    <col customWidth="1" min="3" max="3" width="54.75"/>
    <col customWidth="1" min="4" max="4" width="18.13"/>
    <col customWidth="1" min="5" max="5" width="10.63"/>
    <col customWidth="1" min="6" max="6" width="18.63"/>
    <col customWidth="1" min="7" max="7" width="10.75"/>
    <col customWidth="1" min="8" max="8" width="10.63"/>
    <col customWidth="1" min="9" max="9" width="18.88"/>
    <col customWidth="1" min="10" max="10" width="9.0"/>
    <col customWidth="1" min="11" max="11" width="10.63"/>
    <col customWidth="1" min="12" max="12" width="18.88"/>
    <col customWidth="1" min="13" max="13" width="9.0"/>
    <col customWidth="1" min="14" max="14" width="10.63"/>
    <col customWidth="1" min="15" max="15" width="19.25"/>
    <col customWidth="1" min="16" max="16" width="10.38"/>
    <col customWidth="1" min="17" max="17" width="10.63"/>
    <col customWidth="1" min="18" max="18" width="19.25"/>
    <col customWidth="1" min="19" max="19" width="9.0"/>
    <col customWidth="1" min="20" max="20" width="13.0"/>
    <col customWidth="1" min="21" max="21" width="2.38"/>
    <col customWidth="1" min="22" max="28" width="11.25"/>
    <col customWidth="1" min="29" max="40" width="17.25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</row>
    <row r="2" ht="15.75" customHeight="1">
      <c r="A2" s="29"/>
      <c r="C2" s="248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 ht="15.75" customHeight="1">
      <c r="A3" s="29"/>
      <c r="C3" s="282" t="s">
        <v>334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</row>
    <row r="4" ht="15.75" customHeight="1">
      <c r="A4" s="29"/>
      <c r="C4" s="282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</row>
    <row r="5" ht="15.75" customHeight="1">
      <c r="A5" s="29"/>
      <c r="B5" s="40"/>
      <c r="C5" s="47" t="s">
        <v>335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</row>
    <row r="6" ht="13.5" customHeight="1">
      <c r="A6" s="29"/>
      <c r="B6" s="30"/>
      <c r="C6" s="30"/>
      <c r="D6" s="350" t="s">
        <v>72</v>
      </c>
      <c r="E6" s="350" t="s">
        <v>336</v>
      </c>
      <c r="F6" s="385" t="s">
        <v>337</v>
      </c>
      <c r="G6" s="350" t="s">
        <v>72</v>
      </c>
      <c r="H6" s="350" t="s">
        <v>336</v>
      </c>
      <c r="I6" s="385" t="s">
        <v>338</v>
      </c>
      <c r="J6" s="350" t="s">
        <v>72</v>
      </c>
      <c r="K6" s="350" t="s">
        <v>336</v>
      </c>
      <c r="L6" s="385" t="s">
        <v>339</v>
      </c>
      <c r="M6" s="350" t="s">
        <v>72</v>
      </c>
      <c r="N6" s="350" t="s">
        <v>336</v>
      </c>
      <c r="O6" s="385" t="s">
        <v>340</v>
      </c>
      <c r="P6" s="350" t="s">
        <v>72</v>
      </c>
      <c r="Q6" s="350" t="s">
        <v>336</v>
      </c>
      <c r="R6" s="385" t="s">
        <v>341</v>
      </c>
      <c r="S6" s="40"/>
      <c r="T6" s="40"/>
      <c r="U6" s="40"/>
      <c r="V6" s="44"/>
      <c r="W6" s="44"/>
      <c r="X6" s="44"/>
      <c r="Y6" s="44"/>
      <c r="Z6" s="44"/>
      <c r="AA6" s="44"/>
      <c r="AB6" s="44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</row>
    <row r="7" ht="13.5" customHeight="1">
      <c r="A7" s="29"/>
      <c r="B7" s="30"/>
      <c r="C7" s="75" t="s">
        <v>342</v>
      </c>
      <c r="D7" s="237">
        <f>+Mercado!H18</f>
        <v>900</v>
      </c>
      <c r="E7" s="54">
        <f>+Mercado!F18</f>
        <v>80000</v>
      </c>
      <c r="F7" s="177">
        <f>D7*E7</f>
        <v>72000000</v>
      </c>
      <c r="G7" s="386">
        <f>+Mercado!H19</f>
        <v>1260</v>
      </c>
      <c r="H7" s="54">
        <f>+Mercado!F19</f>
        <v>80000</v>
      </c>
      <c r="I7" s="177">
        <f>G7*H7</f>
        <v>100800000</v>
      </c>
      <c r="J7" s="386">
        <f>+Mercado!H20</f>
        <v>1764</v>
      </c>
      <c r="K7" s="54">
        <f>+Mercado!F20</f>
        <v>80000</v>
      </c>
      <c r="L7" s="177">
        <f>J7*K7</f>
        <v>141120000</v>
      </c>
      <c r="M7" s="386">
        <f>+Mercado!H21</f>
        <v>2469.6</v>
      </c>
      <c r="N7" s="54">
        <f>+Mercado!F21</f>
        <v>80000</v>
      </c>
      <c r="O7" s="177">
        <f>M7*N7</f>
        <v>197568000</v>
      </c>
      <c r="P7" s="386">
        <f>+Mercado!H22</f>
        <v>3600</v>
      </c>
      <c r="Q7" s="54">
        <f>+Mercado!F22</f>
        <v>80000</v>
      </c>
      <c r="R7" s="177">
        <f>P7*Q7</f>
        <v>288000000</v>
      </c>
      <c r="S7" s="40"/>
      <c r="T7" s="40"/>
      <c r="U7" s="40"/>
      <c r="V7" s="44"/>
      <c r="W7" s="44"/>
      <c r="X7" s="44"/>
      <c r="Y7" s="44"/>
      <c r="Z7" s="44"/>
      <c r="AA7" s="44"/>
      <c r="AB7" s="44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</row>
    <row r="8" ht="13.5" customHeight="1">
      <c r="A8" s="29"/>
      <c r="B8" s="30"/>
      <c r="C8" s="75" t="s">
        <v>343</v>
      </c>
      <c r="D8" s="237">
        <f>+D7</f>
        <v>900</v>
      </c>
      <c r="E8" s="54">
        <f>+'Costos Variables de Fabricación'!L27*E7</f>
        <v>55411.11111</v>
      </c>
      <c r="F8" s="177">
        <f t="shared" ref="F8:F9" si="1">-D8*E8</f>
        <v>-49870000</v>
      </c>
      <c r="G8" s="386">
        <f>+G7</f>
        <v>1260</v>
      </c>
      <c r="H8" s="54">
        <f>+'Costos Variables de Fabricación'!L27*H7</f>
        <v>55411.11111</v>
      </c>
      <c r="I8" s="177">
        <f t="shared" ref="I8:I9" si="2">-G8*H8</f>
        <v>-69818000</v>
      </c>
      <c r="J8" s="386">
        <f>+J7</f>
        <v>1764</v>
      </c>
      <c r="K8" s="54">
        <f>+'Costos Variables de Fabricación'!L27*K7</f>
        <v>55411.11111</v>
      </c>
      <c r="L8" s="177">
        <f t="shared" ref="L8:L9" si="3">-J8*K8</f>
        <v>-97745200</v>
      </c>
      <c r="M8" s="386">
        <f>+M7</f>
        <v>2469.6</v>
      </c>
      <c r="N8" s="54">
        <f>+'Costos Variables de Fabricación'!L27*N7</f>
        <v>55411.11111</v>
      </c>
      <c r="O8" s="177">
        <f t="shared" ref="O8:O9" si="4">-M8*N8</f>
        <v>-136843280</v>
      </c>
      <c r="P8" s="386">
        <f>+P7</f>
        <v>3600</v>
      </c>
      <c r="Q8" s="54">
        <f>+'Costos Variables de Fabricación'!L27*Q7</f>
        <v>55411.11111</v>
      </c>
      <c r="R8" s="177">
        <f t="shared" ref="R8:R9" si="5">-P8*Q8</f>
        <v>-199480000</v>
      </c>
      <c r="S8" s="40"/>
      <c r="T8" s="40"/>
      <c r="U8" s="40"/>
      <c r="V8" s="44"/>
      <c r="W8" s="44"/>
      <c r="X8" s="44"/>
      <c r="Y8" s="44"/>
      <c r="Z8" s="44"/>
      <c r="AA8" s="44"/>
      <c r="AB8" s="44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</row>
    <row r="9" ht="13.5" customHeight="1">
      <c r="A9" s="29"/>
      <c r="B9" s="30"/>
      <c r="C9" s="75" t="s">
        <v>344</v>
      </c>
      <c r="D9" s="237">
        <f>+D7</f>
        <v>900</v>
      </c>
      <c r="E9" s="54">
        <f>+'Gastos de Comercialización'!L12*E7</f>
        <v>3200</v>
      </c>
      <c r="F9" s="177">
        <f t="shared" si="1"/>
        <v>-2880000</v>
      </c>
      <c r="G9" s="386">
        <f>+G7</f>
        <v>1260</v>
      </c>
      <c r="H9" s="54">
        <f>+'Gastos de Comercialización'!L17*H7</f>
        <v>3200</v>
      </c>
      <c r="I9" s="177">
        <f t="shared" si="2"/>
        <v>-4032000</v>
      </c>
      <c r="J9" s="386">
        <f>+J7</f>
        <v>1764</v>
      </c>
      <c r="K9" s="54">
        <f>+'Gastos de Comercialización'!L22*K7</f>
        <v>3200</v>
      </c>
      <c r="L9" s="177">
        <f t="shared" si="3"/>
        <v>-5644800</v>
      </c>
      <c r="M9" s="386">
        <f>+M7</f>
        <v>2469.6</v>
      </c>
      <c r="N9" s="54">
        <f>+'Gastos de Comercialización'!L27*N7</f>
        <v>3200</v>
      </c>
      <c r="O9" s="177">
        <f t="shared" si="4"/>
        <v>-7902720</v>
      </c>
      <c r="P9" s="386">
        <f>+P7</f>
        <v>3600</v>
      </c>
      <c r="Q9" s="54">
        <f>+'Gastos de Comercialización'!L32*Q7</f>
        <v>3200</v>
      </c>
      <c r="R9" s="177">
        <f t="shared" si="5"/>
        <v>-11520000</v>
      </c>
      <c r="S9" s="40"/>
      <c r="T9" s="40"/>
      <c r="U9" s="40"/>
      <c r="V9" s="44"/>
      <c r="W9" s="44"/>
      <c r="X9" s="44"/>
      <c r="Y9" s="44"/>
      <c r="Z9" s="44"/>
      <c r="AA9" s="44"/>
      <c r="AB9" s="44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</row>
    <row r="10" ht="13.5" customHeight="1">
      <c r="A10" s="29"/>
      <c r="B10" s="30"/>
      <c r="C10" s="387" t="s">
        <v>345</v>
      </c>
      <c r="D10" s="388"/>
      <c r="E10" s="389"/>
      <c r="F10" s="390">
        <f>SUM(F7:F9)</f>
        <v>19250000</v>
      </c>
      <c r="G10" s="391"/>
      <c r="H10" s="389"/>
      <c r="I10" s="390">
        <f>SUM(I7:I9)</f>
        <v>26950000</v>
      </c>
      <c r="J10" s="391"/>
      <c r="K10" s="389"/>
      <c r="L10" s="390">
        <f>SUM(L7:L9)</f>
        <v>37730000</v>
      </c>
      <c r="M10" s="391"/>
      <c r="N10" s="389"/>
      <c r="O10" s="390">
        <f>SUM(O7:O9)</f>
        <v>52822000</v>
      </c>
      <c r="P10" s="391"/>
      <c r="Q10" s="389"/>
      <c r="R10" s="390">
        <f>SUM(R7:R9)</f>
        <v>77000000</v>
      </c>
      <c r="S10" s="40"/>
      <c r="T10" s="40"/>
      <c r="U10" s="40"/>
      <c r="V10" s="44"/>
      <c r="W10" s="44"/>
      <c r="X10" s="44"/>
      <c r="Y10" s="44"/>
      <c r="Z10" s="44"/>
      <c r="AA10" s="44"/>
      <c r="AB10" s="44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</row>
    <row r="11" ht="13.5" customHeight="1">
      <c r="A11" s="29"/>
      <c r="B11" s="30"/>
      <c r="C11" s="194"/>
      <c r="D11" s="392"/>
      <c r="E11" s="392"/>
      <c r="F11" s="393"/>
      <c r="G11" s="392"/>
      <c r="H11" s="392"/>
      <c r="I11" s="393"/>
      <c r="J11" s="392"/>
      <c r="K11" s="392"/>
      <c r="L11" s="393"/>
      <c r="M11" s="392"/>
      <c r="N11" s="392"/>
      <c r="O11" s="393"/>
      <c r="P11" s="392"/>
      <c r="Q11" s="392"/>
      <c r="R11" s="393"/>
      <c r="S11" s="40"/>
      <c r="T11" s="40"/>
      <c r="U11" s="40"/>
      <c r="V11" s="44"/>
      <c r="W11" s="44"/>
      <c r="X11" s="44"/>
      <c r="Y11" s="44"/>
      <c r="Z11" s="44"/>
      <c r="AA11" s="44"/>
      <c r="AB11" s="44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</row>
    <row r="12" ht="13.5" customHeight="1">
      <c r="A12" s="29"/>
      <c r="B12" s="30"/>
      <c r="C12" s="235" t="s">
        <v>346</v>
      </c>
      <c r="D12" s="394"/>
      <c r="E12" s="395"/>
      <c r="F12" s="396">
        <f>-'Gastos Fijos de Fabricación'!L27</f>
        <v>-6809360</v>
      </c>
      <c r="G12" s="394"/>
      <c r="H12" s="395"/>
      <c r="I12" s="396">
        <f>-'Gastos Fijos de Fabricación'!L27</f>
        <v>-6809360</v>
      </c>
      <c r="J12" s="394"/>
      <c r="K12" s="395"/>
      <c r="L12" s="396">
        <f>-'Gastos Fijos de Fabricación'!L27</f>
        <v>-6809360</v>
      </c>
      <c r="M12" s="394"/>
      <c r="N12" s="395"/>
      <c r="O12" s="396">
        <f>-'Gastos Fijos de Fabricación'!L27</f>
        <v>-6809360</v>
      </c>
      <c r="P12" s="394"/>
      <c r="Q12" s="395"/>
      <c r="R12" s="397">
        <f>-'Gastos Fijos de Fabricación'!L27</f>
        <v>-6809360</v>
      </c>
      <c r="S12" s="40"/>
      <c r="T12" s="40"/>
      <c r="U12" s="40"/>
      <c r="V12" s="44"/>
      <c r="W12" s="44"/>
      <c r="X12" s="44"/>
      <c r="Y12" s="44"/>
      <c r="Z12" s="44"/>
      <c r="AA12" s="44"/>
      <c r="AB12" s="44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</row>
    <row r="13" ht="13.5" customHeight="1">
      <c r="A13" s="29"/>
      <c r="B13" s="30"/>
      <c r="C13" s="235" t="s">
        <v>347</v>
      </c>
      <c r="D13" s="394"/>
      <c r="E13" s="395"/>
      <c r="F13" s="396">
        <f>-'Gastos de Comercialización'!K43</f>
        <v>-51253.12</v>
      </c>
      <c r="G13" s="394"/>
      <c r="H13" s="395"/>
      <c r="I13" s="396">
        <f>-'Gastos de Comercialización'!K43</f>
        <v>-51253.12</v>
      </c>
      <c r="J13" s="394"/>
      <c r="K13" s="395"/>
      <c r="L13" s="396">
        <f>-'Gastos de Comercialización'!K43</f>
        <v>-51253.12</v>
      </c>
      <c r="M13" s="394"/>
      <c r="N13" s="395"/>
      <c r="O13" s="396">
        <f>-'Gastos de Comercialización'!K43</f>
        <v>-51253.12</v>
      </c>
      <c r="P13" s="394"/>
      <c r="Q13" s="395"/>
      <c r="R13" s="397">
        <f>-'Gastos de Comercialización'!K43</f>
        <v>-51253.12</v>
      </c>
      <c r="S13" s="40"/>
      <c r="T13" s="40"/>
      <c r="U13" s="40"/>
      <c r="V13" s="44"/>
      <c r="W13" s="44"/>
      <c r="X13" s="44"/>
      <c r="Y13" s="44"/>
      <c r="Z13" s="44"/>
      <c r="AA13" s="44"/>
      <c r="AB13" s="44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</row>
    <row r="14" ht="13.5" customHeight="1">
      <c r="A14" s="29"/>
      <c r="B14" s="30"/>
      <c r="C14" s="235" t="s">
        <v>348</v>
      </c>
      <c r="D14" s="394"/>
      <c r="E14" s="395"/>
      <c r="F14" s="396">
        <f>-'Gastos Adm y Finanzas'!F29</f>
        <v>-9600000</v>
      </c>
      <c r="G14" s="394"/>
      <c r="H14" s="395"/>
      <c r="I14" s="396">
        <f>-'Gastos Adm y Finanzas'!F29</f>
        <v>-9600000</v>
      </c>
      <c r="J14" s="394"/>
      <c r="K14" s="395"/>
      <c r="L14" s="396">
        <f>-'Gastos Adm y Finanzas'!F29</f>
        <v>-9600000</v>
      </c>
      <c r="M14" s="394"/>
      <c r="N14" s="395"/>
      <c r="O14" s="396">
        <f>-'Gastos Adm y Finanzas'!F29</f>
        <v>-9600000</v>
      </c>
      <c r="P14" s="394"/>
      <c r="Q14" s="395"/>
      <c r="R14" s="397">
        <f>-'Gastos Adm y Finanzas'!F29</f>
        <v>-9600000</v>
      </c>
      <c r="S14" s="40"/>
      <c r="T14" s="40"/>
      <c r="U14" s="40"/>
      <c r="V14" s="44"/>
      <c r="W14" s="44"/>
      <c r="X14" s="44"/>
      <c r="Y14" s="44"/>
      <c r="Z14" s="44"/>
      <c r="AA14" s="44"/>
      <c r="AB14" s="44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</row>
    <row r="15" ht="30.0" customHeight="1">
      <c r="A15" s="398"/>
      <c r="B15" s="339"/>
      <c r="C15" s="399" t="s">
        <v>349</v>
      </c>
      <c r="D15" s="400"/>
      <c r="E15" s="400"/>
      <c r="F15" s="401">
        <f>SUM(F10:F14)</f>
        <v>2789386.88</v>
      </c>
      <c r="G15" s="400"/>
      <c r="H15" s="400"/>
      <c r="I15" s="401">
        <f>SUM(I10:I14)</f>
        <v>10489386.88</v>
      </c>
      <c r="J15" s="400"/>
      <c r="K15" s="400"/>
      <c r="L15" s="401">
        <f>SUM(L10:L14)</f>
        <v>21269386.88</v>
      </c>
      <c r="M15" s="400"/>
      <c r="N15" s="400"/>
      <c r="O15" s="401">
        <f>SUM(O10:O14)</f>
        <v>36361386.88</v>
      </c>
      <c r="P15" s="400"/>
      <c r="Q15" s="400"/>
      <c r="R15" s="402">
        <f>SUM(R10:R14)</f>
        <v>60539386.88</v>
      </c>
      <c r="S15" s="403"/>
      <c r="T15" s="403"/>
      <c r="U15" s="403"/>
      <c r="V15" s="404"/>
      <c r="W15" s="404"/>
      <c r="X15" s="404"/>
      <c r="Y15" s="404"/>
      <c r="Z15" s="404"/>
      <c r="AA15" s="404"/>
      <c r="AB15" s="404"/>
      <c r="AC15" s="398"/>
      <c r="AD15" s="398"/>
      <c r="AE15" s="398"/>
      <c r="AF15" s="398"/>
      <c r="AG15" s="398"/>
      <c r="AH15" s="398"/>
      <c r="AI15" s="398"/>
      <c r="AJ15" s="398"/>
      <c r="AK15" s="398"/>
      <c r="AL15" s="398"/>
      <c r="AM15" s="398"/>
      <c r="AN15" s="398"/>
    </row>
    <row r="16" ht="13.5" customHeight="1">
      <c r="A16" s="29"/>
      <c r="B16" s="30"/>
      <c r="C16" s="405"/>
      <c r="D16" s="88"/>
      <c r="E16" s="88"/>
      <c r="F16" s="406"/>
      <c r="G16" s="88"/>
      <c r="H16" s="88"/>
      <c r="I16" s="406"/>
      <c r="J16" s="88"/>
      <c r="K16" s="88"/>
      <c r="L16" s="406"/>
      <c r="M16" s="88"/>
      <c r="N16" s="88"/>
      <c r="O16" s="406"/>
      <c r="P16" s="88"/>
      <c r="Q16" s="88"/>
      <c r="R16" s="406"/>
      <c r="S16" s="40"/>
      <c r="T16" s="40"/>
      <c r="U16" s="40"/>
      <c r="V16" s="44"/>
      <c r="W16" s="44"/>
      <c r="X16" s="44"/>
      <c r="Y16" s="44"/>
      <c r="Z16" s="44"/>
      <c r="AA16" s="44"/>
      <c r="AB16" s="44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</row>
    <row r="17" ht="13.5" customHeight="1">
      <c r="A17" s="29"/>
      <c r="B17" s="30"/>
      <c r="C17" s="235" t="s">
        <v>350</v>
      </c>
      <c r="D17" s="407"/>
      <c r="E17" s="408"/>
      <c r="F17" s="396">
        <f>-'Activo no Corriente'!F24</f>
        <v>-10000</v>
      </c>
      <c r="G17" s="407"/>
      <c r="H17" s="408"/>
      <c r="I17" s="396">
        <f>-'Activo no Corriente'!G24</f>
        <v>-20000</v>
      </c>
      <c r="J17" s="407"/>
      <c r="K17" s="408"/>
      <c r="L17" s="396">
        <f>-'Activo no Corriente'!H24</f>
        <v>-30000</v>
      </c>
      <c r="M17" s="407"/>
      <c r="N17" s="408"/>
      <c r="O17" s="396">
        <f>-'Activo no Corriente'!I24</f>
        <v>-40000</v>
      </c>
      <c r="P17" s="407"/>
      <c r="Q17" s="408"/>
      <c r="R17" s="397">
        <f>-'Activo no Corriente'!J24</f>
        <v>-50000</v>
      </c>
      <c r="S17" s="40"/>
      <c r="T17" s="40"/>
      <c r="U17" s="40"/>
      <c r="V17" s="44"/>
      <c r="W17" s="44"/>
      <c r="X17" s="44"/>
      <c r="Y17" s="44"/>
      <c r="Z17" s="44"/>
      <c r="AA17" s="44"/>
      <c r="AB17" s="44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</row>
    <row r="18" ht="12.75" customHeight="1">
      <c r="A18" s="398"/>
      <c r="B18" s="339"/>
      <c r="C18" s="399" t="s">
        <v>351</v>
      </c>
      <c r="D18" s="400"/>
      <c r="E18" s="400"/>
      <c r="F18" s="401">
        <f>F15+F17</f>
        <v>2779386.88</v>
      </c>
      <c r="G18" s="400"/>
      <c r="H18" s="400"/>
      <c r="I18" s="401">
        <f>I15+I17</f>
        <v>10469386.88</v>
      </c>
      <c r="J18" s="400"/>
      <c r="K18" s="400"/>
      <c r="L18" s="401">
        <f>L15+L17</f>
        <v>21239386.88</v>
      </c>
      <c r="M18" s="400"/>
      <c r="N18" s="400"/>
      <c r="O18" s="401">
        <f>O15+O17</f>
        <v>36321386.88</v>
      </c>
      <c r="P18" s="400"/>
      <c r="Q18" s="400"/>
      <c r="R18" s="402">
        <f>R15+R17</f>
        <v>60489386.88</v>
      </c>
      <c r="S18" s="403"/>
      <c r="T18" s="403"/>
      <c r="U18" s="403"/>
      <c r="V18" s="404"/>
      <c r="W18" s="404"/>
      <c r="X18" s="404"/>
      <c r="Y18" s="404"/>
      <c r="Z18" s="404"/>
      <c r="AA18" s="404"/>
      <c r="AB18" s="404"/>
      <c r="AC18" s="398"/>
      <c r="AD18" s="398"/>
      <c r="AE18" s="398"/>
      <c r="AF18" s="398"/>
      <c r="AG18" s="398"/>
      <c r="AH18" s="398"/>
      <c r="AI18" s="398"/>
      <c r="AJ18" s="398"/>
      <c r="AK18" s="398"/>
      <c r="AL18" s="398"/>
      <c r="AM18" s="398"/>
      <c r="AN18" s="398"/>
    </row>
    <row r="19" ht="13.5" customHeight="1">
      <c r="A19" s="29"/>
      <c r="B19" s="30"/>
      <c r="C19" s="235" t="s">
        <v>294</v>
      </c>
      <c r="D19" s="407"/>
      <c r="E19" s="408"/>
      <c r="F19" s="396">
        <v>0.0</v>
      </c>
      <c r="G19" s="407"/>
      <c r="H19" s="408"/>
      <c r="I19" s="396">
        <v>0.0</v>
      </c>
      <c r="J19" s="407"/>
      <c r="K19" s="408"/>
      <c r="L19" s="396">
        <v>0.0</v>
      </c>
      <c r="M19" s="407"/>
      <c r="N19" s="408"/>
      <c r="O19" s="396">
        <v>0.0</v>
      </c>
      <c r="P19" s="407"/>
      <c r="Q19" s="408"/>
      <c r="R19" s="397">
        <v>0.0</v>
      </c>
      <c r="S19" s="40"/>
      <c r="T19" s="40"/>
      <c r="U19" s="40"/>
      <c r="V19" s="44"/>
      <c r="W19" s="44"/>
      <c r="X19" s="44"/>
      <c r="Y19" s="44"/>
      <c r="Z19" s="44"/>
      <c r="AA19" s="44"/>
      <c r="AB19" s="44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</row>
    <row r="20" ht="12.75" customHeight="1">
      <c r="A20" s="398"/>
      <c r="B20" s="339"/>
      <c r="C20" s="399" t="s">
        <v>352</v>
      </c>
      <c r="D20" s="400"/>
      <c r="E20" s="400"/>
      <c r="F20" s="401">
        <f>SUM(F18:F19)</f>
        <v>2779386.88</v>
      </c>
      <c r="G20" s="400"/>
      <c r="H20" s="400"/>
      <c r="I20" s="401">
        <f>SUM(I18:I19)</f>
        <v>10469386.88</v>
      </c>
      <c r="J20" s="400"/>
      <c r="K20" s="400"/>
      <c r="L20" s="401">
        <f>SUM(L18:L19)</f>
        <v>21239386.88</v>
      </c>
      <c r="M20" s="400"/>
      <c r="N20" s="400"/>
      <c r="O20" s="401">
        <f>SUM(O18:O19)</f>
        <v>36321386.88</v>
      </c>
      <c r="P20" s="400"/>
      <c r="Q20" s="400"/>
      <c r="R20" s="402">
        <f>SUM(R18:R19)</f>
        <v>60489386.88</v>
      </c>
      <c r="S20" s="403"/>
      <c r="T20" s="403"/>
      <c r="U20" s="403"/>
      <c r="V20" s="404"/>
      <c r="W20" s="404"/>
      <c r="X20" s="404"/>
      <c r="Y20" s="404"/>
      <c r="Z20" s="404"/>
      <c r="AA20" s="404"/>
      <c r="AB20" s="404"/>
      <c r="AC20" s="398"/>
      <c r="AD20" s="398"/>
      <c r="AE20" s="398"/>
      <c r="AF20" s="398"/>
      <c r="AG20" s="398"/>
      <c r="AH20" s="398"/>
      <c r="AI20" s="398"/>
      <c r="AJ20" s="398"/>
      <c r="AK20" s="398"/>
      <c r="AL20" s="398"/>
      <c r="AM20" s="398"/>
      <c r="AN20" s="398"/>
    </row>
    <row r="21" ht="13.5" customHeight="1">
      <c r="A21" s="29"/>
      <c r="B21" s="30"/>
      <c r="C21" s="235" t="s">
        <v>353</v>
      </c>
      <c r="D21" s="407"/>
      <c r="E21" s="408"/>
      <c r="F21" s="396">
        <f>-F75</f>
        <v>-2339073</v>
      </c>
      <c r="G21" s="407"/>
      <c r="H21" s="408"/>
      <c r="I21" s="396">
        <f>-I75</f>
        <v>-1871258.4</v>
      </c>
      <c r="J21" s="407"/>
      <c r="K21" s="408"/>
      <c r="L21" s="396">
        <f>-L75</f>
        <v>-1403443.8</v>
      </c>
      <c r="M21" s="407"/>
      <c r="N21" s="408"/>
      <c r="O21" s="396">
        <f>-O75</f>
        <v>-935629.2</v>
      </c>
      <c r="P21" s="407"/>
      <c r="Q21" s="408"/>
      <c r="R21" s="397">
        <f>-R75</f>
        <v>-467814.6</v>
      </c>
      <c r="S21" s="40"/>
      <c r="T21" s="40"/>
      <c r="U21" s="40"/>
      <c r="V21" s="44"/>
      <c r="W21" s="44"/>
      <c r="X21" s="44"/>
      <c r="Y21" s="44"/>
      <c r="Z21" s="44"/>
      <c r="AA21" s="44"/>
      <c r="AB21" s="44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</row>
    <row r="22" ht="13.5" customHeight="1">
      <c r="A22" s="29"/>
      <c r="B22" s="30"/>
      <c r="C22" s="235" t="s">
        <v>354</v>
      </c>
      <c r="D22" s="407"/>
      <c r="E22" s="408">
        <f>+'Cuadro de Usos y Fuentes'!D18</f>
        <v>0.45</v>
      </c>
      <c r="F22" s="396">
        <f>+E22*F31</f>
        <v>0</v>
      </c>
      <c r="G22" s="407"/>
      <c r="H22" s="408"/>
      <c r="I22" s="396">
        <f>+E22*I31</f>
        <v>0</v>
      </c>
      <c r="J22" s="407"/>
      <c r="K22" s="408"/>
      <c r="L22" s="396">
        <f>+E22*L31</f>
        <v>0</v>
      </c>
      <c r="M22" s="407"/>
      <c r="N22" s="408"/>
      <c r="O22" s="396">
        <f>+E22*O31</f>
        <v>0</v>
      </c>
      <c r="P22" s="407"/>
      <c r="Q22" s="408"/>
      <c r="R22" s="397">
        <f>+E22*R31</f>
        <v>0</v>
      </c>
      <c r="S22" s="40" t="s">
        <v>8</v>
      </c>
      <c r="T22" s="40"/>
      <c r="U22" s="40"/>
      <c r="V22" s="44"/>
      <c r="W22" s="44"/>
      <c r="X22" s="44"/>
      <c r="Y22" s="44"/>
      <c r="Z22" s="44"/>
      <c r="AA22" s="44"/>
      <c r="AB22" s="44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</row>
    <row r="23" ht="12.75" customHeight="1">
      <c r="A23" s="398"/>
      <c r="B23" s="339"/>
      <c r="C23" s="399" t="s">
        <v>355</v>
      </c>
      <c r="D23" s="400"/>
      <c r="E23" s="400"/>
      <c r="F23" s="401">
        <f>SUM(F20:F22)</f>
        <v>440313.88</v>
      </c>
      <c r="G23" s="400"/>
      <c r="H23" s="400"/>
      <c r="I23" s="401">
        <f>SUM(I20:I22)</f>
        <v>8598128.48</v>
      </c>
      <c r="J23" s="400"/>
      <c r="K23" s="400"/>
      <c r="L23" s="401">
        <f>SUM(L20:L22)</f>
        <v>19835943.08</v>
      </c>
      <c r="M23" s="400"/>
      <c r="N23" s="400"/>
      <c r="O23" s="401">
        <f>SUM(O20:O22)</f>
        <v>35385757.68</v>
      </c>
      <c r="P23" s="400"/>
      <c r="Q23" s="400"/>
      <c r="R23" s="402">
        <f>SUM(R20:R22)</f>
        <v>60021572.28</v>
      </c>
      <c r="S23" s="403"/>
      <c r="T23" s="403"/>
      <c r="U23" s="403"/>
      <c r="V23" s="404"/>
      <c r="W23" s="404"/>
      <c r="X23" s="404"/>
      <c r="Y23" s="404"/>
      <c r="Z23" s="404"/>
      <c r="AA23" s="404"/>
      <c r="AB23" s="404"/>
      <c r="AC23" s="398"/>
      <c r="AD23" s="398"/>
      <c r="AE23" s="398"/>
      <c r="AF23" s="398"/>
      <c r="AG23" s="398"/>
      <c r="AH23" s="398"/>
      <c r="AI23" s="398"/>
      <c r="AJ23" s="398"/>
      <c r="AK23" s="398"/>
      <c r="AL23" s="398"/>
      <c r="AM23" s="398"/>
      <c r="AN23" s="398"/>
    </row>
    <row r="24" ht="13.5" customHeight="1">
      <c r="A24" s="29"/>
      <c r="B24" s="30"/>
      <c r="C24" s="235" t="s">
        <v>293</v>
      </c>
      <c r="D24" s="407"/>
      <c r="E24" s="408"/>
      <c r="F24" s="396">
        <f>-Consideraciones!$D$16*F23</f>
        <v>-154109.858</v>
      </c>
      <c r="G24" s="407"/>
      <c r="H24" s="408"/>
      <c r="I24" s="396">
        <f>-Consideraciones!$D$16*I23</f>
        <v>-3009344.968</v>
      </c>
      <c r="J24" s="407"/>
      <c r="K24" s="408"/>
      <c r="L24" s="396">
        <f>-Consideraciones!$D$16*L23</f>
        <v>-6942580.078</v>
      </c>
      <c r="M24" s="407"/>
      <c r="N24" s="408"/>
      <c r="O24" s="396">
        <f>-Consideraciones!$D$16*O23</f>
        <v>-12385015.19</v>
      </c>
      <c r="P24" s="407"/>
      <c r="Q24" s="408"/>
      <c r="R24" s="397">
        <f>-Consideraciones!$D$16*R23</f>
        <v>-21007550.3</v>
      </c>
      <c r="S24" s="40"/>
      <c r="T24" s="40"/>
      <c r="U24" s="40"/>
      <c r="V24" s="44"/>
      <c r="W24" s="44"/>
      <c r="X24" s="44"/>
      <c r="Y24" s="44"/>
      <c r="Z24" s="44"/>
      <c r="AA24" s="44"/>
      <c r="AB24" s="44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</row>
    <row r="25" ht="12.75" customHeight="1">
      <c r="A25" s="398"/>
      <c r="B25" s="339"/>
      <c r="C25" s="409" t="s">
        <v>356</v>
      </c>
      <c r="D25" s="410"/>
      <c r="E25" s="410"/>
      <c r="F25" s="411">
        <f>SUM(F23:F24)</f>
        <v>286204.022</v>
      </c>
      <c r="G25" s="410"/>
      <c r="H25" s="410"/>
      <c r="I25" s="411">
        <f>SUM(I23:I24)</f>
        <v>5588783.512</v>
      </c>
      <c r="J25" s="410"/>
      <c r="K25" s="410"/>
      <c r="L25" s="411">
        <f>SUM(L23:L24)</f>
        <v>12893363</v>
      </c>
      <c r="M25" s="410"/>
      <c r="N25" s="410"/>
      <c r="O25" s="411">
        <f>SUM(O23:O24)</f>
        <v>23000742.49</v>
      </c>
      <c r="P25" s="410"/>
      <c r="Q25" s="410"/>
      <c r="R25" s="412">
        <f>SUM(R23:R24)</f>
        <v>39014021.98</v>
      </c>
      <c r="S25" s="403"/>
      <c r="T25" s="403"/>
      <c r="U25" s="403"/>
      <c r="V25" s="404"/>
      <c r="W25" s="404"/>
      <c r="X25" s="404"/>
      <c r="Y25" s="404"/>
      <c r="Z25" s="404"/>
      <c r="AA25" s="404"/>
      <c r="AB25" s="404"/>
      <c r="AC25" s="398"/>
      <c r="AD25" s="398"/>
      <c r="AE25" s="398"/>
      <c r="AF25" s="398"/>
      <c r="AG25" s="398"/>
      <c r="AH25" s="398"/>
      <c r="AI25" s="398"/>
      <c r="AJ25" s="398"/>
      <c r="AK25" s="398"/>
      <c r="AL25" s="398"/>
      <c r="AM25" s="398"/>
      <c r="AN25" s="398"/>
    </row>
    <row r="26" ht="12.75" customHeight="1">
      <c r="A26" s="398"/>
      <c r="B26" s="339"/>
      <c r="C26" s="413"/>
      <c r="D26" s="414"/>
      <c r="E26" s="414"/>
      <c r="F26" s="415"/>
      <c r="G26" s="414"/>
      <c r="H26" s="414"/>
      <c r="I26" s="415"/>
      <c r="J26" s="414"/>
      <c r="K26" s="414"/>
      <c r="L26" s="415"/>
      <c r="M26" s="414"/>
      <c r="N26" s="414"/>
      <c r="O26" s="415"/>
      <c r="P26" s="414"/>
      <c r="Q26" s="414"/>
      <c r="R26" s="415"/>
      <c r="S26" s="403"/>
      <c r="T26" s="403"/>
      <c r="U26" s="403"/>
      <c r="V26" s="404"/>
      <c r="W26" s="404"/>
      <c r="X26" s="404"/>
      <c r="Y26" s="404"/>
      <c r="Z26" s="404"/>
      <c r="AA26" s="404"/>
      <c r="AB26" s="404"/>
      <c r="AC26" s="398"/>
      <c r="AD26" s="398"/>
      <c r="AE26" s="398"/>
      <c r="AF26" s="398"/>
      <c r="AG26" s="398"/>
      <c r="AH26" s="398"/>
      <c r="AI26" s="398"/>
      <c r="AJ26" s="398"/>
      <c r="AK26" s="398"/>
      <c r="AL26" s="398"/>
      <c r="AM26" s="398"/>
      <c r="AN26" s="398"/>
    </row>
    <row r="27" ht="12.75" customHeight="1">
      <c r="A27" s="398"/>
      <c r="B27" s="339"/>
      <c r="C27" s="413"/>
      <c r="D27" s="416"/>
      <c r="E27" s="414"/>
      <c r="F27" s="415"/>
      <c r="G27" s="414"/>
      <c r="H27" s="414"/>
      <c r="I27" s="415"/>
      <c r="J27" s="414"/>
      <c r="K27" s="414"/>
      <c r="L27" s="415"/>
      <c r="M27" s="414"/>
      <c r="N27" s="414"/>
      <c r="O27" s="415"/>
      <c r="P27" s="414"/>
      <c r="Q27" s="414"/>
      <c r="R27" s="415"/>
      <c r="S27" s="403"/>
      <c r="T27" s="403"/>
      <c r="U27" s="403"/>
      <c r="V27" s="404"/>
      <c r="W27" s="404"/>
      <c r="X27" s="404"/>
      <c r="Y27" s="404"/>
      <c r="Z27" s="404"/>
      <c r="AA27" s="404"/>
      <c r="AB27" s="404"/>
      <c r="AC27" s="398"/>
      <c r="AD27" s="398"/>
      <c r="AE27" s="398"/>
      <c r="AF27" s="398"/>
      <c r="AG27" s="398"/>
      <c r="AH27" s="398"/>
      <c r="AI27" s="398"/>
      <c r="AJ27" s="398"/>
      <c r="AK27" s="398"/>
      <c r="AL27" s="398"/>
      <c r="AM27" s="398"/>
      <c r="AN27" s="398"/>
    </row>
    <row r="28" ht="13.5" customHeight="1">
      <c r="A28" s="29"/>
      <c r="B28" s="30"/>
      <c r="C28" s="47" t="s">
        <v>357</v>
      </c>
      <c r="D28" s="46" t="s">
        <v>223</v>
      </c>
      <c r="E28" s="46"/>
      <c r="F28" s="417" t="str">
        <f>+IF(F34/'Costos Variables de Fabricación'!$L$26&gt;Mercado!$H$18,"La cantidad de dias supera la capacidad máx","")</f>
        <v/>
      </c>
      <c r="G28" s="46"/>
      <c r="H28" s="46"/>
      <c r="I28" s="417" t="str">
        <f>+IF(I34/'Costos Variables de Fabricación'!$L$26&gt;Mercado!$H$19,"La cantidad de dias supera la capacidad máx","")</f>
        <v/>
      </c>
      <c r="J28" s="46"/>
      <c r="K28" s="46"/>
      <c r="L28" s="417" t="str">
        <f>+IF(L34/'Costos Variables de Fabricación'!$L$26&gt;Mercado!$H$20,"La cantidad de dias supera la capacidad máx","")</f>
        <v/>
      </c>
      <c r="M28" s="46"/>
      <c r="N28" s="46"/>
      <c r="O28" s="417" t="str">
        <f>+IF(O34/'Costos Variables de Fabricación'!$L$26&gt;Mercado!$H$21,"La cantidad de dias supera la capacidad máx","")</f>
        <v/>
      </c>
      <c r="P28" s="46"/>
      <c r="Q28" s="46"/>
      <c r="R28" s="417" t="str">
        <f>+IF(R34/'Costos Variables de Fabricación'!$L$26&gt;Mercado!$H$18,"La cantidad de dias supera la capacidad máx","")</f>
        <v/>
      </c>
      <c r="S28" s="40"/>
      <c r="T28" s="40"/>
      <c r="U28" s="40"/>
      <c r="V28" s="44"/>
      <c r="W28" s="44"/>
      <c r="X28" s="44"/>
      <c r="Y28" s="44"/>
      <c r="Z28" s="44"/>
      <c r="AA28" s="44"/>
      <c r="AB28" s="44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</row>
    <row r="29" ht="13.5" customHeight="1">
      <c r="A29" s="29"/>
      <c r="B29" s="30"/>
      <c r="C29" s="46"/>
      <c r="D29" s="418" t="s">
        <v>260</v>
      </c>
      <c r="E29" s="102"/>
      <c r="F29" s="418" t="s">
        <v>189</v>
      </c>
      <c r="G29" s="165"/>
      <c r="H29" s="102"/>
      <c r="I29" s="418" t="s">
        <v>197</v>
      </c>
      <c r="J29" s="165"/>
      <c r="K29" s="102"/>
      <c r="L29" s="418" t="s">
        <v>200</v>
      </c>
      <c r="M29" s="165"/>
      <c r="N29" s="102"/>
      <c r="O29" s="418" t="s">
        <v>204</v>
      </c>
      <c r="P29" s="165"/>
      <c r="Q29" s="102"/>
      <c r="R29" s="323" t="s">
        <v>208</v>
      </c>
      <c r="S29" s="40"/>
      <c r="T29" s="40"/>
      <c r="U29" s="40"/>
      <c r="V29" s="44"/>
      <c r="W29" s="44"/>
      <c r="X29" s="44"/>
      <c r="Y29" s="44"/>
      <c r="Z29" s="44"/>
      <c r="AA29" s="44"/>
      <c r="AB29" s="44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</row>
    <row r="30" ht="13.5" customHeight="1">
      <c r="A30" s="29"/>
      <c r="B30" s="30"/>
      <c r="C30" s="81" t="s">
        <v>358</v>
      </c>
      <c r="D30" s="177">
        <f>+'Capital de trabajo'!D13</f>
        <v>13614000</v>
      </c>
      <c r="E30" s="419">
        <f t="shared" ref="E30:E35" si="6">D30/$D$42</f>
        <v>0.8957792964</v>
      </c>
      <c r="F30" s="177">
        <f>+D30+F89</f>
        <v>13968523.41</v>
      </c>
      <c r="G30" s="181">
        <f>F30*365/F7</f>
        <v>70.81265339</v>
      </c>
      <c r="H30" s="420">
        <f t="shared" ref="H30:H35" si="7">F30/$F$42</f>
        <v>0.9796612881</v>
      </c>
      <c r="I30" s="421">
        <f>F30+I89</f>
        <v>15091042.25</v>
      </c>
      <c r="J30" s="422">
        <f>I30*365/I7</f>
        <v>54.64514307</v>
      </c>
      <c r="K30" s="420">
        <f t="shared" ref="K30:K34" si="8">L30/$L$42</f>
        <v>0.9872571771</v>
      </c>
      <c r="L30" s="421">
        <f>I30+L89</f>
        <v>18594131.3</v>
      </c>
      <c r="M30" s="422">
        <f>L30*365/L7</f>
        <v>48.0928141</v>
      </c>
      <c r="N30" s="420">
        <f t="shared" ref="N30:N34" si="9">O30/$O$42</f>
        <v>-0.2643521131</v>
      </c>
      <c r="O30" s="421">
        <f>L30+O89</f>
        <v>-6832128.333</v>
      </c>
      <c r="P30" s="422">
        <f>O30*365/O7</f>
        <v>-12.62211918</v>
      </c>
      <c r="Q30" s="420">
        <f t="shared" ref="Q30:Q34" si="10">R30/$R$42</f>
        <v>0.9960998565</v>
      </c>
      <c r="R30" s="421">
        <f>O30+R89</f>
        <v>38310122.87</v>
      </c>
      <c r="S30" s="198">
        <f>R30*365/R7</f>
        <v>48.55275988</v>
      </c>
      <c r="T30" s="423" t="s">
        <v>359</v>
      </c>
      <c r="U30" s="40"/>
      <c r="V30" s="44"/>
      <c r="W30" s="44"/>
      <c r="X30" s="44"/>
      <c r="Y30" s="44"/>
      <c r="Z30" s="44"/>
      <c r="AA30" s="44"/>
      <c r="AB30" s="44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</row>
    <row r="31" ht="13.5" customHeight="1">
      <c r="A31" s="29"/>
      <c r="B31" s="30"/>
      <c r="C31" s="81" t="s">
        <v>360</v>
      </c>
      <c r="D31" s="218">
        <v>0.0</v>
      </c>
      <c r="E31" s="424">
        <f t="shared" si="6"/>
        <v>0</v>
      </c>
      <c r="F31" s="218">
        <v>0.0</v>
      </c>
      <c r="G31" s="425"/>
      <c r="H31" s="420">
        <f t="shared" si="7"/>
        <v>0</v>
      </c>
      <c r="I31" s="426">
        <v>0.0</v>
      </c>
      <c r="J31" s="427"/>
      <c r="K31" s="420">
        <f t="shared" si="8"/>
        <v>0</v>
      </c>
      <c r="L31" s="426">
        <v>0.0</v>
      </c>
      <c r="M31" s="427"/>
      <c r="N31" s="420">
        <f t="shared" si="9"/>
        <v>0</v>
      </c>
      <c r="O31" s="426">
        <v>0.0</v>
      </c>
      <c r="P31" s="427"/>
      <c r="Q31" s="420">
        <f t="shared" si="10"/>
        <v>0</v>
      </c>
      <c r="R31" s="426"/>
      <c r="S31" s="428"/>
      <c r="T31" s="429"/>
      <c r="U31" s="40"/>
      <c r="V31" s="44"/>
      <c r="W31" s="44"/>
      <c r="X31" s="44"/>
      <c r="Y31" s="44"/>
      <c r="Z31" s="44"/>
      <c r="AA31" s="44"/>
      <c r="AB31" s="44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</row>
    <row r="32" ht="13.5" customHeight="1">
      <c r="A32" s="29"/>
      <c r="B32" s="30"/>
      <c r="C32" s="81" t="s">
        <v>361</v>
      </c>
      <c r="D32" s="218">
        <v>0.0</v>
      </c>
      <c r="E32" s="424">
        <f t="shared" si="6"/>
        <v>0</v>
      </c>
      <c r="F32" s="177">
        <f>G32*F7/365</f>
        <v>0</v>
      </c>
      <c r="G32" s="42"/>
      <c r="H32" s="420">
        <f t="shared" si="7"/>
        <v>0</v>
      </c>
      <c r="I32" s="421">
        <f>J32*I7/365</f>
        <v>0</v>
      </c>
      <c r="J32" s="370"/>
      <c r="K32" s="420">
        <f t="shared" si="8"/>
        <v>0</v>
      </c>
      <c r="L32" s="421">
        <f>M32*L7/365</f>
        <v>0</v>
      </c>
      <c r="M32" s="370"/>
      <c r="N32" s="420">
        <f t="shared" si="9"/>
        <v>0</v>
      </c>
      <c r="O32" s="421">
        <f>P32*O7/365</f>
        <v>0</v>
      </c>
      <c r="P32" s="370"/>
      <c r="Q32" s="420">
        <f t="shared" si="10"/>
        <v>0</v>
      </c>
      <c r="R32" s="421">
        <f>S32*R7/365</f>
        <v>0</v>
      </c>
      <c r="S32" s="430"/>
      <c r="T32" s="423" t="s">
        <v>359</v>
      </c>
      <c r="U32" s="40"/>
      <c r="V32" s="44"/>
      <c r="W32" s="44"/>
      <c r="X32" s="44"/>
      <c r="Y32" s="44"/>
      <c r="Z32" s="44"/>
      <c r="AA32" s="44"/>
      <c r="AB32" s="44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</row>
    <row r="33" ht="13.5" customHeight="1">
      <c r="A33" s="29"/>
      <c r="B33" s="30"/>
      <c r="C33" s="81" t="s">
        <v>362</v>
      </c>
      <c r="D33" s="177">
        <f>'Activo no Corriente'!E14+'Capital de trabajo'!D7</f>
        <v>1283940</v>
      </c>
      <c r="E33" s="419">
        <f t="shared" si="6"/>
        <v>0.08448118627</v>
      </c>
      <c r="F33" s="218">
        <v>0.0</v>
      </c>
      <c r="G33" s="425"/>
      <c r="H33" s="420">
        <f t="shared" si="7"/>
        <v>0</v>
      </c>
      <c r="I33" s="426">
        <v>0.0</v>
      </c>
      <c r="J33" s="431"/>
      <c r="K33" s="420">
        <f t="shared" si="8"/>
        <v>0</v>
      </c>
      <c r="L33" s="426">
        <v>0.0</v>
      </c>
      <c r="M33" s="431"/>
      <c r="N33" s="420">
        <f t="shared" si="9"/>
        <v>0</v>
      </c>
      <c r="O33" s="426">
        <v>0.0</v>
      </c>
      <c r="P33" s="431"/>
      <c r="Q33" s="420">
        <f t="shared" si="10"/>
        <v>0</v>
      </c>
      <c r="R33" s="218">
        <v>0.0</v>
      </c>
      <c r="S33" s="428"/>
      <c r="T33" s="429"/>
      <c r="U33" s="40"/>
      <c r="V33" s="44"/>
      <c r="W33" s="44"/>
      <c r="X33" s="44"/>
      <c r="Y33" s="44"/>
      <c r="Z33" s="44"/>
      <c r="AA33" s="44"/>
      <c r="AB33" s="44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</row>
    <row r="34" ht="13.5" customHeight="1">
      <c r="A34" s="29"/>
      <c r="B34" s="30"/>
      <c r="C34" s="81" t="s">
        <v>363</v>
      </c>
      <c r="D34" s="432">
        <v>0.0</v>
      </c>
      <c r="E34" s="424">
        <f t="shared" si="6"/>
        <v>0</v>
      </c>
      <c r="F34" s="433">
        <f>G34*F7/365</f>
        <v>0</v>
      </c>
      <c r="G34" s="62"/>
      <c r="H34" s="420">
        <f t="shared" si="7"/>
        <v>0</v>
      </c>
      <c r="I34" s="421">
        <f>J34*I7/365</f>
        <v>0</v>
      </c>
      <c r="J34" s="370"/>
      <c r="K34" s="420">
        <f t="shared" si="8"/>
        <v>0</v>
      </c>
      <c r="L34" s="421">
        <f>M34*L7/365</f>
        <v>0</v>
      </c>
      <c r="M34" s="370"/>
      <c r="N34" s="420">
        <f t="shared" si="9"/>
        <v>1.256613614</v>
      </c>
      <c r="O34" s="421">
        <f>P34*O7/365</f>
        <v>32476931.51</v>
      </c>
      <c r="P34" s="370">
        <v>60.0</v>
      </c>
      <c r="Q34" s="420">
        <f t="shared" si="10"/>
        <v>0</v>
      </c>
      <c r="R34" s="421">
        <f>S34*R7/365</f>
        <v>0</v>
      </c>
      <c r="S34" s="430"/>
      <c r="T34" s="423" t="s">
        <v>359</v>
      </c>
      <c r="U34" s="40"/>
      <c r="V34" s="44"/>
      <c r="W34" s="44"/>
      <c r="X34" s="44"/>
      <c r="Y34" s="44"/>
      <c r="Z34" s="44"/>
      <c r="AA34" s="44"/>
      <c r="AB34" s="44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</row>
    <row r="35" ht="13.5" customHeight="1">
      <c r="A35" s="29"/>
      <c r="B35" s="30"/>
      <c r="C35" s="434" t="s">
        <v>364</v>
      </c>
      <c r="D35" s="435">
        <f>SUM(D30:D34)</f>
        <v>14897940</v>
      </c>
      <c r="E35" s="436">
        <f t="shared" si="6"/>
        <v>0.9802604827</v>
      </c>
      <c r="F35" s="435">
        <f>SUM(F30:F34)</f>
        <v>13968523.41</v>
      </c>
      <c r="G35" s="437"/>
      <c r="H35" s="438">
        <f t="shared" si="7"/>
        <v>0.9796612881</v>
      </c>
      <c r="I35" s="439">
        <f>SUM(I30:I34)</f>
        <v>15091042.25</v>
      </c>
      <c r="J35" s="440"/>
      <c r="K35" s="441" t="s">
        <v>223</v>
      </c>
      <c r="L35" s="439">
        <f>SUM(L30:L34)</f>
        <v>18594131.3</v>
      </c>
      <c r="M35" s="440"/>
      <c r="N35" s="441" t="s">
        <v>223</v>
      </c>
      <c r="O35" s="439">
        <f>SUM(O30:O34)</f>
        <v>25644803.17</v>
      </c>
      <c r="P35" s="440"/>
      <c r="Q35" s="441" t="s">
        <v>223</v>
      </c>
      <c r="R35" s="439">
        <f>SUM(R30:R34)</f>
        <v>38310122.87</v>
      </c>
      <c r="S35" s="428"/>
      <c r="T35" s="429"/>
      <c r="U35" s="40"/>
      <c r="V35" s="44"/>
      <c r="W35" s="44"/>
      <c r="X35" s="44"/>
      <c r="Y35" s="44"/>
      <c r="Z35" s="44"/>
      <c r="AA35" s="44"/>
      <c r="AB35" s="44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</row>
    <row r="36" ht="13.5" customHeight="1">
      <c r="A36" s="29"/>
      <c r="B36" s="30"/>
      <c r="C36" s="442"/>
      <c r="D36" s="443"/>
      <c r="E36" s="424"/>
      <c r="F36" s="443"/>
      <c r="G36" s="444"/>
      <c r="H36" s="424"/>
      <c r="I36" s="443"/>
      <c r="J36" s="444"/>
      <c r="K36" s="444"/>
      <c r="L36" s="443"/>
      <c r="M36" s="444"/>
      <c r="N36" s="444"/>
      <c r="O36" s="443"/>
      <c r="P36" s="444"/>
      <c r="Q36" s="444"/>
      <c r="R36" s="443"/>
      <c r="S36" s="429"/>
      <c r="T36" s="429"/>
      <c r="U36" s="40"/>
      <c r="V36" s="44"/>
      <c r="W36" s="44"/>
      <c r="X36" s="44"/>
      <c r="Y36" s="44"/>
      <c r="Z36" s="44"/>
      <c r="AA36" s="44"/>
      <c r="AB36" s="44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</row>
    <row r="37" ht="13.5" customHeight="1">
      <c r="A37" s="29"/>
      <c r="B37" s="30"/>
      <c r="C37" s="413"/>
      <c r="D37" s="445"/>
      <c r="E37" s="446"/>
      <c r="F37" s="445"/>
      <c r="G37" s="447"/>
      <c r="H37" s="446"/>
      <c r="I37" s="445"/>
      <c r="J37" s="447"/>
      <c r="K37" s="447"/>
      <c r="L37" s="445"/>
      <c r="M37" s="447"/>
      <c r="N37" s="447"/>
      <c r="O37" s="445"/>
      <c r="P37" s="447"/>
      <c r="Q37" s="447"/>
      <c r="R37" s="445"/>
      <c r="S37" s="429"/>
      <c r="T37" s="429"/>
      <c r="U37" s="40"/>
      <c r="V37" s="44"/>
      <c r="W37" s="44"/>
      <c r="X37" s="44"/>
      <c r="Y37" s="44"/>
      <c r="Z37" s="44"/>
      <c r="AA37" s="44"/>
      <c r="AB37" s="44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</row>
    <row r="38" ht="13.5" customHeight="1">
      <c r="A38" s="29"/>
      <c r="B38" s="30"/>
      <c r="C38" s="413"/>
      <c r="D38" s="445"/>
      <c r="E38" s="446"/>
      <c r="F38" s="445"/>
      <c r="G38" s="447"/>
      <c r="H38" s="448"/>
      <c r="I38" s="445"/>
      <c r="J38" s="447"/>
      <c r="K38" s="447"/>
      <c r="L38" s="445"/>
      <c r="M38" s="447"/>
      <c r="N38" s="447"/>
      <c r="O38" s="445"/>
      <c r="P38" s="447"/>
      <c r="Q38" s="447"/>
      <c r="R38" s="445"/>
      <c r="S38" s="429"/>
      <c r="T38" s="429"/>
      <c r="U38" s="40"/>
      <c r="V38" s="44"/>
      <c r="W38" s="44"/>
      <c r="X38" s="44"/>
      <c r="Y38" s="44"/>
      <c r="Z38" s="44"/>
      <c r="AA38" s="44"/>
      <c r="AB38" s="44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</row>
    <row r="39" ht="13.5" customHeight="1">
      <c r="A39" s="29"/>
      <c r="B39" s="30"/>
      <c r="C39" s="413"/>
      <c r="D39" s="445"/>
      <c r="E39" s="446" t="s">
        <v>8</v>
      </c>
      <c r="F39" s="445"/>
      <c r="G39" s="449"/>
      <c r="H39" s="420">
        <f t="shared" ref="H39:H42" si="11">F39/$F$42</f>
        <v>0</v>
      </c>
      <c r="I39" s="445"/>
      <c r="J39" s="447"/>
      <c r="K39" s="450"/>
      <c r="L39" s="451"/>
      <c r="M39" s="450"/>
      <c r="N39" s="450"/>
      <c r="O39" s="452"/>
      <c r="P39" s="450"/>
      <c r="Q39" s="450"/>
      <c r="R39" s="445"/>
      <c r="S39" s="429"/>
      <c r="T39" s="429"/>
      <c r="U39" s="40"/>
      <c r="V39" s="44"/>
      <c r="W39" s="44"/>
      <c r="X39" s="44"/>
      <c r="Y39" s="44"/>
      <c r="Z39" s="44"/>
      <c r="AA39" s="44"/>
      <c r="AB39" s="44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</row>
    <row r="40" ht="13.5" customHeight="1">
      <c r="A40" s="29"/>
      <c r="B40" s="30"/>
      <c r="C40" s="81" t="s">
        <v>365</v>
      </c>
      <c r="D40" s="177">
        <f>'Activo no Corriente'!E13</f>
        <v>300000</v>
      </c>
      <c r="E40" s="453">
        <f t="shared" ref="E40:E42" si="12">D40/$D$42</f>
        <v>0.01973951733</v>
      </c>
      <c r="F40" s="177">
        <f>'Activo no Corriente'!F13</f>
        <v>290000</v>
      </c>
      <c r="G40" s="425"/>
      <c r="H40" s="420">
        <f t="shared" si="11"/>
        <v>0.02033871192</v>
      </c>
      <c r="I40" s="177">
        <f>'Activo no Corriente'!G13</f>
        <v>270000</v>
      </c>
      <c r="J40" s="454"/>
      <c r="K40" s="420">
        <f>L40/$L$42</f>
        <v>0.01274282292</v>
      </c>
      <c r="L40" s="177">
        <f>'Activo no Corriente'!H13</f>
        <v>240000</v>
      </c>
      <c r="M40" s="454"/>
      <c r="N40" s="420">
        <f>O40/$O$42</f>
        <v>0.007738499638</v>
      </c>
      <c r="O40" s="177">
        <f>'Activo no Corriente'!I13</f>
        <v>200000</v>
      </c>
      <c r="P40" s="454"/>
      <c r="Q40" s="420">
        <f>R40/$R$42</f>
        <v>0.003900143546</v>
      </c>
      <c r="R40" s="177">
        <f>'Activo no Corriente'!J13</f>
        <v>150000</v>
      </c>
      <c r="S40" s="428"/>
      <c r="T40" s="429"/>
      <c r="U40" s="40"/>
      <c r="V40" s="44"/>
      <c r="W40" s="44"/>
      <c r="X40" s="44"/>
      <c r="Y40" s="44"/>
      <c r="Z40" s="44"/>
      <c r="AA40" s="44"/>
      <c r="AB40" s="44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</row>
    <row r="41" ht="13.5" customHeight="1">
      <c r="A41" s="29"/>
      <c r="B41" s="30"/>
      <c r="C41" s="399" t="s">
        <v>366</v>
      </c>
      <c r="D41" s="455">
        <f>D40</f>
        <v>300000</v>
      </c>
      <c r="E41" s="456">
        <f t="shared" si="12"/>
        <v>0.01973951733</v>
      </c>
      <c r="F41" s="455">
        <f>F40</f>
        <v>290000</v>
      </c>
      <c r="G41" s="457" t="s">
        <v>223</v>
      </c>
      <c r="H41" s="420">
        <f t="shared" si="11"/>
        <v>0.02033871192</v>
      </c>
      <c r="I41" s="458">
        <f>I40</f>
        <v>270000</v>
      </c>
      <c r="J41" s="459"/>
      <c r="K41" s="460" t="s">
        <v>223</v>
      </c>
      <c r="L41" s="458">
        <f>L40</f>
        <v>240000</v>
      </c>
      <c r="M41" s="459"/>
      <c r="N41" s="460" t="s">
        <v>223</v>
      </c>
      <c r="O41" s="458">
        <f>O40</f>
        <v>200000</v>
      </c>
      <c r="P41" s="459"/>
      <c r="Q41" s="460" t="s">
        <v>223</v>
      </c>
      <c r="R41" s="458">
        <f>R40</f>
        <v>150000</v>
      </c>
      <c r="S41" s="428"/>
      <c r="T41" s="429"/>
      <c r="U41" s="40"/>
      <c r="V41" s="44"/>
      <c r="W41" s="44"/>
      <c r="X41" s="44"/>
      <c r="Y41" s="44"/>
      <c r="Z41" s="44"/>
      <c r="AA41" s="44"/>
      <c r="AB41" s="44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</row>
    <row r="42" ht="13.5" customHeight="1">
      <c r="A42" s="29"/>
      <c r="B42" s="30"/>
      <c r="C42" s="461" t="s">
        <v>367</v>
      </c>
      <c r="D42" s="462">
        <f>D41+D35</f>
        <v>15197940</v>
      </c>
      <c r="E42" s="463">
        <f t="shared" si="12"/>
        <v>1</v>
      </c>
      <c r="F42" s="462">
        <f>F41+F35</f>
        <v>14258523.41</v>
      </c>
      <c r="G42" s="464"/>
      <c r="H42" s="438">
        <f t="shared" si="11"/>
        <v>1</v>
      </c>
      <c r="I42" s="465">
        <f>I41+I35</f>
        <v>15361042.25</v>
      </c>
      <c r="J42" s="466"/>
      <c r="K42" s="467">
        <f>SUM(K30:K41)</f>
        <v>1</v>
      </c>
      <c r="L42" s="465">
        <f>L41+L35</f>
        <v>18834131.3</v>
      </c>
      <c r="M42" s="466"/>
      <c r="N42" s="467">
        <f>SUM(N30:N41)</f>
        <v>1</v>
      </c>
      <c r="O42" s="465">
        <f>O41+O35</f>
        <v>25844803.17</v>
      </c>
      <c r="P42" s="466"/>
      <c r="Q42" s="467">
        <f>SUM(Q30:Q41)</f>
        <v>1</v>
      </c>
      <c r="R42" s="465">
        <f>R41+R35</f>
        <v>38460122.87</v>
      </c>
      <c r="S42" s="428"/>
      <c r="T42" s="429"/>
      <c r="U42" s="40"/>
      <c r="V42" s="44"/>
      <c r="W42" s="44"/>
      <c r="X42" s="44"/>
      <c r="Y42" s="44"/>
      <c r="Z42" s="44"/>
      <c r="AA42" s="44"/>
      <c r="AB42" s="44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</row>
    <row r="43" ht="13.5" customHeight="1">
      <c r="A43" s="29"/>
      <c r="B43" s="30"/>
      <c r="C43" s="442"/>
      <c r="D43" s="443"/>
      <c r="E43" s="424"/>
      <c r="F43" s="443"/>
      <c r="G43" s="444"/>
      <c r="H43" s="424"/>
      <c r="I43" s="443"/>
      <c r="J43" s="444"/>
      <c r="K43" s="444"/>
      <c r="L43" s="443"/>
      <c r="M43" s="444"/>
      <c r="N43" s="444"/>
      <c r="O43" s="443"/>
      <c r="P43" s="444"/>
      <c r="Q43" s="444"/>
      <c r="R43" s="443"/>
      <c r="S43" s="429"/>
      <c r="T43" s="429"/>
      <c r="U43" s="40"/>
      <c r="V43" s="44"/>
      <c r="W43" s="44"/>
      <c r="X43" s="44"/>
      <c r="Y43" s="44"/>
      <c r="Z43" s="44"/>
      <c r="AA43" s="44"/>
      <c r="AB43" s="44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</row>
    <row r="44" ht="13.5" customHeight="1">
      <c r="A44" s="29"/>
      <c r="B44" s="30"/>
      <c r="C44" s="413"/>
      <c r="D44" s="445"/>
      <c r="E44" s="446"/>
      <c r="F44" s="445"/>
      <c r="G44" s="446"/>
      <c r="H44" s="446"/>
      <c r="I44" s="445"/>
      <c r="J44" s="446"/>
      <c r="K44" s="446"/>
      <c r="L44" s="445"/>
      <c r="M44" s="446"/>
      <c r="N44" s="446"/>
      <c r="O44" s="445"/>
      <c r="P44" s="446"/>
      <c r="Q44" s="446"/>
      <c r="R44" s="445"/>
      <c r="S44" s="429"/>
      <c r="T44" s="429"/>
      <c r="U44" s="40"/>
      <c r="V44" s="44"/>
      <c r="W44" s="44"/>
      <c r="X44" s="44"/>
      <c r="Y44" s="44"/>
      <c r="Z44" s="44"/>
      <c r="AA44" s="44"/>
      <c r="AB44" s="44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</row>
    <row r="45" ht="14.25" customHeight="1">
      <c r="A45" s="29"/>
      <c r="B45" s="30"/>
      <c r="C45" s="200"/>
      <c r="D45" s="468"/>
      <c r="E45" s="200"/>
      <c r="F45" s="468"/>
      <c r="G45" s="200"/>
      <c r="H45" s="200"/>
      <c r="I45" s="469"/>
      <c r="J45" s="200"/>
      <c r="K45" s="200"/>
      <c r="L45" s="468"/>
      <c r="M45" s="200"/>
      <c r="N45" s="200"/>
      <c r="O45" s="468"/>
      <c r="P45" s="200"/>
      <c r="Q45" s="470"/>
      <c r="R45" s="469"/>
      <c r="S45" s="200"/>
      <c r="T45" s="200"/>
      <c r="U45" s="40"/>
      <c r="V45" s="44"/>
      <c r="W45" s="44"/>
      <c r="X45" s="44"/>
      <c r="Y45" s="44"/>
      <c r="Z45" s="44"/>
      <c r="AA45" s="44"/>
      <c r="AB45" s="44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</row>
    <row r="46" ht="13.5" customHeight="1">
      <c r="A46" s="29"/>
      <c r="B46" s="30"/>
      <c r="C46" s="471" t="s">
        <v>368</v>
      </c>
      <c r="D46" s="472">
        <v>0.0</v>
      </c>
      <c r="E46" s="473">
        <f t="shared" ref="E46:E48" si="13">D46/$D$62</f>
        <v>0</v>
      </c>
      <c r="F46" s="474">
        <f>G46*F7/365</f>
        <v>0</v>
      </c>
      <c r="G46" s="475">
        <v>0.0</v>
      </c>
      <c r="H46" s="476">
        <f t="shared" ref="H46:H47" si="14">I46/$I$62</f>
        <v>0</v>
      </c>
      <c r="I46" s="477">
        <f>J46*I7/365</f>
        <v>0</v>
      </c>
      <c r="J46" s="475">
        <v>0.0</v>
      </c>
      <c r="K46" s="476">
        <f t="shared" ref="K46:K47" si="15">L46/$L$62</f>
        <v>0</v>
      </c>
      <c r="L46" s="478">
        <f>M46*L7/365</f>
        <v>0</v>
      </c>
      <c r="M46" s="475">
        <v>0.0</v>
      </c>
      <c r="N46" s="476">
        <f t="shared" ref="N46:N47" si="16">O46/$O$62</f>
        <v>0</v>
      </c>
      <c r="O46" s="478">
        <f>P46*O7/365</f>
        <v>0</v>
      </c>
      <c r="P46" s="475">
        <v>0.0</v>
      </c>
      <c r="Q46" s="476">
        <f t="shared" ref="Q46:Q47" si="17">R46/$R$62</f>
        <v>0</v>
      </c>
      <c r="R46" s="477">
        <f>S46*R7/365</f>
        <v>0</v>
      </c>
      <c r="S46" s="475">
        <v>0.0</v>
      </c>
      <c r="T46" s="78" t="s">
        <v>359</v>
      </c>
      <c r="U46" s="40"/>
      <c r="V46" s="44"/>
      <c r="W46" s="44"/>
      <c r="X46" s="44"/>
      <c r="Y46" s="44"/>
      <c r="Z46" s="44"/>
      <c r="AA46" s="44"/>
      <c r="AB46" s="44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</row>
    <row r="47" ht="13.5" customHeight="1">
      <c r="A47" s="29"/>
      <c r="B47" s="30"/>
      <c r="C47" s="37" t="s">
        <v>369</v>
      </c>
      <c r="D47" s="479">
        <v>0.0</v>
      </c>
      <c r="E47" s="473">
        <f t="shared" si="13"/>
        <v>0</v>
      </c>
      <c r="F47" s="480">
        <v>0.0</v>
      </c>
      <c r="G47" s="431"/>
      <c r="H47" s="481">
        <f t="shared" si="14"/>
        <v>0</v>
      </c>
      <c r="I47" s="482">
        <v>0.0</v>
      </c>
      <c r="J47" s="431"/>
      <c r="K47" s="483">
        <f t="shared" si="15"/>
        <v>0</v>
      </c>
      <c r="L47" s="484">
        <v>0.0</v>
      </c>
      <c r="M47" s="431"/>
      <c r="N47" s="483">
        <f t="shared" si="16"/>
        <v>0</v>
      </c>
      <c r="O47" s="484">
        <v>0.0</v>
      </c>
      <c r="P47" s="431"/>
      <c r="Q47" s="483">
        <f t="shared" si="17"/>
        <v>0</v>
      </c>
      <c r="R47" s="482">
        <v>0.0</v>
      </c>
      <c r="S47" s="428"/>
      <c r="T47" s="429"/>
      <c r="U47" s="40"/>
      <c r="V47" s="44"/>
      <c r="W47" s="44"/>
      <c r="X47" s="44"/>
      <c r="Y47" s="44"/>
      <c r="Z47" s="44"/>
      <c r="AA47" s="44"/>
      <c r="AB47" s="44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</row>
    <row r="48" ht="13.5" customHeight="1">
      <c r="A48" s="29"/>
      <c r="B48" s="30"/>
      <c r="C48" s="440" t="s">
        <v>285</v>
      </c>
      <c r="D48" s="485">
        <f>SUM(D46:D47)</f>
        <v>0</v>
      </c>
      <c r="E48" s="486">
        <f t="shared" si="13"/>
        <v>0</v>
      </c>
      <c r="F48" s="487">
        <f>SUM(F46:F47)</f>
        <v>0</v>
      </c>
      <c r="G48" s="437"/>
      <c r="H48" s="437" t="s">
        <v>223</v>
      </c>
      <c r="I48" s="488">
        <f>SUM(I46:I47)</f>
        <v>0</v>
      </c>
      <c r="J48" s="440"/>
      <c r="K48" s="441" t="s">
        <v>223</v>
      </c>
      <c r="L48" s="485">
        <f>SUM(L46:L47)</f>
        <v>0</v>
      </c>
      <c r="M48" s="440"/>
      <c r="N48" s="441" t="s">
        <v>223</v>
      </c>
      <c r="O48" s="485">
        <f>SUM(O46:O47)</f>
        <v>0</v>
      </c>
      <c r="P48" s="440"/>
      <c r="Q48" s="441" t="s">
        <v>223</v>
      </c>
      <c r="R48" s="488">
        <f>SUM(R46:R47)</f>
        <v>0</v>
      </c>
      <c r="S48" s="428"/>
      <c r="T48" s="429"/>
      <c r="U48" s="40"/>
      <c r="V48" s="44"/>
      <c r="W48" s="44"/>
      <c r="X48" s="44"/>
      <c r="Y48" s="44"/>
      <c r="Z48" s="44"/>
      <c r="AA48" s="44"/>
      <c r="AB48" s="44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</row>
    <row r="49" ht="13.5" customHeight="1">
      <c r="A49" s="29"/>
      <c r="B49" s="30"/>
      <c r="C49" s="444"/>
      <c r="D49" s="489"/>
      <c r="E49" s="490"/>
      <c r="F49" s="489"/>
      <c r="G49" s="444"/>
      <c r="H49" s="444"/>
      <c r="I49" s="491"/>
      <c r="J49" s="444"/>
      <c r="K49" s="444"/>
      <c r="L49" s="489"/>
      <c r="M49" s="444"/>
      <c r="N49" s="444"/>
      <c r="O49" s="489"/>
      <c r="P49" s="444"/>
      <c r="Q49" s="444"/>
      <c r="R49" s="491"/>
      <c r="S49" s="429"/>
      <c r="T49" s="429"/>
      <c r="U49" s="40"/>
      <c r="V49" s="44"/>
      <c r="W49" s="44"/>
      <c r="X49" s="44"/>
      <c r="Y49" s="44"/>
      <c r="Z49" s="44"/>
      <c r="AA49" s="44"/>
      <c r="AB49" s="44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</row>
    <row r="50" ht="13.5" customHeight="1">
      <c r="A50" s="29"/>
      <c r="B50" s="30"/>
      <c r="C50" s="447"/>
      <c r="D50" s="492"/>
      <c r="E50" s="493"/>
      <c r="F50" s="492"/>
      <c r="G50" s="447"/>
      <c r="H50" s="447"/>
      <c r="I50" s="494"/>
      <c r="J50" s="447"/>
      <c r="K50" s="447"/>
      <c r="L50" s="492"/>
      <c r="M50" s="447"/>
      <c r="N50" s="447"/>
      <c r="O50" s="492"/>
      <c r="P50" s="447"/>
      <c r="Q50" s="447"/>
      <c r="R50" s="494"/>
      <c r="S50" s="429"/>
      <c r="T50" s="429"/>
      <c r="U50" s="40"/>
      <c r="V50" s="44"/>
      <c r="W50" s="44"/>
      <c r="X50" s="44"/>
      <c r="Y50" s="44"/>
      <c r="Z50" s="44"/>
      <c r="AA50" s="44"/>
      <c r="AB50" s="44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</row>
    <row r="51" ht="13.5" customHeight="1">
      <c r="A51" s="29"/>
      <c r="B51" s="30"/>
      <c r="C51" s="200"/>
      <c r="D51" s="468"/>
      <c r="E51" s="493" t="s">
        <v>8</v>
      </c>
      <c r="F51" s="468"/>
      <c r="G51" s="200"/>
      <c r="H51" s="200"/>
      <c r="I51" s="469"/>
      <c r="J51" s="200"/>
      <c r="K51" s="200"/>
      <c r="L51" s="468"/>
      <c r="M51" s="200"/>
      <c r="N51" s="200"/>
      <c r="O51" s="468"/>
      <c r="P51" s="200"/>
      <c r="Q51" s="200"/>
      <c r="R51" s="469"/>
      <c r="S51" s="40"/>
      <c r="T51" s="429"/>
      <c r="U51" s="40"/>
      <c r="V51" s="44"/>
      <c r="W51" s="44"/>
      <c r="X51" s="44"/>
      <c r="Y51" s="44"/>
      <c r="Z51" s="44"/>
      <c r="AA51" s="44"/>
      <c r="AB51" s="44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</row>
    <row r="52" ht="13.5" customHeight="1">
      <c r="A52" s="29"/>
      <c r="B52" s="30"/>
      <c r="C52" s="495" t="s">
        <v>370</v>
      </c>
      <c r="D52" s="496">
        <f>'Cuadro de Usos y Fuentes'!F6</f>
        <v>5197940</v>
      </c>
      <c r="E52" s="483">
        <f t="shared" ref="E52:E54" si="18">D52/$D$62</f>
        <v>0.342016089</v>
      </c>
      <c r="F52" s="497">
        <f>+F74</f>
        <v>4158352</v>
      </c>
      <c r="G52" s="425"/>
      <c r="H52" s="420">
        <f>I52/$I$62</f>
        <v>0.2030307546</v>
      </c>
      <c r="I52" s="498">
        <f>+I74</f>
        <v>3118764</v>
      </c>
      <c r="J52" s="454"/>
      <c r="K52" s="420">
        <f>L52/$L$62</f>
        <v>0.1103940483</v>
      </c>
      <c r="L52" s="335">
        <f>+L74</f>
        <v>2079176</v>
      </c>
      <c r="M52" s="454"/>
      <c r="N52" s="420">
        <f>O52/$O$62</f>
        <v>0.04022425681</v>
      </c>
      <c r="O52" s="335">
        <f>+O74</f>
        <v>1039588</v>
      </c>
      <c r="P52" s="454"/>
      <c r="Q52" s="420">
        <f>R52/$R$62</f>
        <v>0</v>
      </c>
      <c r="R52" s="498">
        <f>+R74</f>
        <v>0</v>
      </c>
      <c r="S52" s="428"/>
      <c r="T52" s="429"/>
      <c r="U52" s="40"/>
      <c r="V52" s="44"/>
      <c r="W52" s="44"/>
      <c r="X52" s="44"/>
      <c r="Y52" s="44"/>
      <c r="Z52" s="44"/>
      <c r="AA52" s="44"/>
      <c r="AB52" s="44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</row>
    <row r="53" ht="13.5" customHeight="1">
      <c r="A53" s="29"/>
      <c r="B53" s="30"/>
      <c r="C53" s="499" t="s">
        <v>371</v>
      </c>
      <c r="D53" s="500">
        <f>SUM(D52)</f>
        <v>5197940</v>
      </c>
      <c r="E53" s="501">
        <f t="shared" si="18"/>
        <v>0.342016089</v>
      </c>
      <c r="F53" s="502">
        <f>SUM(F52)</f>
        <v>4158352</v>
      </c>
      <c r="G53" s="499"/>
      <c r="H53" s="503" t="s">
        <v>223</v>
      </c>
      <c r="I53" s="504">
        <f>SUM(I52)</f>
        <v>3118764</v>
      </c>
      <c r="J53" s="505"/>
      <c r="K53" s="503" t="s">
        <v>223</v>
      </c>
      <c r="L53" s="500">
        <f>SUM(L52)</f>
        <v>2079176</v>
      </c>
      <c r="M53" s="505"/>
      <c r="N53" s="503" t="s">
        <v>223</v>
      </c>
      <c r="O53" s="500">
        <f>SUM(O52)</f>
        <v>1039588</v>
      </c>
      <c r="P53" s="505"/>
      <c r="Q53" s="503" t="s">
        <v>223</v>
      </c>
      <c r="R53" s="504">
        <f>SUM(R52)</f>
        <v>0</v>
      </c>
      <c r="S53" s="428"/>
      <c r="T53" s="429"/>
      <c r="U53" s="40"/>
      <c r="V53" s="44"/>
      <c r="W53" s="44"/>
      <c r="X53" s="44"/>
      <c r="Y53" s="44"/>
      <c r="Z53" s="44"/>
      <c r="AA53" s="44"/>
      <c r="AB53" s="44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</row>
    <row r="54" ht="13.5" customHeight="1">
      <c r="A54" s="29"/>
      <c r="B54" s="30"/>
      <c r="C54" s="461" t="s">
        <v>372</v>
      </c>
      <c r="D54" s="506">
        <f>D53+D48</f>
        <v>5197940</v>
      </c>
      <c r="E54" s="507">
        <f t="shared" si="18"/>
        <v>0.342016089</v>
      </c>
      <c r="F54" s="508">
        <f>F53+F48</f>
        <v>4158352</v>
      </c>
      <c r="G54" s="464"/>
      <c r="H54" s="467" t="s">
        <v>223</v>
      </c>
      <c r="I54" s="509">
        <f>I53+I48</f>
        <v>3118764</v>
      </c>
      <c r="J54" s="466"/>
      <c r="K54" s="467" t="s">
        <v>223</v>
      </c>
      <c r="L54" s="506">
        <f>L53+L48</f>
        <v>2079176</v>
      </c>
      <c r="M54" s="466"/>
      <c r="N54" s="467" t="s">
        <v>223</v>
      </c>
      <c r="O54" s="506">
        <f>O53+O48</f>
        <v>1039588</v>
      </c>
      <c r="P54" s="466"/>
      <c r="Q54" s="467" t="s">
        <v>223</v>
      </c>
      <c r="R54" s="509">
        <f>R53+R48</f>
        <v>0</v>
      </c>
      <c r="S54" s="428"/>
      <c r="T54" s="429"/>
      <c r="U54" s="40"/>
      <c r="V54" s="44"/>
      <c r="W54" s="44"/>
      <c r="X54" s="44"/>
      <c r="Y54" s="44"/>
      <c r="Z54" s="44"/>
      <c r="AA54" s="44"/>
      <c r="AB54" s="44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</row>
    <row r="55" ht="13.5" customHeight="1">
      <c r="A55" s="29"/>
      <c r="B55" s="30"/>
      <c r="C55" s="442"/>
      <c r="D55" s="489"/>
      <c r="E55" s="490"/>
      <c r="F55" s="489"/>
      <c r="G55" s="424"/>
      <c r="H55" s="424"/>
      <c r="I55" s="491"/>
      <c r="J55" s="424"/>
      <c r="K55" s="424"/>
      <c r="L55" s="489"/>
      <c r="M55" s="424"/>
      <c r="N55" s="424"/>
      <c r="O55" s="489"/>
      <c r="P55" s="424"/>
      <c r="Q55" s="424"/>
      <c r="R55" s="491"/>
      <c r="S55" s="429"/>
      <c r="T55" s="429"/>
      <c r="U55" s="40"/>
      <c r="V55" s="44"/>
      <c r="W55" s="44"/>
      <c r="X55" s="44"/>
      <c r="Y55" s="44"/>
      <c r="Z55" s="44"/>
      <c r="AA55" s="44"/>
      <c r="AB55" s="44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</row>
    <row r="56" ht="13.5" customHeight="1">
      <c r="A56" s="29"/>
      <c r="B56" s="30"/>
      <c r="C56" s="413"/>
      <c r="D56" s="492"/>
      <c r="E56" s="493"/>
      <c r="F56" s="492"/>
      <c r="G56" s="446"/>
      <c r="H56" s="446"/>
      <c r="I56" s="494"/>
      <c r="J56" s="446"/>
      <c r="K56" s="446"/>
      <c r="L56" s="492"/>
      <c r="M56" s="446"/>
      <c r="N56" s="446"/>
      <c r="O56" s="492"/>
      <c r="P56" s="446"/>
      <c r="Q56" s="446"/>
      <c r="R56" s="494"/>
      <c r="S56" s="429"/>
      <c r="T56" s="429"/>
      <c r="U56" s="40"/>
      <c r="V56" s="44"/>
      <c r="W56" s="44"/>
      <c r="X56" s="44"/>
      <c r="Y56" s="44"/>
      <c r="Z56" s="44"/>
      <c r="AA56" s="44"/>
      <c r="AB56" s="44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</row>
    <row r="57" ht="14.25" customHeight="1">
      <c r="A57" s="29"/>
      <c r="B57" s="30"/>
      <c r="C57" s="200"/>
      <c r="D57" s="468"/>
      <c r="E57" s="493" t="s">
        <v>8</v>
      </c>
      <c r="F57" s="468"/>
      <c r="G57" s="200"/>
      <c r="H57" s="200" t="s">
        <v>223</v>
      </c>
      <c r="I57" s="469"/>
      <c r="J57" s="200"/>
      <c r="K57" s="200" t="s">
        <v>223</v>
      </c>
      <c r="L57" s="468"/>
      <c r="M57" s="200"/>
      <c r="N57" s="200" t="s">
        <v>223</v>
      </c>
      <c r="O57" s="468"/>
      <c r="P57" s="200"/>
      <c r="Q57" s="200" t="s">
        <v>223</v>
      </c>
      <c r="R57" s="470"/>
      <c r="S57" s="40"/>
      <c r="T57" s="429"/>
      <c r="U57" s="40"/>
      <c r="V57" s="44"/>
      <c r="W57" s="44"/>
      <c r="X57" s="44"/>
      <c r="Y57" s="44"/>
      <c r="Z57" s="44"/>
      <c r="AA57" s="44"/>
      <c r="AB57" s="44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</row>
    <row r="58" ht="13.5" customHeight="1">
      <c r="A58" s="29"/>
      <c r="B58" s="30"/>
      <c r="C58" s="37" t="s">
        <v>373</v>
      </c>
      <c r="D58" s="496">
        <f>'Cuadro de Usos y Fuentes'!F7</f>
        <v>10000000</v>
      </c>
      <c r="E58" s="483">
        <f t="shared" ref="E58:E62" si="19">D58/$D$62</f>
        <v>0.657983911</v>
      </c>
      <c r="F58" s="497">
        <f>D58</f>
        <v>10000000</v>
      </c>
      <c r="G58" s="510"/>
      <c r="H58" s="511">
        <f t="shared" ref="H58:H60" si="20">I58/$I$62</f>
        <v>0.6509974933</v>
      </c>
      <c r="I58" s="498">
        <f>D58</f>
        <v>10000000</v>
      </c>
      <c r="J58" s="512"/>
      <c r="K58" s="513">
        <f t="shared" ref="K58:K60" si="21">L58/$L$62</f>
        <v>0.5309509549</v>
      </c>
      <c r="L58" s="335">
        <f>D58</f>
        <v>10000000</v>
      </c>
      <c r="M58" s="514"/>
      <c r="N58" s="513">
        <f t="shared" ref="N58:N60" si="22">O58/$O$62</f>
        <v>0.3869249819</v>
      </c>
      <c r="O58" s="335">
        <f>D58</f>
        <v>10000000</v>
      </c>
      <c r="P58" s="512"/>
      <c r="Q58" s="513">
        <f t="shared" ref="Q58:Q60" si="23">R58/$R$62</f>
        <v>0.2600095698</v>
      </c>
      <c r="R58" s="78">
        <f>D58</f>
        <v>10000000</v>
      </c>
      <c r="S58" s="428"/>
      <c r="T58" s="429"/>
      <c r="U58" s="40"/>
      <c r="V58" s="44"/>
      <c r="W58" s="44"/>
      <c r="X58" s="44"/>
      <c r="Y58" s="44"/>
      <c r="Z58" s="44"/>
      <c r="AA58" s="44"/>
      <c r="AB58" s="44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</row>
    <row r="59" ht="13.5" customHeight="1">
      <c r="A59" s="29"/>
      <c r="B59" s="30"/>
      <c r="C59" s="37" t="s">
        <v>374</v>
      </c>
      <c r="D59" s="496">
        <v>0.0</v>
      </c>
      <c r="E59" s="483">
        <f t="shared" si="19"/>
        <v>0</v>
      </c>
      <c r="F59" s="497">
        <f>-F67</f>
        <v>-186032.6143</v>
      </c>
      <c r="G59" s="510"/>
      <c r="H59" s="513">
        <f t="shared" si="20"/>
        <v>-0.2178566536</v>
      </c>
      <c r="I59" s="515">
        <f>+F60-I67</f>
        <v>-3346505.261</v>
      </c>
      <c r="J59" s="516"/>
      <c r="K59" s="513">
        <f t="shared" si="21"/>
        <v>-0.325919343</v>
      </c>
      <c r="L59" s="335">
        <f>+I59+I60-L67</f>
        <v>-6138407.7</v>
      </c>
      <c r="M59" s="516"/>
      <c r="N59" s="513">
        <f t="shared" si="22"/>
        <v>-0.3171054259</v>
      </c>
      <c r="O59" s="335">
        <f>+L59+L60-O67</f>
        <v>-8195527.318</v>
      </c>
      <c r="P59" s="516"/>
      <c r="Q59" s="513">
        <f t="shared" si="23"/>
        <v>-0.2744114768</v>
      </c>
      <c r="R59" s="510">
        <f>+O59+O60-R67</f>
        <v>-10553899.11</v>
      </c>
      <c r="S59" s="428"/>
      <c r="T59" s="429"/>
      <c r="U59" s="40"/>
      <c r="V59" s="44"/>
      <c r="W59" s="44"/>
      <c r="X59" s="44"/>
      <c r="Y59" s="44"/>
      <c r="Z59" s="44"/>
      <c r="AA59" s="44"/>
      <c r="AB59" s="44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</row>
    <row r="60" ht="13.5" customHeight="1">
      <c r="A60" s="29"/>
      <c r="B60" s="30"/>
      <c r="C60" s="37" t="s">
        <v>375</v>
      </c>
      <c r="D60" s="496">
        <v>0.0</v>
      </c>
      <c r="E60" s="483">
        <f t="shared" si="19"/>
        <v>0</v>
      </c>
      <c r="F60" s="497">
        <f>+F25</f>
        <v>286204.022</v>
      </c>
      <c r="G60" s="510"/>
      <c r="H60" s="513">
        <f t="shared" si="20"/>
        <v>0.3638284057</v>
      </c>
      <c r="I60" s="515">
        <f>+I25</f>
        <v>5588783.512</v>
      </c>
      <c r="J60" s="517"/>
      <c r="K60" s="513">
        <f t="shared" si="21"/>
        <v>0.6845743398</v>
      </c>
      <c r="L60" s="335">
        <f>+L25</f>
        <v>12893363</v>
      </c>
      <c r="M60" s="518"/>
      <c r="N60" s="513">
        <f t="shared" si="22"/>
        <v>0.8899561872</v>
      </c>
      <c r="O60" s="335">
        <f>+O25</f>
        <v>23000742.49</v>
      </c>
      <c r="P60" s="517"/>
      <c r="Q60" s="513">
        <f t="shared" si="23"/>
        <v>1.014401907</v>
      </c>
      <c r="R60" s="510">
        <f>+R25</f>
        <v>39014021.98</v>
      </c>
      <c r="S60" s="428"/>
      <c r="T60" s="429"/>
      <c r="U60" s="40"/>
      <c r="V60" s="44"/>
      <c r="W60" s="44"/>
      <c r="X60" s="44"/>
      <c r="Y60" s="44"/>
      <c r="Z60" s="44"/>
      <c r="AA60" s="44"/>
      <c r="AB60" s="44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</row>
    <row r="61" ht="13.5" customHeight="1">
      <c r="A61" s="29"/>
      <c r="B61" s="30"/>
      <c r="C61" s="499" t="s">
        <v>376</v>
      </c>
      <c r="D61" s="500">
        <f>SUM(D58:D60)</f>
        <v>10000000</v>
      </c>
      <c r="E61" s="501">
        <f t="shared" si="19"/>
        <v>0.657983911</v>
      </c>
      <c r="F61" s="500">
        <f>SUM(F58:F60)</f>
        <v>10100171.41</v>
      </c>
      <c r="G61" s="499"/>
      <c r="H61" s="519" t="s">
        <v>223</v>
      </c>
      <c r="I61" s="504">
        <f>SUM(I58:I60)</f>
        <v>12242278.25</v>
      </c>
      <c r="J61" s="505"/>
      <c r="K61" s="503" t="s">
        <v>223</v>
      </c>
      <c r="L61" s="500">
        <f>SUM(L58:L60)</f>
        <v>16754955.3</v>
      </c>
      <c r="M61" s="505"/>
      <c r="N61" s="503" t="s">
        <v>223</v>
      </c>
      <c r="O61" s="500">
        <f>SUM(O58:O60)</f>
        <v>24805215.17</v>
      </c>
      <c r="P61" s="505"/>
      <c r="Q61" s="503" t="s">
        <v>223</v>
      </c>
      <c r="R61" s="505">
        <f>SUM(R58:R60)</f>
        <v>38460122.87</v>
      </c>
      <c r="S61" s="428"/>
      <c r="T61" s="429"/>
      <c r="U61" s="40"/>
      <c r="V61" s="44"/>
      <c r="W61" s="44"/>
      <c r="X61" s="44"/>
      <c r="Y61" s="44"/>
      <c r="Z61" s="44"/>
      <c r="AA61" s="44"/>
      <c r="AB61" s="44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</row>
    <row r="62" ht="13.5" customHeight="1">
      <c r="A62" s="29"/>
      <c r="B62" s="30"/>
      <c r="C62" s="461" t="s">
        <v>377</v>
      </c>
      <c r="D62" s="506">
        <f>D61+D54</f>
        <v>15197940</v>
      </c>
      <c r="E62" s="507">
        <f t="shared" si="19"/>
        <v>1</v>
      </c>
      <c r="F62" s="506">
        <f>F61+F54</f>
        <v>14258523.41</v>
      </c>
      <c r="G62" s="464"/>
      <c r="H62" s="467">
        <f>SUM(H46:H61)</f>
        <v>1</v>
      </c>
      <c r="I62" s="509">
        <f>I61+I54</f>
        <v>15361042.25</v>
      </c>
      <c r="J62" s="466"/>
      <c r="K62" s="467">
        <f>SUM(K46:K61)</f>
        <v>1</v>
      </c>
      <c r="L62" s="506">
        <f>L61+L54</f>
        <v>18834131.3</v>
      </c>
      <c r="M62" s="466"/>
      <c r="N62" s="467">
        <f>SUM(N46:N61)</f>
        <v>1</v>
      </c>
      <c r="O62" s="506">
        <f>O61+O54</f>
        <v>25844803.17</v>
      </c>
      <c r="P62" s="466"/>
      <c r="Q62" s="467">
        <f>SUM(Q46:Q61)</f>
        <v>1</v>
      </c>
      <c r="R62" s="520">
        <f>R61+R54</f>
        <v>38460122.87</v>
      </c>
      <c r="S62" s="428"/>
      <c r="T62" s="429"/>
      <c r="U62" s="40"/>
      <c r="V62" s="44"/>
      <c r="W62" s="44"/>
      <c r="X62" s="44"/>
      <c r="Y62" s="44"/>
      <c r="Z62" s="44"/>
      <c r="AA62" s="44"/>
      <c r="AB62" s="44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3" ht="13.5" customHeight="1">
      <c r="A63" s="29"/>
      <c r="B63" s="30"/>
      <c r="C63" s="442"/>
      <c r="D63" s="489"/>
      <c r="E63" s="490"/>
      <c r="F63" s="489"/>
      <c r="G63" s="424"/>
      <c r="H63" s="424"/>
      <c r="I63" s="491"/>
      <c r="J63" s="424"/>
      <c r="K63" s="424"/>
      <c r="L63" s="489"/>
      <c r="M63" s="424"/>
      <c r="N63" s="424"/>
      <c r="O63" s="489"/>
      <c r="P63" s="424"/>
      <c r="Q63" s="424"/>
      <c r="R63" s="444"/>
      <c r="S63" s="429"/>
      <c r="T63" s="429"/>
      <c r="U63" s="40"/>
      <c r="V63" s="44"/>
      <c r="W63" s="44"/>
      <c r="X63" s="44"/>
      <c r="Y63" s="44"/>
      <c r="Z63" s="44"/>
      <c r="AA63" s="44"/>
      <c r="AB63" s="44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</row>
    <row r="64" ht="13.5" customHeight="1">
      <c r="A64" s="29"/>
      <c r="B64" s="30"/>
      <c r="C64" s="413"/>
      <c r="D64" s="492"/>
      <c r="E64" s="493"/>
      <c r="F64" s="492"/>
      <c r="G64" s="446"/>
      <c r="H64" s="446"/>
      <c r="I64" s="494"/>
      <c r="J64" s="446"/>
      <c r="K64" s="446"/>
      <c r="L64" s="492"/>
      <c r="M64" s="446"/>
      <c r="N64" s="446"/>
      <c r="O64" s="492"/>
      <c r="P64" s="446"/>
      <c r="Q64" s="446"/>
      <c r="R64" s="447"/>
      <c r="S64" s="429"/>
      <c r="T64" s="429"/>
      <c r="U64" s="40"/>
      <c r="V64" s="44"/>
      <c r="W64" s="44"/>
      <c r="X64" s="44"/>
      <c r="Y64" s="44"/>
      <c r="Z64" s="44"/>
      <c r="AA64" s="44"/>
      <c r="AB64" s="44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</row>
    <row r="65" ht="13.5" customHeight="1">
      <c r="A65" s="29"/>
      <c r="B65" s="30"/>
      <c r="C65" s="200"/>
      <c r="D65" s="200"/>
      <c r="E65" s="521" t="s">
        <v>223</v>
      </c>
      <c r="F65" s="468"/>
      <c r="G65" s="200"/>
      <c r="H65" s="200" t="s">
        <v>223</v>
      </c>
      <c r="I65" s="469"/>
      <c r="J65" s="200"/>
      <c r="K65" s="200" t="s">
        <v>223</v>
      </c>
      <c r="L65" s="468"/>
      <c r="M65" s="200"/>
      <c r="N65" s="200" t="s">
        <v>223</v>
      </c>
      <c r="O65" s="468"/>
      <c r="P65" s="200"/>
      <c r="Q65" s="200" t="s">
        <v>223</v>
      </c>
      <c r="R65" s="470"/>
      <c r="S65" s="40"/>
      <c r="T65" s="429"/>
      <c r="U65" s="40"/>
      <c r="V65" s="44"/>
      <c r="W65" s="44"/>
      <c r="X65" s="44"/>
      <c r="Y65" s="44"/>
      <c r="Z65" s="44"/>
      <c r="AA65" s="44"/>
      <c r="AB65" s="44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</row>
    <row r="66" ht="13.5" customHeight="1">
      <c r="A66" s="29"/>
      <c r="B66" s="30"/>
      <c r="C66" s="495" t="s">
        <v>378</v>
      </c>
      <c r="D66" s="522">
        <f>D42-D62</f>
        <v>0</v>
      </c>
      <c r="E66" s="517"/>
      <c r="F66" s="496">
        <f>F42-(F54+F61)</f>
        <v>0</v>
      </c>
      <c r="G66" s="510"/>
      <c r="H66" s="510"/>
      <c r="I66" s="515">
        <f>I42-(I54+I61)</f>
        <v>0</v>
      </c>
      <c r="J66" s="517"/>
      <c r="K66" s="517"/>
      <c r="L66" s="335">
        <f>L42-(L54+L61)</f>
        <v>0</v>
      </c>
      <c r="M66" s="517"/>
      <c r="N66" s="517"/>
      <c r="O66" s="335">
        <f>O42-(O54+O61)</f>
        <v>0</v>
      </c>
      <c r="P66" s="517"/>
      <c r="Q66" s="517"/>
      <c r="R66" s="523">
        <f>R42-(R54+R61)</f>
        <v>0</v>
      </c>
      <c r="S66" s="428"/>
      <c r="T66" s="429"/>
      <c r="U66" s="40"/>
      <c r="V66" s="44"/>
      <c r="W66" s="44"/>
      <c r="X66" s="44"/>
      <c r="Y66" s="44"/>
      <c r="Z66" s="44"/>
      <c r="AA66" s="44"/>
      <c r="AB66" s="44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</row>
    <row r="67" ht="13.5" customHeight="1">
      <c r="A67" s="29"/>
      <c r="B67" s="30"/>
      <c r="C67" s="510" t="s">
        <v>379</v>
      </c>
      <c r="D67" s="381">
        <f>'Cuadro de Usos y Fuentes'!D15</f>
        <v>0.65</v>
      </c>
      <c r="E67" s="517" t="s">
        <v>380</v>
      </c>
      <c r="F67" s="496">
        <f>+F60*$D$67</f>
        <v>186032.6143</v>
      </c>
      <c r="G67" s="510"/>
      <c r="H67" s="510" t="s">
        <v>380</v>
      </c>
      <c r="I67" s="515">
        <f>+I60*$D$67</f>
        <v>3632709.283</v>
      </c>
      <c r="J67" s="517"/>
      <c r="K67" s="517" t="s">
        <v>380</v>
      </c>
      <c r="L67" s="335">
        <f>+L60*$D$67</f>
        <v>8380685.951</v>
      </c>
      <c r="M67" s="517"/>
      <c r="N67" s="517" t="s">
        <v>380</v>
      </c>
      <c r="O67" s="335">
        <f>+O60*$D$67</f>
        <v>14950482.62</v>
      </c>
      <c r="P67" s="517"/>
      <c r="Q67" s="517" t="s">
        <v>380</v>
      </c>
      <c r="R67" s="523">
        <f>+R60*$D$67</f>
        <v>25359114.29</v>
      </c>
      <c r="S67" s="428"/>
      <c r="T67" s="429"/>
      <c r="U67" s="40"/>
      <c r="V67" s="44"/>
      <c r="W67" s="44"/>
      <c r="X67" s="44"/>
      <c r="Y67" s="44"/>
      <c r="Z67" s="44"/>
      <c r="AA67" s="44"/>
      <c r="AB67" s="44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</row>
    <row r="68" ht="13.5" customHeight="1">
      <c r="A68" s="29"/>
      <c r="B68" s="30"/>
      <c r="C68" s="495" t="s">
        <v>381</v>
      </c>
      <c r="D68" s="524">
        <f>'Cuadro de Usos y Fuentes'!D12</f>
        <v>0.45</v>
      </c>
      <c r="E68" s="525"/>
      <c r="F68" s="526"/>
      <c r="G68" s="40"/>
      <c r="H68" s="40"/>
      <c r="I68" s="527"/>
      <c r="J68" s="528"/>
      <c r="K68" s="528"/>
      <c r="L68" s="528"/>
      <c r="M68" s="528"/>
      <c r="N68" s="528"/>
      <c r="O68" s="528"/>
      <c r="P68" s="528"/>
      <c r="Q68" s="528"/>
      <c r="R68" s="529"/>
      <c r="S68" s="429"/>
      <c r="T68" s="429"/>
      <c r="U68" s="40"/>
      <c r="V68" s="44"/>
      <c r="W68" s="44"/>
      <c r="X68" s="44"/>
      <c r="Y68" s="44"/>
      <c r="Z68" s="44"/>
      <c r="AA68" s="44"/>
      <c r="AB68" s="44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</row>
    <row r="69" ht="13.5" customHeight="1">
      <c r="A69" s="29"/>
      <c r="B69" s="30"/>
      <c r="C69" s="528"/>
      <c r="D69" s="529"/>
      <c r="E69" s="40"/>
      <c r="F69" s="530"/>
      <c r="G69" s="40"/>
      <c r="H69" s="40"/>
      <c r="I69" s="531"/>
      <c r="J69" s="40"/>
      <c r="K69" s="40"/>
      <c r="L69" s="40"/>
      <c r="M69" s="40"/>
      <c r="N69" s="40"/>
      <c r="O69" s="40"/>
      <c r="P69" s="40"/>
      <c r="Q69" s="40"/>
      <c r="R69" s="383"/>
      <c r="S69" s="429"/>
      <c r="T69" s="429"/>
      <c r="U69" s="40"/>
      <c r="V69" s="44"/>
      <c r="W69" s="44"/>
      <c r="X69" s="44"/>
      <c r="Y69" s="44"/>
      <c r="Z69" s="44"/>
      <c r="AA69" s="44"/>
      <c r="AB69" s="44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</row>
    <row r="70" ht="13.5" customHeight="1">
      <c r="A70" s="29"/>
      <c r="B70" s="30"/>
      <c r="C70" s="40"/>
      <c r="D70" s="383"/>
      <c r="E70" s="40"/>
      <c r="F70" s="530"/>
      <c r="G70" s="40"/>
      <c r="H70" s="40"/>
      <c r="I70" s="531"/>
      <c r="J70" s="40"/>
      <c r="K70" s="40"/>
      <c r="L70" s="40"/>
      <c r="M70" s="40"/>
      <c r="N70" s="40"/>
      <c r="O70" s="40"/>
      <c r="P70" s="40"/>
      <c r="Q70" s="40"/>
      <c r="R70" s="383"/>
      <c r="S70" s="429"/>
      <c r="T70" s="429"/>
      <c r="U70" s="40"/>
      <c r="V70" s="44"/>
      <c r="W70" s="44"/>
      <c r="X70" s="44"/>
      <c r="Y70" s="44"/>
      <c r="Z70" s="44"/>
      <c r="AA70" s="44"/>
      <c r="AB70" s="44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</row>
    <row r="71" ht="13.5" customHeight="1">
      <c r="A71" s="29"/>
      <c r="B71" s="30"/>
      <c r="C71" s="200"/>
      <c r="D71" s="200"/>
      <c r="E71" s="338" t="s">
        <v>223</v>
      </c>
      <c r="F71" s="530"/>
      <c r="G71" s="40"/>
      <c r="H71" s="40" t="s">
        <v>223</v>
      </c>
      <c r="I71" s="531"/>
      <c r="J71" s="40"/>
      <c r="K71" s="40" t="s">
        <v>223</v>
      </c>
      <c r="L71" s="40"/>
      <c r="M71" s="40"/>
      <c r="N71" s="40" t="s">
        <v>223</v>
      </c>
      <c r="O71" s="40"/>
      <c r="P71" s="40"/>
      <c r="Q71" s="40" t="s">
        <v>223</v>
      </c>
      <c r="R71" s="383"/>
      <c r="S71" s="40"/>
      <c r="T71" s="429"/>
      <c r="U71" s="40"/>
      <c r="V71" s="44"/>
      <c r="W71" s="44"/>
      <c r="X71" s="44"/>
      <c r="Y71" s="44"/>
      <c r="Z71" s="44"/>
      <c r="AA71" s="44"/>
      <c r="AB71" s="44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</row>
    <row r="72" ht="13.5" customHeight="1">
      <c r="A72" s="29"/>
      <c r="B72" s="30"/>
      <c r="C72" s="37" t="s">
        <v>382</v>
      </c>
      <c r="D72" s="523">
        <f>+D52</f>
        <v>5197940</v>
      </c>
      <c r="E72" s="532"/>
      <c r="F72" s="468"/>
      <c r="G72" s="200"/>
      <c r="H72" s="200"/>
      <c r="I72" s="469"/>
      <c r="J72" s="200"/>
      <c r="K72" s="200"/>
      <c r="L72" s="200"/>
      <c r="M72" s="200"/>
      <c r="N72" s="200"/>
      <c r="O72" s="200"/>
      <c r="P72" s="200"/>
      <c r="Q72" s="200"/>
      <c r="R72" s="470"/>
      <c r="S72" s="429"/>
      <c r="T72" s="429"/>
      <c r="U72" s="40"/>
      <c r="V72" s="44"/>
      <c r="W72" s="44"/>
      <c r="X72" s="44"/>
      <c r="Y72" s="44"/>
      <c r="Z72" s="44"/>
      <c r="AA72" s="44"/>
      <c r="AB72" s="44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</row>
    <row r="73" ht="13.5" customHeight="1">
      <c r="A73" s="29"/>
      <c r="B73" s="30"/>
      <c r="C73" s="37" t="s">
        <v>383</v>
      </c>
      <c r="D73" s="81"/>
      <c r="E73" s="82"/>
      <c r="F73" s="497">
        <f>D72/5</f>
        <v>1039588</v>
      </c>
      <c r="G73" s="533"/>
      <c r="H73" s="533"/>
      <c r="I73" s="497">
        <f>D72/5</f>
        <v>1039588</v>
      </c>
      <c r="J73" s="533"/>
      <c r="K73" s="533"/>
      <c r="L73" s="497">
        <f>D72/5</f>
        <v>1039588</v>
      </c>
      <c r="M73" s="533"/>
      <c r="N73" s="533"/>
      <c r="O73" s="497">
        <f>D72/5</f>
        <v>1039588</v>
      </c>
      <c r="P73" s="533"/>
      <c r="Q73" s="533"/>
      <c r="R73" s="534">
        <f>D72/5</f>
        <v>1039588</v>
      </c>
      <c r="S73" s="429"/>
      <c r="T73" s="429"/>
      <c r="U73" s="40"/>
      <c r="V73" s="44"/>
      <c r="W73" s="44"/>
      <c r="X73" s="44"/>
      <c r="Y73" s="44"/>
      <c r="Z73" s="44"/>
      <c r="AA73" s="44"/>
      <c r="AB73" s="44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</row>
    <row r="74" ht="13.5" customHeight="1">
      <c r="A74" s="29"/>
      <c r="B74" s="30"/>
      <c r="C74" s="37" t="s">
        <v>384</v>
      </c>
      <c r="D74" s="81"/>
      <c r="E74" s="82"/>
      <c r="F74" s="497">
        <f>D72-F73</f>
        <v>4158352</v>
      </c>
      <c r="G74" s="533"/>
      <c r="H74" s="533"/>
      <c r="I74" s="497">
        <f>F74-I73</f>
        <v>3118764</v>
      </c>
      <c r="J74" s="533"/>
      <c r="K74" s="533"/>
      <c r="L74" s="497">
        <f>I74-L73</f>
        <v>2079176</v>
      </c>
      <c r="M74" s="533"/>
      <c r="N74" s="533"/>
      <c r="O74" s="497">
        <f>L74-O73</f>
        <v>1039588</v>
      </c>
      <c r="P74" s="533"/>
      <c r="Q74" s="533"/>
      <c r="R74" s="534">
        <f>O74-R73</f>
        <v>0</v>
      </c>
      <c r="S74" s="429"/>
      <c r="T74" s="429"/>
      <c r="U74" s="40"/>
      <c r="V74" s="44"/>
      <c r="W74" s="44"/>
      <c r="X74" s="44"/>
      <c r="Y74" s="44"/>
      <c r="Z74" s="44"/>
      <c r="AA74" s="44"/>
      <c r="AB74" s="44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</row>
    <row r="75" ht="13.5" customHeight="1">
      <c r="A75" s="29"/>
      <c r="B75" s="30"/>
      <c r="C75" s="37" t="s">
        <v>353</v>
      </c>
      <c r="D75" s="198"/>
      <c r="E75" s="533"/>
      <c r="F75" s="497">
        <f>D72*D68</f>
        <v>2339073</v>
      </c>
      <c r="G75" s="533"/>
      <c r="H75" s="533"/>
      <c r="I75" s="497">
        <f>F74*D68</f>
        <v>1871258.4</v>
      </c>
      <c r="J75" s="533"/>
      <c r="K75" s="533"/>
      <c r="L75" s="497">
        <f>I74*D68</f>
        <v>1403443.8</v>
      </c>
      <c r="M75" s="533"/>
      <c r="N75" s="533"/>
      <c r="O75" s="497">
        <f>L74*D68</f>
        <v>935629.2</v>
      </c>
      <c r="P75" s="533"/>
      <c r="Q75" s="533"/>
      <c r="R75" s="534">
        <f>O74*D68</f>
        <v>467814.6</v>
      </c>
      <c r="S75" s="429"/>
      <c r="T75" s="429"/>
      <c r="U75" s="40"/>
      <c r="V75" s="44"/>
      <c r="W75" s="44"/>
      <c r="X75" s="44"/>
      <c r="Y75" s="44"/>
      <c r="Z75" s="44"/>
      <c r="AA75" s="44"/>
      <c r="AB75" s="44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</row>
    <row r="76" ht="13.5" customHeight="1">
      <c r="A76" s="29"/>
      <c r="B76" s="30"/>
      <c r="C76" s="528"/>
      <c r="D76" s="535"/>
      <c r="E76" s="535"/>
      <c r="F76" s="526"/>
      <c r="G76" s="535"/>
      <c r="H76" s="535"/>
      <c r="I76" s="526"/>
      <c r="J76" s="535"/>
      <c r="K76" s="535"/>
      <c r="L76" s="526"/>
      <c r="M76" s="535"/>
      <c r="N76" s="535"/>
      <c r="O76" s="526"/>
      <c r="P76" s="535"/>
      <c r="Q76" s="535"/>
      <c r="R76" s="526"/>
      <c r="S76" s="429"/>
      <c r="T76" s="429"/>
      <c r="U76" s="40"/>
      <c r="V76" s="44"/>
      <c r="W76" s="44"/>
      <c r="X76" s="44"/>
      <c r="Y76" s="44"/>
      <c r="Z76" s="44"/>
      <c r="AA76" s="44"/>
      <c r="AB76" s="44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</row>
    <row r="77" ht="13.5" customHeight="1">
      <c r="A77" s="29"/>
      <c r="B77" s="30"/>
      <c r="C77" s="40"/>
      <c r="D77" s="536"/>
      <c r="E77" s="536"/>
      <c r="F77" s="530"/>
      <c r="G77" s="536"/>
      <c r="H77" s="536"/>
      <c r="I77" s="530"/>
      <c r="J77" s="536"/>
      <c r="K77" s="536"/>
      <c r="L77" s="530"/>
      <c r="M77" s="536"/>
      <c r="N77" s="536"/>
      <c r="O77" s="530"/>
      <c r="P77" s="536"/>
      <c r="Q77" s="536"/>
      <c r="R77" s="530"/>
      <c r="S77" s="429"/>
      <c r="T77" s="429"/>
      <c r="U77" s="40"/>
      <c r="V77" s="44"/>
      <c r="W77" s="44"/>
      <c r="X77" s="44"/>
      <c r="Y77" s="44"/>
      <c r="Z77" s="44"/>
      <c r="AA77" s="44"/>
      <c r="AB77" s="44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</row>
    <row r="78" ht="13.5" customHeight="1">
      <c r="A78" s="29"/>
      <c r="B78" s="30"/>
      <c r="C78" s="40"/>
      <c r="D78" s="536"/>
      <c r="E78" s="536"/>
      <c r="F78" s="530"/>
      <c r="G78" s="536"/>
      <c r="H78" s="536"/>
      <c r="I78" s="530"/>
      <c r="J78" s="536"/>
      <c r="K78" s="536"/>
      <c r="L78" s="530"/>
      <c r="M78" s="536"/>
      <c r="N78" s="536"/>
      <c r="O78" s="530"/>
      <c r="P78" s="536"/>
      <c r="Q78" s="536"/>
      <c r="R78" s="530"/>
      <c r="S78" s="536"/>
      <c r="T78" s="536"/>
      <c r="U78" s="40"/>
      <c r="V78" s="44"/>
      <c r="W78" s="44"/>
      <c r="X78" s="44"/>
      <c r="Y78" s="44"/>
      <c r="Z78" s="44"/>
      <c r="AA78" s="44"/>
      <c r="AB78" s="44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</row>
    <row r="79" ht="15.0" customHeight="1">
      <c r="A79" s="29"/>
      <c r="B79" s="30"/>
      <c r="C79" s="47" t="s">
        <v>385</v>
      </c>
      <c r="D79" s="40"/>
      <c r="E79" s="40"/>
      <c r="F79" s="530"/>
      <c r="G79" s="537"/>
      <c r="H79" s="537"/>
      <c r="I79" s="530"/>
      <c r="J79" s="537"/>
      <c r="K79" s="537"/>
      <c r="L79" s="530"/>
      <c r="M79" s="537"/>
      <c r="N79" s="537"/>
      <c r="O79" s="530"/>
      <c r="P79" s="537"/>
      <c r="Q79" s="537"/>
      <c r="R79" s="530"/>
      <c r="S79" s="537"/>
      <c r="T79" s="537"/>
      <c r="U79" s="40"/>
      <c r="V79" s="44"/>
      <c r="W79" s="44"/>
      <c r="X79" s="44"/>
      <c r="Y79" s="44"/>
      <c r="Z79" s="44"/>
      <c r="AA79" s="44"/>
      <c r="AB79" s="44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</row>
    <row r="80" ht="13.5" customHeight="1">
      <c r="A80" s="29"/>
      <c r="B80" s="30"/>
      <c r="C80" s="538" t="s">
        <v>386</v>
      </c>
      <c r="D80" s="539"/>
      <c r="E80" s="539"/>
      <c r="F80" s="497">
        <f>-(F41-D41)</f>
        <v>10000</v>
      </c>
      <c r="G80" s="539"/>
      <c r="H80" s="539"/>
      <c r="I80" s="497">
        <f>-(I41-F41)</f>
        <v>20000</v>
      </c>
      <c r="J80" s="539"/>
      <c r="K80" s="539"/>
      <c r="L80" s="497">
        <f>-(L41-I41)</f>
        <v>30000</v>
      </c>
      <c r="M80" s="539"/>
      <c r="N80" s="539"/>
      <c r="O80" s="497">
        <f>-(O41-L41)</f>
        <v>40000</v>
      </c>
      <c r="P80" s="539"/>
      <c r="Q80" s="539"/>
      <c r="R80" s="534">
        <f>-(R41-O41)</f>
        <v>50000</v>
      </c>
      <c r="S80" s="537"/>
      <c r="T80" s="537"/>
      <c r="U80" s="40"/>
      <c r="V80" s="44"/>
      <c r="W80" s="44"/>
      <c r="X80" s="44"/>
      <c r="Y80" s="44"/>
      <c r="Z80" s="44"/>
      <c r="AA80" s="44"/>
      <c r="AB80" s="44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</row>
    <row r="81" ht="13.5" customHeight="1">
      <c r="A81" s="29"/>
      <c r="B81" s="30"/>
      <c r="C81" s="538" t="s">
        <v>387</v>
      </c>
      <c r="D81" s="539"/>
      <c r="E81" s="539"/>
      <c r="F81" s="497">
        <f>(F53-D53)</f>
        <v>-1039588</v>
      </c>
      <c r="G81" s="539"/>
      <c r="H81" s="539"/>
      <c r="I81" s="497">
        <f>(I53-F53)</f>
        <v>-1039588</v>
      </c>
      <c r="J81" s="539"/>
      <c r="K81" s="539"/>
      <c r="L81" s="497">
        <f>(L53-I53)</f>
        <v>-1039588</v>
      </c>
      <c r="M81" s="539"/>
      <c r="N81" s="539"/>
      <c r="O81" s="497">
        <f>(O53-L53)</f>
        <v>-1039588</v>
      </c>
      <c r="P81" s="539"/>
      <c r="Q81" s="539"/>
      <c r="R81" s="534">
        <f>(R53-O53)</f>
        <v>-1039588</v>
      </c>
      <c r="S81" s="537"/>
      <c r="T81" s="537"/>
      <c r="U81" s="40"/>
      <c r="V81" s="44"/>
      <c r="W81" s="44"/>
      <c r="X81" s="44"/>
      <c r="Y81" s="44"/>
      <c r="Z81" s="44"/>
      <c r="AA81" s="44"/>
      <c r="AB81" s="44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</row>
    <row r="82" ht="13.5" customHeight="1">
      <c r="A82" s="29"/>
      <c r="B82" s="30"/>
      <c r="C82" s="538" t="s">
        <v>388</v>
      </c>
      <c r="D82" s="539"/>
      <c r="E82" s="539"/>
      <c r="F82" s="497">
        <f>(F48-D48)</f>
        <v>0</v>
      </c>
      <c r="G82" s="539"/>
      <c r="H82" s="539"/>
      <c r="I82" s="497">
        <f>(I48-F48)</f>
        <v>0</v>
      </c>
      <c r="J82" s="539"/>
      <c r="K82" s="539"/>
      <c r="L82" s="497">
        <f>(L48-I48)</f>
        <v>0</v>
      </c>
      <c r="M82" s="539"/>
      <c r="N82" s="539"/>
      <c r="O82" s="497">
        <f>(O48-L48)</f>
        <v>0</v>
      </c>
      <c r="P82" s="539"/>
      <c r="Q82" s="539"/>
      <c r="R82" s="534">
        <f>(R48-O48)</f>
        <v>0</v>
      </c>
      <c r="S82" s="537"/>
      <c r="T82" s="537"/>
      <c r="U82" s="40"/>
      <c r="V82" s="44"/>
      <c r="W82" s="44"/>
      <c r="X82" s="44"/>
      <c r="Y82" s="44"/>
      <c r="Z82" s="44"/>
      <c r="AA82" s="44"/>
      <c r="AB82" s="44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</row>
    <row r="83" ht="13.5" customHeight="1">
      <c r="A83" s="29"/>
      <c r="B83" s="30"/>
      <c r="C83" s="538" t="s">
        <v>389</v>
      </c>
      <c r="D83" s="539"/>
      <c r="E83" s="539"/>
      <c r="F83" s="497">
        <f>(F61-D61)</f>
        <v>100171.4077</v>
      </c>
      <c r="G83" s="539"/>
      <c r="H83" s="539"/>
      <c r="I83" s="497">
        <f>(I61-F61)</f>
        <v>2142106.844</v>
      </c>
      <c r="J83" s="539"/>
      <c r="K83" s="539"/>
      <c r="L83" s="497">
        <f>(L61-I61)</f>
        <v>4512677.051</v>
      </c>
      <c r="M83" s="539"/>
      <c r="N83" s="539"/>
      <c r="O83" s="497">
        <f>(O61-L61)</f>
        <v>8050259.872</v>
      </c>
      <c r="P83" s="539"/>
      <c r="Q83" s="539"/>
      <c r="R83" s="534">
        <f>(R61-O61)</f>
        <v>13654907.69</v>
      </c>
      <c r="S83" s="537"/>
      <c r="T83" s="537"/>
      <c r="U83" s="40"/>
      <c r="V83" s="44"/>
      <c r="W83" s="44"/>
      <c r="X83" s="44"/>
      <c r="Y83" s="44"/>
      <c r="Z83" s="44"/>
      <c r="AA83" s="44"/>
      <c r="AB83" s="44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</row>
    <row r="84" ht="13.5" customHeight="1">
      <c r="A84" s="29"/>
      <c r="B84" s="30"/>
      <c r="C84" s="409" t="s">
        <v>390</v>
      </c>
      <c r="D84" s="540"/>
      <c r="E84" s="540"/>
      <c r="F84" s="541">
        <f>SUM(F80:F83)</f>
        <v>-929416.5923</v>
      </c>
      <c r="G84" s="540"/>
      <c r="H84" s="542"/>
      <c r="I84" s="541">
        <f>SUM(I80:I83)</f>
        <v>1122518.844</v>
      </c>
      <c r="J84" s="542"/>
      <c r="K84" s="540"/>
      <c r="L84" s="541">
        <f>SUM(L80:L83)</f>
        <v>3503089.051</v>
      </c>
      <c r="M84" s="540"/>
      <c r="N84" s="542"/>
      <c r="O84" s="541">
        <f>SUM(O80:O83)</f>
        <v>7050671.872</v>
      </c>
      <c r="P84" s="542"/>
      <c r="Q84" s="540"/>
      <c r="R84" s="543">
        <f>SUM(R80:R83)</f>
        <v>12665319.69</v>
      </c>
      <c r="S84" s="88"/>
      <c r="T84" s="88"/>
      <c r="U84" s="40"/>
      <c r="V84" s="44"/>
      <c r="W84" s="44"/>
      <c r="X84" s="44"/>
      <c r="Y84" s="44"/>
      <c r="Z84" s="44"/>
      <c r="AA84" s="44"/>
      <c r="AB84" s="44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</row>
    <row r="85" ht="13.5" customHeight="1">
      <c r="A85" s="29"/>
      <c r="B85" s="30"/>
      <c r="C85" s="538" t="s">
        <v>391</v>
      </c>
      <c r="D85" s="539"/>
      <c r="E85" s="539"/>
      <c r="F85" s="497">
        <f>-(F32-D32)</f>
        <v>0</v>
      </c>
      <c r="G85" s="539"/>
      <c r="H85" s="539"/>
      <c r="I85" s="497">
        <f>-(I32-F32)</f>
        <v>0</v>
      </c>
      <c r="J85" s="539"/>
      <c r="K85" s="539"/>
      <c r="L85" s="497">
        <f>-(L32-I32)</f>
        <v>0</v>
      </c>
      <c r="M85" s="539"/>
      <c r="N85" s="539"/>
      <c r="O85" s="497">
        <f>-(O32-L32)</f>
        <v>0</v>
      </c>
      <c r="P85" s="539"/>
      <c r="Q85" s="539"/>
      <c r="R85" s="534">
        <f>-(R32-O32)</f>
        <v>0</v>
      </c>
      <c r="S85" s="537"/>
      <c r="T85" s="537"/>
      <c r="U85" s="40"/>
      <c r="V85" s="44"/>
      <c r="W85" s="44"/>
      <c r="X85" s="44"/>
      <c r="Y85" s="44"/>
      <c r="Z85" s="44"/>
      <c r="AA85" s="44"/>
      <c r="AB85" s="44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</row>
    <row r="86" ht="13.5" customHeight="1">
      <c r="A86" s="29"/>
      <c r="B86" s="30"/>
      <c r="C86" s="538" t="s">
        <v>392</v>
      </c>
      <c r="D86" s="539"/>
      <c r="E86" s="539"/>
      <c r="F86" s="497">
        <f>-(F34-D34)</f>
        <v>0</v>
      </c>
      <c r="G86" s="539"/>
      <c r="H86" s="539"/>
      <c r="I86" s="497">
        <f>-(I34-F34)</f>
        <v>0</v>
      </c>
      <c r="J86" s="539"/>
      <c r="K86" s="539"/>
      <c r="L86" s="497">
        <f>-(L34-I34)</f>
        <v>0</v>
      </c>
      <c r="M86" s="539"/>
      <c r="N86" s="539"/>
      <c r="O86" s="497">
        <f>-(O34-L34)</f>
        <v>-32476931.51</v>
      </c>
      <c r="P86" s="539"/>
      <c r="Q86" s="539"/>
      <c r="R86" s="534">
        <f>-(R34-O34)</f>
        <v>32476931.51</v>
      </c>
      <c r="S86" s="537"/>
      <c r="T86" s="537"/>
      <c r="U86" s="40"/>
      <c r="V86" s="44"/>
      <c r="W86" s="44"/>
      <c r="X86" s="44"/>
      <c r="Y86" s="44"/>
      <c r="Z86" s="44"/>
      <c r="AA86" s="44"/>
      <c r="AB86" s="44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</row>
    <row r="87" ht="13.5" customHeight="1">
      <c r="A87" s="29"/>
      <c r="B87" s="30"/>
      <c r="C87" s="538" t="s">
        <v>393</v>
      </c>
      <c r="D87" s="539"/>
      <c r="E87" s="539"/>
      <c r="F87" s="497">
        <f>-(F33-D33)</f>
        <v>1283940</v>
      </c>
      <c r="G87" s="539"/>
      <c r="H87" s="539"/>
      <c r="I87" s="497">
        <f>-(I33-F33)</f>
        <v>0</v>
      </c>
      <c r="J87" s="539"/>
      <c r="K87" s="539"/>
      <c r="L87" s="497">
        <f>-(L33-I33)</f>
        <v>0</v>
      </c>
      <c r="M87" s="539"/>
      <c r="N87" s="539"/>
      <c r="O87" s="497">
        <f>-(O33-L33)</f>
        <v>0</v>
      </c>
      <c r="P87" s="539"/>
      <c r="Q87" s="539"/>
      <c r="R87" s="534">
        <f>-(R33-O33)</f>
        <v>0</v>
      </c>
      <c r="S87" s="537"/>
      <c r="T87" s="537"/>
      <c r="U87" s="40"/>
      <c r="V87" s="44"/>
      <c r="W87" s="44"/>
      <c r="X87" s="44"/>
      <c r="Y87" s="44"/>
      <c r="Z87" s="44"/>
      <c r="AA87" s="44"/>
      <c r="AB87" s="44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</row>
    <row r="88" ht="13.5" customHeight="1">
      <c r="A88" s="29"/>
      <c r="B88" s="30"/>
      <c r="C88" s="538" t="s">
        <v>360</v>
      </c>
      <c r="D88" s="539"/>
      <c r="E88" s="539"/>
      <c r="F88" s="497">
        <f>-(F31-D31)</f>
        <v>0</v>
      </c>
      <c r="G88" s="539"/>
      <c r="H88" s="539"/>
      <c r="I88" s="497">
        <f>-(I31-F31)</f>
        <v>0</v>
      </c>
      <c r="J88" s="539"/>
      <c r="K88" s="539"/>
      <c r="L88" s="497">
        <f>-(L31-I31)</f>
        <v>0</v>
      </c>
      <c r="M88" s="539"/>
      <c r="N88" s="539"/>
      <c r="O88" s="497">
        <f>-(O31-L31)</f>
        <v>0</v>
      </c>
      <c r="P88" s="539"/>
      <c r="Q88" s="539"/>
      <c r="R88" s="534">
        <f>-(R31-O31)</f>
        <v>0</v>
      </c>
      <c r="S88" s="537"/>
      <c r="T88" s="537"/>
      <c r="U88" s="40"/>
      <c r="V88" s="44"/>
      <c r="W88" s="44"/>
      <c r="X88" s="44"/>
      <c r="Y88" s="44"/>
      <c r="Z88" s="44"/>
      <c r="AA88" s="44"/>
      <c r="AB88" s="44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</row>
    <row r="89" ht="13.5" customHeight="1">
      <c r="A89" s="29"/>
      <c r="B89" s="30"/>
      <c r="C89" s="461" t="s">
        <v>394</v>
      </c>
      <c r="D89" s="544"/>
      <c r="E89" s="544"/>
      <c r="F89" s="508">
        <f>SUM(F84:F88)</f>
        <v>354523.4077</v>
      </c>
      <c r="G89" s="544"/>
      <c r="H89" s="545"/>
      <c r="I89" s="508">
        <f>SUM(I84:I88)</f>
        <v>1122518.844</v>
      </c>
      <c r="J89" s="545"/>
      <c r="K89" s="544"/>
      <c r="L89" s="508">
        <f>SUM(L84:L88)</f>
        <v>3503089.051</v>
      </c>
      <c r="M89" s="544"/>
      <c r="N89" s="545"/>
      <c r="O89" s="508">
        <f>SUM(O84:O88)</f>
        <v>-25426259.63</v>
      </c>
      <c r="P89" s="545"/>
      <c r="Q89" s="544"/>
      <c r="R89" s="546">
        <f>SUM(R84:R88)</f>
        <v>45142251.2</v>
      </c>
      <c r="S89" s="88"/>
      <c r="T89" s="88"/>
      <c r="U89" s="40"/>
      <c r="V89" s="44"/>
      <c r="W89" s="44"/>
      <c r="X89" s="44"/>
      <c r="Y89" s="44"/>
      <c r="Z89" s="44"/>
      <c r="AA89" s="44"/>
      <c r="AB89" s="44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</row>
    <row r="90" ht="13.5" customHeight="1">
      <c r="A90" s="29"/>
      <c r="B90" s="30"/>
      <c r="C90" s="442"/>
      <c r="D90" s="442"/>
      <c r="E90" s="442"/>
      <c r="F90" s="489"/>
      <c r="G90" s="442"/>
      <c r="H90" s="444"/>
      <c r="I90" s="489"/>
      <c r="J90" s="444"/>
      <c r="K90" s="442"/>
      <c r="L90" s="489"/>
      <c r="M90" s="442"/>
      <c r="N90" s="444"/>
      <c r="O90" s="489"/>
      <c r="P90" s="444"/>
      <c r="Q90" s="442"/>
      <c r="R90" s="489"/>
      <c r="S90" s="88"/>
      <c r="T90" s="88"/>
      <c r="U90" s="40"/>
      <c r="V90" s="44"/>
      <c r="W90" s="44"/>
      <c r="X90" s="44"/>
      <c r="Y90" s="44"/>
      <c r="Z90" s="44"/>
      <c r="AA90" s="44"/>
      <c r="AB90" s="44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</row>
    <row r="91" ht="13.5" customHeight="1">
      <c r="A91" s="29"/>
      <c r="B91" s="30"/>
      <c r="C91" s="413"/>
      <c r="D91" s="413"/>
      <c r="E91" s="413"/>
      <c r="F91" s="492"/>
      <c r="G91" s="413"/>
      <c r="H91" s="447"/>
      <c r="I91" s="492"/>
      <c r="J91" s="447"/>
      <c r="K91" s="413"/>
      <c r="L91" s="492"/>
      <c r="M91" s="413"/>
      <c r="N91" s="447"/>
      <c r="O91" s="492"/>
      <c r="P91" s="447"/>
      <c r="Q91" s="413"/>
      <c r="R91" s="492"/>
      <c r="S91" s="88"/>
      <c r="T91" s="88"/>
      <c r="U91" s="40"/>
      <c r="V91" s="44"/>
      <c r="W91" s="44"/>
      <c r="X91" s="44"/>
      <c r="Y91" s="44"/>
      <c r="Z91" s="44"/>
      <c r="AA91" s="44"/>
      <c r="AB91" s="44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</row>
    <row r="92" ht="13.5" customHeight="1">
      <c r="A92" s="29"/>
      <c r="B92" s="30"/>
      <c r="C92" s="88"/>
      <c r="D92" s="547"/>
      <c r="E92" s="547"/>
      <c r="F92" s="548"/>
      <c r="G92" s="548"/>
      <c r="H92" s="548"/>
      <c r="I92" s="548"/>
      <c r="J92" s="548"/>
      <c r="K92" s="548"/>
      <c r="L92" s="548"/>
      <c r="M92" s="548"/>
      <c r="N92" s="548"/>
      <c r="O92" s="548"/>
      <c r="P92" s="548"/>
      <c r="Q92" s="548"/>
      <c r="R92" s="548"/>
      <c r="S92" s="548"/>
      <c r="T92" s="548"/>
      <c r="U92" s="40"/>
      <c r="V92" s="44"/>
      <c r="W92" s="44"/>
      <c r="X92" s="44"/>
      <c r="Y92" s="44"/>
      <c r="Z92" s="44"/>
      <c r="AA92" s="44"/>
      <c r="AB92" s="44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</row>
    <row r="93" ht="13.5" customHeight="1">
      <c r="A93" s="29"/>
      <c r="B93" s="30"/>
      <c r="C93" s="81" t="s">
        <v>395</v>
      </c>
      <c r="D93" s="549"/>
      <c r="E93" s="549"/>
      <c r="F93" s="539">
        <f>(F61+D61)/2</f>
        <v>10050085.7</v>
      </c>
      <c r="G93" s="550"/>
      <c r="H93" s="550"/>
      <c r="I93" s="539">
        <f>(I61+F61)/2</f>
        <v>11171224.83</v>
      </c>
      <c r="J93" s="550"/>
      <c r="K93" s="539"/>
      <c r="L93" s="539">
        <f>(L61+I61)/2</f>
        <v>14498616.78</v>
      </c>
      <c r="M93" s="550"/>
      <c r="N93" s="550"/>
      <c r="O93" s="539">
        <f>(O61+L61)/2</f>
        <v>20780085.24</v>
      </c>
      <c r="P93" s="550"/>
      <c r="Q93" s="550"/>
      <c r="R93" s="539">
        <f>(R61+O61)/2</f>
        <v>31632669.02</v>
      </c>
      <c r="S93" s="551"/>
      <c r="T93" s="548"/>
      <c r="U93" s="40"/>
      <c r="V93" s="44"/>
      <c r="W93" s="44"/>
      <c r="X93" s="44"/>
      <c r="Y93" s="44"/>
      <c r="Z93" s="44"/>
      <c r="AA93" s="44"/>
      <c r="AB93" s="44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</row>
    <row r="94" ht="13.5" customHeight="1">
      <c r="A94" s="29"/>
      <c r="B94" s="30"/>
      <c r="C94" s="81" t="s">
        <v>396</v>
      </c>
      <c r="D94" s="549"/>
      <c r="E94" s="549"/>
      <c r="F94" s="539">
        <f>(F42+D42)/2</f>
        <v>14728231.7</v>
      </c>
      <c r="G94" s="550"/>
      <c r="H94" s="550"/>
      <c r="I94" s="539">
        <f>(I42+F42)/2</f>
        <v>14809782.83</v>
      </c>
      <c r="J94" s="550"/>
      <c r="K94" s="550"/>
      <c r="L94" s="539">
        <f>(L42+I42)/2</f>
        <v>17097586.78</v>
      </c>
      <c r="M94" s="550"/>
      <c r="N94" s="550"/>
      <c r="O94" s="539">
        <f>(O42+L42)/2</f>
        <v>22339467.24</v>
      </c>
      <c r="P94" s="550"/>
      <c r="Q94" s="550"/>
      <c r="R94" s="539">
        <f>(R42+O42)/2</f>
        <v>32152463.02</v>
      </c>
      <c r="S94" s="551"/>
      <c r="T94" s="548"/>
      <c r="U94" s="40"/>
      <c r="V94" s="44"/>
      <c r="W94" s="44"/>
      <c r="X94" s="44"/>
      <c r="Y94" s="44"/>
      <c r="Z94" s="44"/>
      <c r="AA94" s="44"/>
      <c r="AB94" s="44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</row>
    <row r="95" ht="13.5" customHeight="1">
      <c r="A95" s="29"/>
      <c r="B95" s="30"/>
      <c r="C95" s="552" t="s">
        <v>397</v>
      </c>
      <c r="D95" s="549"/>
      <c r="E95" s="549"/>
      <c r="F95" s="553">
        <f>F94/F93</f>
        <v>1.465483195</v>
      </c>
      <c r="G95" s="550"/>
      <c r="H95" s="550"/>
      <c r="I95" s="553">
        <f>I94/I93</f>
        <v>1.325708063</v>
      </c>
      <c r="J95" s="550"/>
      <c r="K95" s="550"/>
      <c r="L95" s="553">
        <f>L94/L93</f>
        <v>1.17925641</v>
      </c>
      <c r="M95" s="550"/>
      <c r="N95" s="550"/>
      <c r="O95" s="553">
        <f>O94/O93</f>
        <v>1.075042137</v>
      </c>
      <c r="P95" s="550"/>
      <c r="Q95" s="550"/>
      <c r="R95" s="553">
        <f>R94/R93</f>
        <v>1.016432189</v>
      </c>
      <c r="S95" s="551"/>
      <c r="T95" s="548"/>
      <c r="U95" s="40"/>
      <c r="V95" s="44"/>
      <c r="W95" s="44"/>
      <c r="X95" s="44"/>
      <c r="Y95" s="44"/>
      <c r="Z95" s="44"/>
      <c r="AA95" s="44"/>
      <c r="AB95" s="44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</row>
    <row r="96" ht="13.5" customHeight="1">
      <c r="A96" s="29"/>
      <c r="B96" s="30"/>
      <c r="C96" s="552" t="s">
        <v>398</v>
      </c>
      <c r="D96" s="549"/>
      <c r="E96" s="549"/>
      <c r="F96" s="553">
        <f>F7/F94</f>
        <v>4.888570566</v>
      </c>
      <c r="G96" s="553">
        <f>F96*F95</f>
        <v>7.164118011</v>
      </c>
      <c r="H96" s="550"/>
      <c r="I96" s="553">
        <f>I7/I94</f>
        <v>6.806311825</v>
      </c>
      <c r="J96" s="553">
        <f>I96*I95</f>
        <v>9.023182466</v>
      </c>
      <c r="K96" s="550"/>
      <c r="L96" s="553">
        <f>L7/L94</f>
        <v>8.253796389</v>
      </c>
      <c r="M96" s="553">
        <f>L96*L95</f>
        <v>9.733342303</v>
      </c>
      <c r="N96" s="550"/>
      <c r="O96" s="553">
        <f>O7/O94</f>
        <v>8.84389936</v>
      </c>
      <c r="P96" s="553">
        <f>O96*O95</f>
        <v>9.507564466</v>
      </c>
      <c r="Q96" s="550"/>
      <c r="R96" s="553">
        <f>R7/R94</f>
        <v>8.957323108</v>
      </c>
      <c r="S96" s="554">
        <f>R96*R95</f>
        <v>9.104511536</v>
      </c>
      <c r="T96" s="548"/>
      <c r="U96" s="40"/>
      <c r="V96" s="44"/>
      <c r="W96" s="44"/>
      <c r="X96" s="44"/>
      <c r="Y96" s="44"/>
      <c r="Z96" s="44"/>
      <c r="AA96" s="44"/>
      <c r="AB96" s="44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</row>
    <row r="97" ht="13.5" customHeight="1">
      <c r="A97" s="29"/>
      <c r="B97" s="30"/>
      <c r="C97" s="81" t="s">
        <v>399</v>
      </c>
      <c r="D97" s="549"/>
      <c r="E97" s="549"/>
      <c r="F97" s="555">
        <f>F25/F7</f>
        <v>0.003975055861</v>
      </c>
      <c r="G97" s="550" t="s">
        <v>223</v>
      </c>
      <c r="H97" s="550"/>
      <c r="I97" s="555">
        <f>I25/I7</f>
        <v>0.05544428087</v>
      </c>
      <c r="J97" s="550"/>
      <c r="K97" s="550"/>
      <c r="L97" s="555">
        <f>L25/L7</f>
        <v>0.09136453374</v>
      </c>
      <c r="M97" s="550"/>
      <c r="N97" s="550"/>
      <c r="O97" s="555">
        <f>O25/O7</f>
        <v>0.116419372</v>
      </c>
      <c r="P97" s="550"/>
      <c r="Q97" s="550"/>
      <c r="R97" s="555">
        <f>R25/R7</f>
        <v>0.1354653541</v>
      </c>
      <c r="S97" s="551"/>
      <c r="T97" s="548"/>
      <c r="U97" s="40"/>
      <c r="V97" s="44"/>
      <c r="W97" s="44"/>
      <c r="X97" s="44"/>
      <c r="Y97" s="44"/>
      <c r="Z97" s="44"/>
      <c r="AA97" s="44"/>
      <c r="AB97" s="44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</row>
    <row r="98" ht="13.5" customHeight="1">
      <c r="A98" s="29"/>
      <c r="B98" s="30"/>
      <c r="C98" s="81" t="s">
        <v>400</v>
      </c>
      <c r="D98" s="549"/>
      <c r="E98" s="549"/>
      <c r="F98" s="555">
        <f>F97*F96*F95</f>
        <v>0.02847776929</v>
      </c>
      <c r="G98" s="550" t="s">
        <v>223</v>
      </c>
      <c r="H98" s="550"/>
      <c r="I98" s="555">
        <f>I97*I96*I95</f>
        <v>0.500283863</v>
      </c>
      <c r="J98" s="550"/>
      <c r="K98" s="550"/>
      <c r="L98" s="555">
        <f>L97*L96*L95</f>
        <v>0.8892822812</v>
      </c>
      <c r="M98" s="550"/>
      <c r="N98" s="550"/>
      <c r="O98" s="555">
        <f>O97*O96*O95</f>
        <v>1.106864685</v>
      </c>
      <c r="P98" s="550"/>
      <c r="Q98" s="550"/>
      <c r="R98" s="555">
        <f>R97*R96*R95</f>
        <v>1.233345879</v>
      </c>
      <c r="S98" s="551"/>
      <c r="T98" s="548"/>
      <c r="U98" s="40"/>
      <c r="V98" s="44"/>
      <c r="W98" s="44"/>
      <c r="X98" s="44"/>
      <c r="Y98" s="44"/>
      <c r="Z98" s="44"/>
      <c r="AA98" s="44"/>
      <c r="AB98" s="44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</row>
    <row r="99" ht="13.5" customHeight="1">
      <c r="A99" s="29"/>
      <c r="B99" s="30"/>
      <c r="C99" s="81" t="s">
        <v>401</v>
      </c>
      <c r="D99" s="549"/>
      <c r="E99" s="549"/>
      <c r="F99" s="533">
        <f>F7/F93</f>
        <v>7.164118011</v>
      </c>
      <c r="G99" s="550" t="s">
        <v>402</v>
      </c>
      <c r="H99" s="550"/>
      <c r="I99" s="533">
        <f>I7/I93</f>
        <v>9.023182466</v>
      </c>
      <c r="J99" s="550" t="s">
        <v>402</v>
      </c>
      <c r="K99" s="550"/>
      <c r="L99" s="533">
        <f>L7/L93</f>
        <v>9.733342303</v>
      </c>
      <c r="M99" s="550" t="s">
        <v>402</v>
      </c>
      <c r="N99" s="550"/>
      <c r="O99" s="533">
        <f>O7/O93</f>
        <v>9.507564466</v>
      </c>
      <c r="P99" s="550" t="s">
        <v>402</v>
      </c>
      <c r="Q99" s="550"/>
      <c r="R99" s="533">
        <f>R7/R93</f>
        <v>9.104511536</v>
      </c>
      <c r="S99" s="551" t="s">
        <v>402</v>
      </c>
      <c r="T99" s="548"/>
      <c r="U99" s="40"/>
      <c r="V99" s="44"/>
      <c r="W99" s="44"/>
      <c r="X99" s="44"/>
      <c r="Y99" s="44"/>
      <c r="Z99" s="44"/>
      <c r="AA99" s="44"/>
      <c r="AB99" s="44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</row>
    <row r="100" ht="13.5" customHeight="1">
      <c r="A100" s="29"/>
      <c r="B100" s="30"/>
      <c r="C100" s="81" t="s">
        <v>400</v>
      </c>
      <c r="D100" s="549"/>
      <c r="E100" s="549"/>
      <c r="F100" s="555">
        <f>F97*F99</f>
        <v>0.02847776929</v>
      </c>
      <c r="G100" s="550"/>
      <c r="H100" s="550"/>
      <c r="I100" s="555">
        <f>I99*I97</f>
        <v>0.500283863</v>
      </c>
      <c r="J100" s="550"/>
      <c r="K100" s="550"/>
      <c r="L100" s="555">
        <f>L99*L97</f>
        <v>0.8892822812</v>
      </c>
      <c r="M100" s="550"/>
      <c r="N100" s="550"/>
      <c r="O100" s="555">
        <f>O99*O97</f>
        <v>1.106864685</v>
      </c>
      <c r="P100" s="550"/>
      <c r="Q100" s="550"/>
      <c r="R100" s="555">
        <f>R99*R97</f>
        <v>1.233345879</v>
      </c>
      <c r="S100" s="551"/>
      <c r="T100" s="548"/>
      <c r="U100" s="40"/>
      <c r="V100" s="44"/>
      <c r="W100" s="44"/>
      <c r="X100" s="44"/>
      <c r="Y100" s="44"/>
      <c r="Z100" s="44"/>
      <c r="AA100" s="44"/>
      <c r="AB100" s="44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</row>
    <row r="101" ht="13.5" customHeight="1">
      <c r="A101" s="29"/>
      <c r="B101" s="30"/>
      <c r="C101" s="81" t="s">
        <v>403</v>
      </c>
      <c r="D101" s="549"/>
      <c r="E101" s="549"/>
      <c r="F101" s="539">
        <f>F25-F21*(1-E24)</f>
        <v>2625277.022</v>
      </c>
      <c r="G101" s="550"/>
      <c r="H101" s="550"/>
      <c r="I101" s="539">
        <f>I25-I21*(1-H24)</f>
        <v>7460041.912</v>
      </c>
      <c r="J101" s="550"/>
      <c r="K101" s="550"/>
      <c r="L101" s="539">
        <f>L25-L21*(1-K24)</f>
        <v>14296806.8</v>
      </c>
      <c r="M101" s="550"/>
      <c r="N101" s="550"/>
      <c r="O101" s="539">
        <f>O25-O21*(1-N24)</f>
        <v>23936371.69</v>
      </c>
      <c r="P101" s="550"/>
      <c r="Q101" s="550"/>
      <c r="R101" s="539">
        <f>R25-R21*(1-Q24)</f>
        <v>39481836.58</v>
      </c>
      <c r="S101" s="551"/>
      <c r="T101" s="548"/>
      <c r="U101" s="40"/>
      <c r="V101" s="44"/>
      <c r="W101" s="44"/>
      <c r="X101" s="44"/>
      <c r="Y101" s="44"/>
      <c r="Z101" s="44"/>
      <c r="AA101" s="44"/>
      <c r="AB101" s="44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</row>
    <row r="102" ht="13.5" customHeight="1">
      <c r="A102" s="29"/>
      <c r="B102" s="30"/>
      <c r="C102" s="81" t="s">
        <v>404</v>
      </c>
      <c r="D102" s="549"/>
      <c r="E102" s="549"/>
      <c r="F102" s="555">
        <f>F101/F94</f>
        <v>0.1782479441</v>
      </c>
      <c r="G102" s="550"/>
      <c r="H102" s="550"/>
      <c r="I102" s="555">
        <f>I101/I94</f>
        <v>0.5037239234</v>
      </c>
      <c r="J102" s="550"/>
      <c r="K102" s="550"/>
      <c r="L102" s="555">
        <f>L101/L94</f>
        <v>0.8361885796</v>
      </c>
      <c r="M102" s="550"/>
      <c r="N102" s="550"/>
      <c r="O102" s="555">
        <f>O101/O94</f>
        <v>1.071483551</v>
      </c>
      <c r="P102" s="550"/>
      <c r="Q102" s="550"/>
      <c r="R102" s="555">
        <f>R101/R94</f>
        <v>1.22795683</v>
      </c>
      <c r="S102" s="551"/>
      <c r="T102" s="548"/>
      <c r="U102" s="40"/>
      <c r="V102" s="44"/>
      <c r="W102" s="44"/>
      <c r="X102" s="44"/>
      <c r="Y102" s="44"/>
      <c r="Z102" s="44"/>
      <c r="AA102" s="44"/>
      <c r="AB102" s="44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</row>
    <row r="103" ht="13.5" customHeight="1">
      <c r="A103" s="29"/>
      <c r="B103" s="30"/>
      <c r="C103" s="81" t="s">
        <v>405</v>
      </c>
      <c r="D103" s="549"/>
      <c r="E103" s="549"/>
      <c r="F103" s="553">
        <f>F100/F102</f>
        <v>0.1597649242</v>
      </c>
      <c r="G103" s="550"/>
      <c r="H103" s="550"/>
      <c r="I103" s="553">
        <f>I100/I102</f>
        <v>0.9931707424</v>
      </c>
      <c r="J103" s="550"/>
      <c r="K103" s="550"/>
      <c r="L103" s="553">
        <f>L100/L102</f>
        <v>1.06349489</v>
      </c>
      <c r="M103" s="550"/>
      <c r="N103" s="550"/>
      <c r="O103" s="553">
        <f>O100/O102</f>
        <v>1.033020697</v>
      </c>
      <c r="P103" s="550"/>
      <c r="Q103" s="550"/>
      <c r="R103" s="553">
        <f>R100/R102</f>
        <v>1.00438863</v>
      </c>
      <c r="S103" s="551"/>
      <c r="T103" s="548"/>
      <c r="U103" s="40"/>
      <c r="V103" s="44"/>
      <c r="W103" s="44"/>
      <c r="X103" s="44"/>
      <c r="Y103" s="44"/>
      <c r="Z103" s="44"/>
      <c r="AA103" s="44"/>
      <c r="AB103" s="44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</row>
    <row r="104" ht="13.5" customHeight="1">
      <c r="A104" s="29"/>
      <c r="B104" s="30"/>
      <c r="C104" s="81" t="s">
        <v>406</v>
      </c>
      <c r="D104" s="549"/>
      <c r="E104" s="549"/>
      <c r="F104" s="553">
        <f>F7/F35</f>
        <v>5.154446028</v>
      </c>
      <c r="G104" s="550" t="s">
        <v>402</v>
      </c>
      <c r="H104" s="550"/>
      <c r="I104" s="553">
        <f>I7/I35</f>
        <v>6.679459134</v>
      </c>
      <c r="J104" s="550" t="s">
        <v>402</v>
      </c>
      <c r="K104" s="550"/>
      <c r="L104" s="553">
        <f>L7/L35</f>
        <v>7.589491421</v>
      </c>
      <c r="M104" s="550" t="s">
        <v>402</v>
      </c>
      <c r="N104" s="550"/>
      <c r="O104" s="553">
        <f>O7/O35</f>
        <v>7.704017015</v>
      </c>
      <c r="P104" s="550" t="s">
        <v>402</v>
      </c>
      <c r="Q104" s="550"/>
      <c r="R104" s="553">
        <f>R7/R35</f>
        <v>7.51759531</v>
      </c>
      <c r="S104" s="551" t="s">
        <v>402</v>
      </c>
      <c r="T104" s="548"/>
      <c r="U104" s="40"/>
      <c r="V104" s="44"/>
      <c r="W104" s="44"/>
      <c r="X104" s="44"/>
      <c r="Y104" s="44"/>
      <c r="Z104" s="44"/>
      <c r="AA104" s="44"/>
      <c r="AB104" s="44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</row>
    <row r="105" ht="13.5" customHeight="1">
      <c r="A105" s="29"/>
      <c r="B105" s="30"/>
      <c r="C105" s="81" t="s">
        <v>407</v>
      </c>
      <c r="D105" s="549"/>
      <c r="E105" s="549"/>
      <c r="F105" s="553" t="str">
        <f>F7/F32</f>
        <v>#DIV/0!</v>
      </c>
      <c r="G105" s="550" t="s">
        <v>402</v>
      </c>
      <c r="H105" s="550"/>
      <c r="I105" s="553" t="str">
        <f>I7/I32</f>
        <v>#DIV/0!</v>
      </c>
      <c r="J105" s="550" t="s">
        <v>402</v>
      </c>
      <c r="K105" s="550"/>
      <c r="L105" s="553" t="str">
        <f>L7/L32</f>
        <v>#DIV/0!</v>
      </c>
      <c r="M105" s="550" t="s">
        <v>402</v>
      </c>
      <c r="N105" s="550"/>
      <c r="O105" s="553" t="str">
        <f>O7/O32</f>
        <v>#DIV/0!</v>
      </c>
      <c r="P105" s="550" t="s">
        <v>402</v>
      </c>
      <c r="Q105" s="550"/>
      <c r="R105" s="553" t="str">
        <f>R7/R32</f>
        <v>#DIV/0!</v>
      </c>
      <c r="S105" s="551" t="s">
        <v>402</v>
      </c>
      <c r="T105" s="548"/>
      <c r="U105" s="40"/>
      <c r="V105" s="44"/>
      <c r="W105" s="44"/>
      <c r="X105" s="44"/>
      <c r="Y105" s="44"/>
      <c r="Z105" s="44"/>
      <c r="AA105" s="44"/>
      <c r="AB105" s="44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</row>
    <row r="106" ht="13.5" customHeight="1">
      <c r="A106" s="29"/>
      <c r="B106" s="30"/>
      <c r="C106" s="81" t="s">
        <v>408</v>
      </c>
      <c r="D106" s="549"/>
      <c r="E106" s="549"/>
      <c r="F106" s="553" t="str">
        <f>F7/F34</f>
        <v>#DIV/0!</v>
      </c>
      <c r="G106" s="550" t="s">
        <v>402</v>
      </c>
      <c r="H106" s="550"/>
      <c r="I106" s="553" t="str">
        <f>I7/I34</f>
        <v>#DIV/0!</v>
      </c>
      <c r="J106" s="550" t="s">
        <v>402</v>
      </c>
      <c r="K106" s="550"/>
      <c r="L106" s="553" t="str">
        <f>L7/L34</f>
        <v>#DIV/0!</v>
      </c>
      <c r="M106" s="550" t="s">
        <v>402</v>
      </c>
      <c r="N106" s="550"/>
      <c r="O106" s="553">
        <f>O7/O34</f>
        <v>6.083333333</v>
      </c>
      <c r="P106" s="550" t="s">
        <v>402</v>
      </c>
      <c r="Q106" s="550"/>
      <c r="R106" s="553" t="str">
        <f>R7/R34</f>
        <v>#DIV/0!</v>
      </c>
      <c r="S106" s="551" t="s">
        <v>402</v>
      </c>
      <c r="T106" s="548"/>
      <c r="U106" s="40"/>
      <c r="V106" s="44"/>
      <c r="W106" s="44"/>
      <c r="X106" s="44"/>
      <c r="Y106" s="44"/>
      <c r="Z106" s="44"/>
      <c r="AA106" s="44"/>
      <c r="AB106" s="44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</row>
    <row r="107" ht="13.5" customHeight="1">
      <c r="A107" s="29"/>
      <c r="B107" s="30"/>
      <c r="C107" s="88"/>
      <c r="D107" s="547"/>
      <c r="E107" s="547"/>
      <c r="F107" s="556"/>
      <c r="G107" s="548"/>
      <c r="H107" s="548"/>
      <c r="I107" s="556"/>
      <c r="J107" s="548"/>
      <c r="K107" s="548"/>
      <c r="L107" s="556"/>
      <c r="M107" s="548"/>
      <c r="N107" s="548"/>
      <c r="O107" s="556"/>
      <c r="P107" s="548"/>
      <c r="Q107" s="548"/>
      <c r="R107" s="556"/>
      <c r="S107" s="548"/>
      <c r="T107" s="548"/>
      <c r="U107" s="40"/>
      <c r="V107" s="44"/>
      <c r="W107" s="44"/>
      <c r="X107" s="44"/>
      <c r="Y107" s="44"/>
      <c r="Z107" s="44"/>
      <c r="AA107" s="44"/>
      <c r="AB107" s="44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</row>
    <row r="108" ht="13.5" customHeight="1">
      <c r="A108" s="29"/>
      <c r="B108" s="29"/>
      <c r="C108" s="557"/>
      <c r="D108" s="558"/>
      <c r="E108" s="558"/>
      <c r="F108" s="559"/>
      <c r="G108" s="560"/>
      <c r="H108" s="560"/>
      <c r="I108" s="559"/>
      <c r="J108" s="560"/>
      <c r="K108" s="560"/>
      <c r="L108" s="559"/>
      <c r="M108" s="560"/>
      <c r="N108" s="560"/>
      <c r="O108" s="559"/>
      <c r="P108" s="560"/>
      <c r="Q108" s="560"/>
      <c r="R108" s="559"/>
      <c r="S108" s="560"/>
      <c r="T108" s="560"/>
      <c r="U108" s="44"/>
      <c r="V108" s="44"/>
      <c r="W108" s="44"/>
      <c r="X108" s="44"/>
      <c r="Y108" s="44"/>
      <c r="Z108" s="44"/>
      <c r="AA108" s="44"/>
      <c r="AB108" s="44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</row>
    <row r="109" ht="13.5" customHeight="1">
      <c r="A109" s="29"/>
      <c r="B109" s="29"/>
      <c r="C109" s="557"/>
      <c r="D109" s="558"/>
      <c r="E109" s="558"/>
      <c r="F109" s="559"/>
      <c r="G109" s="560"/>
      <c r="H109" s="560"/>
      <c r="I109" s="559"/>
      <c r="J109" s="560"/>
      <c r="K109" s="560"/>
      <c r="L109" s="559"/>
      <c r="M109" s="560"/>
      <c r="N109" s="560"/>
      <c r="O109" s="559"/>
      <c r="P109" s="560"/>
      <c r="Q109" s="560"/>
      <c r="R109" s="559"/>
      <c r="S109" s="560"/>
      <c r="T109" s="560"/>
      <c r="U109" s="44"/>
      <c r="V109" s="44"/>
      <c r="W109" s="44"/>
      <c r="X109" s="44"/>
      <c r="Y109" s="44"/>
      <c r="Z109" s="44"/>
      <c r="AA109" s="44"/>
      <c r="AB109" s="44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</row>
    <row r="110" ht="13.5" customHeight="1">
      <c r="A110" s="29"/>
      <c r="B110" s="29"/>
      <c r="C110" s="557"/>
      <c r="D110" s="558"/>
      <c r="E110" s="558"/>
      <c r="F110" s="559"/>
      <c r="G110" s="560"/>
      <c r="H110" s="560"/>
      <c r="I110" s="559"/>
      <c r="J110" s="560"/>
      <c r="K110" s="560"/>
      <c r="L110" s="559"/>
      <c r="M110" s="560"/>
      <c r="N110" s="560"/>
      <c r="O110" s="559"/>
      <c r="P110" s="560"/>
      <c r="Q110" s="560"/>
      <c r="R110" s="559"/>
      <c r="S110" s="560"/>
      <c r="T110" s="560"/>
      <c r="U110" s="44"/>
      <c r="V110" s="44"/>
      <c r="W110" s="44"/>
      <c r="X110" s="44"/>
      <c r="Y110" s="44"/>
      <c r="Z110" s="44"/>
      <c r="AA110" s="44"/>
      <c r="AB110" s="44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</row>
    <row r="111" ht="13.5" customHeight="1">
      <c r="A111" s="29"/>
      <c r="B111" s="29"/>
      <c r="C111" s="557"/>
      <c r="D111" s="558"/>
      <c r="E111" s="558"/>
      <c r="F111" s="559"/>
      <c r="G111" s="560"/>
      <c r="H111" s="560"/>
      <c r="I111" s="559"/>
      <c r="J111" s="560"/>
      <c r="K111" s="560"/>
      <c r="L111" s="559"/>
      <c r="M111" s="560"/>
      <c r="N111" s="560"/>
      <c r="O111" s="559"/>
      <c r="P111" s="560"/>
      <c r="Q111" s="560"/>
      <c r="R111" s="559"/>
      <c r="S111" s="560"/>
      <c r="T111" s="560"/>
      <c r="U111" s="44"/>
      <c r="V111" s="44"/>
      <c r="W111" s="44"/>
      <c r="X111" s="44"/>
      <c r="Y111" s="44"/>
      <c r="Z111" s="44"/>
      <c r="AA111" s="44"/>
      <c r="AB111" s="44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</row>
    <row r="112" ht="13.5" customHeight="1">
      <c r="A112" s="29"/>
      <c r="B112" s="29"/>
      <c r="C112" s="557"/>
      <c r="D112" s="558"/>
      <c r="E112" s="558"/>
      <c r="F112" s="559"/>
      <c r="G112" s="560"/>
      <c r="H112" s="560"/>
      <c r="I112" s="559"/>
      <c r="J112" s="560"/>
      <c r="K112" s="560"/>
      <c r="L112" s="559"/>
      <c r="M112" s="560"/>
      <c r="N112" s="560"/>
      <c r="O112" s="559"/>
      <c r="P112" s="560"/>
      <c r="Q112" s="560"/>
      <c r="R112" s="559"/>
      <c r="S112" s="560"/>
      <c r="T112" s="560"/>
      <c r="U112" s="44"/>
      <c r="V112" s="44"/>
      <c r="W112" s="44"/>
      <c r="X112" s="44"/>
      <c r="Y112" s="44"/>
      <c r="Z112" s="44"/>
      <c r="AA112" s="44"/>
      <c r="AB112" s="44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</row>
    <row r="113" ht="13.5" customHeight="1">
      <c r="A113" s="29"/>
      <c r="B113" s="29"/>
      <c r="C113" s="557"/>
      <c r="D113" s="558"/>
      <c r="E113" s="558"/>
      <c r="F113" s="559"/>
      <c r="G113" s="560"/>
      <c r="H113" s="560"/>
      <c r="I113" s="559"/>
      <c r="J113" s="560"/>
      <c r="K113" s="560"/>
      <c r="L113" s="559"/>
      <c r="M113" s="560"/>
      <c r="N113" s="560"/>
      <c r="O113" s="559"/>
      <c r="P113" s="560"/>
      <c r="Q113" s="560"/>
      <c r="R113" s="559"/>
      <c r="S113" s="560"/>
      <c r="T113" s="560"/>
      <c r="U113" s="44"/>
      <c r="V113" s="44"/>
      <c r="W113" s="44"/>
      <c r="X113" s="44"/>
      <c r="Y113" s="44"/>
      <c r="Z113" s="44"/>
      <c r="AA113" s="44"/>
      <c r="AB113" s="44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</row>
    <row r="114" ht="13.5" customHeight="1">
      <c r="A114" s="29"/>
      <c r="B114" s="29"/>
      <c r="C114" s="557"/>
      <c r="D114" s="558"/>
      <c r="E114" s="558"/>
      <c r="F114" s="559"/>
      <c r="G114" s="560"/>
      <c r="H114" s="560"/>
      <c r="I114" s="559"/>
      <c r="J114" s="560"/>
      <c r="K114" s="560"/>
      <c r="L114" s="559"/>
      <c r="M114" s="560"/>
      <c r="N114" s="560"/>
      <c r="O114" s="559"/>
      <c r="P114" s="560"/>
      <c r="Q114" s="560"/>
      <c r="R114" s="559"/>
      <c r="S114" s="560"/>
      <c r="T114" s="560"/>
      <c r="U114" s="44"/>
      <c r="V114" s="44"/>
      <c r="W114" s="44"/>
      <c r="X114" s="44"/>
      <c r="Y114" s="44"/>
      <c r="Z114" s="44"/>
      <c r="AA114" s="44"/>
      <c r="AB114" s="44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</row>
  </sheetData>
  <mergeCells count="5">
    <mergeCell ref="D29:E29"/>
    <mergeCell ref="F29:H29"/>
    <mergeCell ref="I29:K29"/>
    <mergeCell ref="L29:N29"/>
    <mergeCell ref="O29:Q29"/>
  </mergeCells>
  <printOptions/>
  <pageMargins bottom="0.75" footer="0.0" header="0.0" left="0.7" right="0.7" top="0.75"/>
  <pageSetup orientation="landscape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3333"/>
    <pageSetUpPr/>
  </sheetPr>
  <sheetViews>
    <sheetView showGridLines="0" workbookViewId="0"/>
  </sheetViews>
  <sheetFormatPr customHeight="1" defaultColWidth="12.63" defaultRowHeight="15.0"/>
  <cols>
    <col customWidth="1" min="1" max="2" width="2.75"/>
    <col customWidth="1" min="3" max="3" width="14.0"/>
    <col customWidth="1" min="4" max="4" width="12.38"/>
    <col customWidth="1" min="5" max="8" width="19.38"/>
    <col customWidth="1" min="9" max="9" width="16.75"/>
    <col customWidth="1" min="10" max="18" width="11.25"/>
    <col customWidth="1" min="19" max="19" width="2.63"/>
    <col customWidth="1" min="20" max="26" width="10.0"/>
  </cols>
  <sheetData>
    <row r="1" ht="15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29"/>
      <c r="C2" s="248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9"/>
      <c r="T2" s="29"/>
      <c r="U2" s="29"/>
      <c r="V2" s="29"/>
      <c r="W2" s="29"/>
      <c r="X2" s="29"/>
      <c r="Y2" s="29"/>
      <c r="Z2" s="29"/>
    </row>
    <row r="3" ht="15.75" customHeight="1">
      <c r="A3" s="29"/>
      <c r="C3" s="282" t="s">
        <v>409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29"/>
      <c r="T3" s="29"/>
      <c r="U3" s="29"/>
      <c r="V3" s="29"/>
      <c r="W3" s="29"/>
      <c r="X3" s="29"/>
      <c r="Y3" s="29"/>
      <c r="Z3" s="29"/>
    </row>
    <row r="4" ht="15.75" customHeight="1">
      <c r="A4" s="29"/>
      <c r="B4" s="4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9"/>
      <c r="T4" s="29"/>
      <c r="U4" s="29"/>
      <c r="V4" s="29"/>
      <c r="W4" s="29"/>
      <c r="X4" s="29"/>
      <c r="Y4" s="29"/>
      <c r="Z4" s="29"/>
    </row>
    <row r="5" ht="13.5" customHeight="1">
      <c r="A5" s="29"/>
      <c r="B5" s="40"/>
      <c r="C5" s="46"/>
      <c r="D5" s="37" t="s">
        <v>410</v>
      </c>
      <c r="E5" s="78">
        <f>+'Gastos Fijos de Fabricación'!L27+'Gastos de Comercialización'!K43+'Gastos Adm y Finanzas'!F29+'Activo no Corriente'!F24</f>
        <v>16470613.12</v>
      </c>
      <c r="F5" s="40"/>
      <c r="G5" s="88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4"/>
      <c r="T5" s="29"/>
      <c r="U5" s="29"/>
      <c r="V5" s="29"/>
      <c r="W5" s="29"/>
      <c r="X5" s="29"/>
      <c r="Y5" s="29"/>
      <c r="Z5" s="29"/>
    </row>
    <row r="6" ht="13.5" customHeight="1">
      <c r="A6" s="29"/>
      <c r="B6" s="40"/>
      <c r="C6" s="46"/>
      <c r="D6" s="37" t="s">
        <v>411</v>
      </c>
      <c r="E6" s="78">
        <f>+Mercado!F18</f>
        <v>80000</v>
      </c>
      <c r="F6" s="40"/>
      <c r="G6" s="561" t="s">
        <v>412</v>
      </c>
      <c r="H6" s="562">
        <f>+E7+E8</f>
        <v>58611.11111</v>
      </c>
      <c r="I6" s="347" t="s">
        <v>413</v>
      </c>
      <c r="J6" s="40"/>
      <c r="K6" s="40"/>
      <c r="L6" s="40"/>
      <c r="M6" s="40"/>
      <c r="N6" s="40"/>
      <c r="O6" s="40"/>
      <c r="P6" s="40"/>
      <c r="Q6" s="40"/>
      <c r="R6" s="40"/>
      <c r="S6" s="44"/>
      <c r="T6" s="29"/>
      <c r="U6" s="29"/>
      <c r="V6" s="29"/>
      <c r="W6" s="29"/>
      <c r="X6" s="29"/>
      <c r="Y6" s="29"/>
      <c r="Z6" s="29"/>
    </row>
    <row r="7" ht="13.5" customHeight="1">
      <c r="A7" s="29"/>
      <c r="B7" s="40"/>
      <c r="C7" s="46"/>
      <c r="D7" s="37" t="s">
        <v>414</v>
      </c>
      <c r="E7" s="78">
        <f>+'Costos Variables de Fabricación'!L26</f>
        <v>55411.11111</v>
      </c>
      <c r="F7" s="40"/>
      <c r="G7" s="563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4"/>
      <c r="T7" s="29"/>
      <c r="U7" s="29"/>
      <c r="V7" s="29"/>
      <c r="W7" s="29"/>
      <c r="X7" s="29"/>
      <c r="Y7" s="29"/>
      <c r="Z7" s="29"/>
    </row>
    <row r="8" ht="13.5" customHeight="1">
      <c r="A8" s="29"/>
      <c r="B8" s="40"/>
      <c r="C8" s="40"/>
      <c r="D8" s="37" t="s">
        <v>415</v>
      </c>
      <c r="E8" s="78">
        <f>+'Gastos de Comercialización'!L11</f>
        <v>3200</v>
      </c>
      <c r="F8" s="3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4"/>
      <c r="T8" s="29"/>
      <c r="U8" s="29"/>
      <c r="V8" s="29"/>
      <c r="W8" s="29"/>
      <c r="X8" s="29"/>
      <c r="Y8" s="29"/>
      <c r="Z8" s="29"/>
    </row>
    <row r="9" ht="14.25" customHeight="1">
      <c r="A9" s="29"/>
      <c r="B9" s="3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4"/>
      <c r="T9" s="29"/>
      <c r="U9" s="29"/>
      <c r="V9" s="29"/>
      <c r="W9" s="29"/>
      <c r="X9" s="29"/>
      <c r="Y9" s="29"/>
      <c r="Z9" s="29"/>
    </row>
    <row r="10" ht="13.5" customHeight="1">
      <c r="A10" s="29"/>
      <c r="B10" s="30"/>
      <c r="C10" s="40"/>
      <c r="D10" s="347" t="s">
        <v>416</v>
      </c>
      <c r="E10" s="564">
        <f>+E5/(E6-E7-E8)</f>
        <v>770.0546394</v>
      </c>
      <c r="F10" s="565" t="s">
        <v>417</v>
      </c>
      <c r="G10" s="347" t="s">
        <v>418</v>
      </c>
      <c r="H10" s="348">
        <f>+E10*E6</f>
        <v>61604371.15</v>
      </c>
      <c r="I10" s="347" t="s">
        <v>419</v>
      </c>
      <c r="J10" s="40"/>
      <c r="K10" s="40"/>
      <c r="L10" s="40"/>
      <c r="M10" s="40"/>
      <c r="N10" s="40"/>
      <c r="O10" s="40"/>
      <c r="P10" s="40"/>
      <c r="Q10" s="40"/>
      <c r="R10" s="40"/>
      <c r="S10" s="44"/>
      <c r="T10" s="29"/>
      <c r="U10" s="29"/>
      <c r="V10" s="29"/>
      <c r="W10" s="29"/>
      <c r="X10" s="29"/>
      <c r="Y10" s="29"/>
      <c r="Z10" s="29"/>
    </row>
    <row r="11" ht="14.25" customHeight="1">
      <c r="A11" s="29"/>
      <c r="B11" s="3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4"/>
      <c r="T11" s="29"/>
      <c r="U11" s="29"/>
      <c r="V11" s="29"/>
      <c r="W11" s="29"/>
      <c r="X11" s="29"/>
      <c r="Y11" s="29"/>
      <c r="Z11" s="29"/>
    </row>
    <row r="12" ht="14.25" customHeight="1">
      <c r="A12" s="29"/>
      <c r="B12" s="30"/>
      <c r="C12" s="40"/>
      <c r="D12" s="40"/>
      <c r="E12" s="40"/>
      <c r="F12" s="40"/>
      <c r="G12" s="40"/>
      <c r="H12" s="40"/>
      <c r="I12" s="338"/>
      <c r="J12" s="40"/>
      <c r="K12" s="40"/>
      <c r="L12" s="40"/>
      <c r="M12" s="40"/>
      <c r="N12" s="40"/>
      <c r="O12" s="40"/>
      <c r="P12" s="40"/>
      <c r="Q12" s="40"/>
      <c r="R12" s="40"/>
      <c r="S12" s="44"/>
      <c r="T12" s="29"/>
      <c r="U12" s="29"/>
      <c r="V12" s="29"/>
      <c r="W12" s="29"/>
      <c r="X12" s="29"/>
      <c r="Y12" s="29"/>
      <c r="Z12" s="29"/>
    </row>
    <row r="13" ht="13.5" customHeight="1">
      <c r="A13" s="29"/>
      <c r="B13" s="3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4"/>
      <c r="T13" s="29"/>
      <c r="U13" s="29"/>
      <c r="V13" s="29"/>
      <c r="W13" s="29"/>
      <c r="X13" s="29"/>
      <c r="Y13" s="29"/>
      <c r="Z13" s="29"/>
    </row>
    <row r="14" ht="13.5" customHeight="1">
      <c r="A14" s="29"/>
      <c r="B14" s="30"/>
      <c r="C14" s="40"/>
      <c r="D14" s="566" t="s">
        <v>420</v>
      </c>
      <c r="E14" s="567" t="s">
        <v>421</v>
      </c>
      <c r="F14" s="567" t="s">
        <v>422</v>
      </c>
      <c r="G14" s="567" t="s">
        <v>423</v>
      </c>
      <c r="H14" s="567" t="s">
        <v>424</v>
      </c>
      <c r="I14" s="567" t="s">
        <v>425</v>
      </c>
      <c r="J14" s="40"/>
      <c r="K14" s="40"/>
      <c r="L14" s="40"/>
      <c r="M14" s="40"/>
      <c r="N14" s="40"/>
      <c r="O14" s="40"/>
      <c r="P14" s="40"/>
      <c r="Q14" s="40"/>
      <c r="R14" s="40"/>
      <c r="S14" s="44"/>
      <c r="T14" s="29"/>
      <c r="U14" s="29"/>
      <c r="V14" s="29"/>
      <c r="W14" s="29"/>
      <c r="X14" s="29"/>
      <c r="Y14" s="29"/>
      <c r="Z14" s="29"/>
    </row>
    <row r="15" ht="13.5" customHeight="1">
      <c r="A15" s="29"/>
      <c r="B15" s="30"/>
      <c r="C15" s="40"/>
      <c r="D15" s="568">
        <v>0.0</v>
      </c>
      <c r="E15" s="120">
        <f t="shared" ref="E15:E23" si="1">+D15*$E$6</f>
        <v>0</v>
      </c>
      <c r="F15" s="120">
        <f t="shared" ref="F15:F23" si="2">+$E$5</f>
        <v>16470613.12</v>
      </c>
      <c r="G15" s="120">
        <f>+D15*H7</f>
        <v>0</v>
      </c>
      <c r="H15" s="120">
        <f t="shared" ref="H15:H23" si="3">+G15+F15</f>
        <v>16470613.12</v>
      </c>
      <c r="I15" s="120">
        <f t="shared" ref="I15:I23" si="4">+E15-F15-G15</f>
        <v>-16470613.12</v>
      </c>
      <c r="J15" s="40"/>
      <c r="K15" s="40"/>
      <c r="L15" s="40"/>
      <c r="M15" s="40"/>
      <c r="N15" s="40"/>
      <c r="O15" s="40"/>
      <c r="P15" s="40"/>
      <c r="Q15" s="40"/>
      <c r="R15" s="40"/>
      <c r="S15" s="44"/>
      <c r="T15" s="29"/>
      <c r="U15" s="29"/>
      <c r="V15" s="29"/>
      <c r="W15" s="29"/>
      <c r="X15" s="29"/>
      <c r="Y15" s="29"/>
      <c r="Z15" s="29"/>
    </row>
    <row r="16" ht="13.5" customHeight="1">
      <c r="A16" s="29"/>
      <c r="B16" s="30"/>
      <c r="C16" s="40"/>
      <c r="D16" s="569">
        <v>150.0</v>
      </c>
      <c r="E16" s="120">
        <f t="shared" si="1"/>
        <v>12000000</v>
      </c>
      <c r="F16" s="120">
        <f t="shared" si="2"/>
        <v>16470613.12</v>
      </c>
      <c r="G16" s="120">
        <f t="shared" ref="G16:G23" si="5">+D16*$H$6</f>
        <v>8791666.667</v>
      </c>
      <c r="H16" s="120">
        <f t="shared" si="3"/>
        <v>25262279.79</v>
      </c>
      <c r="I16" s="120">
        <f t="shared" si="4"/>
        <v>-13262279.79</v>
      </c>
      <c r="J16" s="40"/>
      <c r="K16" s="40"/>
      <c r="L16" s="40"/>
      <c r="M16" s="40"/>
      <c r="N16" s="40"/>
      <c r="O16" s="40"/>
      <c r="P16" s="40"/>
      <c r="Q16" s="40"/>
      <c r="R16" s="40"/>
      <c r="S16" s="44"/>
      <c r="T16" s="29"/>
      <c r="U16" s="29"/>
      <c r="V16" s="29"/>
      <c r="W16" s="29"/>
      <c r="X16" s="29"/>
      <c r="Y16" s="29"/>
      <c r="Z16" s="29"/>
    </row>
    <row r="17" ht="13.5" customHeight="1">
      <c r="A17" s="29"/>
      <c r="B17" s="30"/>
      <c r="C17" s="40"/>
      <c r="D17" s="569">
        <v>500.0</v>
      </c>
      <c r="E17" s="120">
        <f t="shared" si="1"/>
        <v>40000000</v>
      </c>
      <c r="F17" s="120">
        <f t="shared" si="2"/>
        <v>16470613.12</v>
      </c>
      <c r="G17" s="120">
        <f t="shared" si="5"/>
        <v>29305555.56</v>
      </c>
      <c r="H17" s="120">
        <f t="shared" si="3"/>
        <v>45776168.68</v>
      </c>
      <c r="I17" s="120">
        <f t="shared" si="4"/>
        <v>-5776168.676</v>
      </c>
      <c r="J17" s="40"/>
      <c r="K17" s="40"/>
      <c r="L17" s="40"/>
      <c r="M17" s="40"/>
      <c r="N17" s="40"/>
      <c r="O17" s="40"/>
      <c r="P17" s="40"/>
      <c r="Q17" s="40"/>
      <c r="R17" s="40"/>
      <c r="S17" s="44"/>
      <c r="T17" s="29"/>
      <c r="U17" s="29"/>
      <c r="V17" s="29"/>
      <c r="W17" s="29"/>
      <c r="X17" s="29"/>
      <c r="Y17" s="29"/>
      <c r="Z17" s="29"/>
    </row>
    <row r="18" ht="13.5" customHeight="1">
      <c r="A18" s="29"/>
      <c r="B18" s="30"/>
      <c r="C18" s="570" t="s">
        <v>416</v>
      </c>
      <c r="D18" s="571">
        <f>ROUNDUP(E10,0)</f>
        <v>771</v>
      </c>
      <c r="E18" s="572">
        <f t="shared" si="1"/>
        <v>61680000</v>
      </c>
      <c r="F18" s="572">
        <f t="shared" si="2"/>
        <v>16470613.12</v>
      </c>
      <c r="G18" s="572">
        <f t="shared" si="5"/>
        <v>45189166.67</v>
      </c>
      <c r="H18" s="572">
        <f t="shared" si="3"/>
        <v>61659779.79</v>
      </c>
      <c r="I18" s="572">
        <f t="shared" si="4"/>
        <v>20220.21333</v>
      </c>
      <c r="J18" s="40"/>
      <c r="K18" s="40"/>
      <c r="L18" s="40"/>
      <c r="M18" s="40"/>
      <c r="N18" s="40"/>
      <c r="O18" s="40"/>
      <c r="P18" s="40"/>
      <c r="Q18" s="40"/>
      <c r="R18" s="40"/>
      <c r="S18" s="44"/>
      <c r="T18" s="29"/>
      <c r="U18" s="29"/>
      <c r="V18" s="29"/>
      <c r="W18" s="29"/>
      <c r="X18" s="29"/>
      <c r="Y18" s="29"/>
      <c r="Z18" s="29"/>
    </row>
    <row r="19" ht="13.5" customHeight="1">
      <c r="A19" s="29"/>
      <c r="B19" s="30"/>
      <c r="C19" s="40"/>
      <c r="D19" s="153">
        <v>890.0</v>
      </c>
      <c r="E19" s="78">
        <f t="shared" si="1"/>
        <v>71200000</v>
      </c>
      <c r="F19" s="78">
        <f t="shared" si="2"/>
        <v>16470613.12</v>
      </c>
      <c r="G19" s="78">
        <f t="shared" si="5"/>
        <v>52163888.89</v>
      </c>
      <c r="H19" s="78">
        <f t="shared" si="3"/>
        <v>68634502.01</v>
      </c>
      <c r="I19" s="78">
        <f t="shared" si="4"/>
        <v>2565497.991</v>
      </c>
      <c r="J19" s="40"/>
      <c r="K19" s="40"/>
      <c r="L19" s="40"/>
      <c r="M19" s="40"/>
      <c r="N19" s="40"/>
      <c r="O19" s="40"/>
      <c r="P19" s="40"/>
      <c r="Q19" s="40"/>
      <c r="R19" s="40"/>
      <c r="S19" s="44"/>
      <c r="T19" s="29"/>
      <c r="U19" s="29"/>
      <c r="V19" s="29"/>
      <c r="W19" s="29"/>
      <c r="X19" s="29"/>
      <c r="Y19" s="29"/>
      <c r="Z19" s="29"/>
    </row>
    <row r="20" ht="13.5" customHeight="1">
      <c r="A20" s="29"/>
      <c r="B20" s="30"/>
      <c r="C20" s="40"/>
      <c r="D20" s="153">
        <v>2500.0</v>
      </c>
      <c r="E20" s="78">
        <f t="shared" si="1"/>
        <v>200000000</v>
      </c>
      <c r="F20" s="78">
        <f t="shared" si="2"/>
        <v>16470613.12</v>
      </c>
      <c r="G20" s="78">
        <f t="shared" si="5"/>
        <v>146527777.8</v>
      </c>
      <c r="H20" s="78">
        <f t="shared" si="3"/>
        <v>162998390.9</v>
      </c>
      <c r="I20" s="78">
        <f t="shared" si="4"/>
        <v>37001609.1</v>
      </c>
      <c r="J20" s="40"/>
      <c r="K20" s="40"/>
      <c r="L20" s="40"/>
      <c r="M20" s="40"/>
      <c r="N20" s="40"/>
      <c r="O20" s="40"/>
      <c r="P20" s="40"/>
      <c r="Q20" s="40"/>
      <c r="R20" s="40"/>
      <c r="S20" s="44"/>
      <c r="T20" s="29"/>
      <c r="U20" s="29"/>
      <c r="V20" s="29"/>
      <c r="W20" s="29"/>
      <c r="X20" s="29"/>
      <c r="Y20" s="29"/>
      <c r="Z20" s="29"/>
    </row>
    <row r="21" ht="13.5" customHeight="1">
      <c r="A21" s="29"/>
      <c r="B21" s="30"/>
      <c r="C21" s="40"/>
      <c r="D21" s="153">
        <v>3000.0</v>
      </c>
      <c r="E21" s="78">
        <f t="shared" si="1"/>
        <v>240000000</v>
      </c>
      <c r="F21" s="78">
        <f t="shared" si="2"/>
        <v>16470613.12</v>
      </c>
      <c r="G21" s="78">
        <f t="shared" si="5"/>
        <v>175833333.3</v>
      </c>
      <c r="H21" s="78">
        <f t="shared" si="3"/>
        <v>192303946.5</v>
      </c>
      <c r="I21" s="78">
        <f t="shared" si="4"/>
        <v>47696053.55</v>
      </c>
      <c r="J21" s="40"/>
      <c r="K21" s="40"/>
      <c r="L21" s="40"/>
      <c r="M21" s="40"/>
      <c r="N21" s="40"/>
      <c r="O21" s="40"/>
      <c r="P21" s="40"/>
      <c r="Q21" s="40"/>
      <c r="R21" s="40"/>
      <c r="S21" s="44"/>
      <c r="T21" s="29"/>
      <c r="U21" s="29"/>
      <c r="V21" s="29"/>
      <c r="W21" s="29"/>
      <c r="X21" s="29"/>
      <c r="Y21" s="29"/>
      <c r="Z21" s="29"/>
    </row>
    <row r="22" ht="13.5" customHeight="1">
      <c r="A22" s="29"/>
      <c r="B22" s="30"/>
      <c r="C22" s="40"/>
      <c r="D22" s="153">
        <v>3500.0</v>
      </c>
      <c r="E22" s="78">
        <f t="shared" si="1"/>
        <v>280000000</v>
      </c>
      <c r="F22" s="78">
        <f t="shared" si="2"/>
        <v>16470613.12</v>
      </c>
      <c r="G22" s="78">
        <f t="shared" si="5"/>
        <v>205138888.9</v>
      </c>
      <c r="H22" s="78">
        <f t="shared" si="3"/>
        <v>221609502</v>
      </c>
      <c r="I22" s="78">
        <f t="shared" si="4"/>
        <v>58390497.99</v>
      </c>
      <c r="J22" s="40"/>
      <c r="K22" s="40"/>
      <c r="L22" s="40"/>
      <c r="M22" s="40"/>
      <c r="N22" s="40"/>
      <c r="O22" s="40"/>
      <c r="P22" s="40"/>
      <c r="Q22" s="40"/>
      <c r="R22" s="40"/>
      <c r="S22" s="44"/>
      <c r="T22" s="29"/>
      <c r="U22" s="29"/>
      <c r="V22" s="29"/>
      <c r="W22" s="29"/>
      <c r="X22" s="29"/>
      <c r="Y22" s="29"/>
      <c r="Z22" s="29"/>
    </row>
    <row r="23" ht="13.5" customHeight="1">
      <c r="A23" s="29"/>
      <c r="B23" s="30"/>
      <c r="C23" s="570" t="s">
        <v>426</v>
      </c>
      <c r="D23" s="571">
        <f>Mercado!G6</f>
        <v>3600</v>
      </c>
      <c r="E23" s="78">
        <f t="shared" si="1"/>
        <v>288000000</v>
      </c>
      <c r="F23" s="78">
        <f t="shared" si="2"/>
        <v>16470613.12</v>
      </c>
      <c r="G23" s="78">
        <f t="shared" si="5"/>
        <v>211000000</v>
      </c>
      <c r="H23" s="78">
        <f t="shared" si="3"/>
        <v>227470613.1</v>
      </c>
      <c r="I23" s="78">
        <f t="shared" si="4"/>
        <v>60529386.88</v>
      </c>
      <c r="J23" s="40"/>
      <c r="K23" s="40"/>
      <c r="L23" s="40"/>
      <c r="M23" s="40"/>
      <c r="N23" s="40"/>
      <c r="O23" s="40"/>
      <c r="P23" s="40"/>
      <c r="Q23" s="40"/>
      <c r="R23" s="40"/>
      <c r="S23" s="44"/>
      <c r="T23" s="29"/>
      <c r="U23" s="29"/>
      <c r="V23" s="29"/>
      <c r="W23" s="29"/>
      <c r="X23" s="29"/>
      <c r="Y23" s="29"/>
      <c r="Z23" s="29"/>
    </row>
    <row r="24" ht="14.25" customHeight="1">
      <c r="A24" s="29"/>
      <c r="B24" s="3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4"/>
      <c r="T24" s="29"/>
      <c r="U24" s="29"/>
      <c r="V24" s="29"/>
      <c r="W24" s="29"/>
      <c r="X24" s="29"/>
      <c r="Y24" s="29"/>
      <c r="Z24" s="29"/>
    </row>
    <row r="25" ht="13.5" customHeight="1">
      <c r="A25" s="29"/>
      <c r="B25" s="3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4"/>
      <c r="T25" s="29"/>
      <c r="U25" s="29"/>
      <c r="V25" s="29"/>
      <c r="W25" s="29"/>
      <c r="X25" s="29"/>
      <c r="Y25" s="29"/>
      <c r="Z25" s="29"/>
    </row>
    <row r="26" ht="13.5" customHeight="1">
      <c r="A26" s="29"/>
      <c r="B26" s="30"/>
      <c r="C26" s="573" t="s">
        <v>427</v>
      </c>
      <c r="D26" s="574">
        <f>+D18/D23</f>
        <v>0.2141666667</v>
      </c>
      <c r="E26" s="573" t="s">
        <v>428</v>
      </c>
      <c r="F26" s="574">
        <f>+D26*Consideraciones!D9</f>
        <v>2.57</v>
      </c>
      <c r="G26" s="573" t="s">
        <v>429</v>
      </c>
      <c r="H26" s="574">
        <f>+Consideraciones!D10*D26</f>
        <v>78.17083333</v>
      </c>
      <c r="I26" s="573" t="s">
        <v>430</v>
      </c>
      <c r="J26" s="40"/>
      <c r="K26" s="40"/>
      <c r="L26" s="40"/>
      <c r="M26" s="40"/>
      <c r="N26" s="40"/>
      <c r="O26" s="40"/>
      <c r="P26" s="40"/>
      <c r="Q26" s="40"/>
      <c r="R26" s="40"/>
      <c r="S26" s="44"/>
      <c r="T26" s="29"/>
      <c r="U26" s="29"/>
      <c r="V26" s="29"/>
      <c r="W26" s="29"/>
      <c r="X26" s="29"/>
      <c r="Y26" s="29"/>
      <c r="Z26" s="29"/>
    </row>
    <row r="27" ht="14.25" customHeight="1">
      <c r="A27" s="29"/>
      <c r="B27" s="3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4"/>
      <c r="T27" s="29"/>
      <c r="U27" s="29"/>
      <c r="V27" s="29"/>
      <c r="W27" s="29"/>
      <c r="X27" s="29"/>
      <c r="Y27" s="29"/>
      <c r="Z27" s="29"/>
    </row>
    <row r="28" ht="14.25" customHeight="1">
      <c r="A28" s="29"/>
      <c r="B28" s="3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4"/>
      <c r="T28" s="29"/>
      <c r="U28" s="29"/>
      <c r="V28" s="29"/>
      <c r="W28" s="29"/>
      <c r="X28" s="29"/>
      <c r="Y28" s="29"/>
      <c r="Z28" s="29"/>
    </row>
    <row r="29" ht="14.25" customHeight="1">
      <c r="A29" s="29"/>
      <c r="B29" s="30"/>
      <c r="C29" s="282" t="s">
        <v>431</v>
      </c>
      <c r="D29" s="40"/>
      <c r="E29" s="40"/>
      <c r="F29" s="40"/>
      <c r="G29" s="40"/>
      <c r="H29" s="40"/>
      <c r="I29" s="40"/>
      <c r="J29" s="40"/>
      <c r="K29" s="575"/>
      <c r="L29" s="40"/>
      <c r="M29" s="40"/>
      <c r="N29" s="40"/>
      <c r="O29" s="40"/>
      <c r="P29" s="40"/>
      <c r="Q29" s="40"/>
      <c r="R29" s="40"/>
      <c r="S29" s="44"/>
      <c r="T29" s="29"/>
      <c r="U29" s="29"/>
      <c r="V29" s="29"/>
      <c r="W29" s="29"/>
      <c r="X29" s="29"/>
      <c r="Y29" s="29"/>
      <c r="Z29" s="29"/>
    </row>
    <row r="30" ht="14.25" customHeight="1">
      <c r="A30" s="29"/>
      <c r="B30" s="3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4"/>
      <c r="T30" s="29"/>
      <c r="U30" s="29"/>
      <c r="V30" s="29"/>
      <c r="W30" s="29"/>
      <c r="X30" s="29"/>
      <c r="Y30" s="29"/>
      <c r="Z30" s="29"/>
    </row>
    <row r="31" ht="13.5" customHeight="1">
      <c r="A31" s="29"/>
      <c r="B31" s="30"/>
      <c r="C31" s="46"/>
      <c r="D31" s="37" t="s">
        <v>432</v>
      </c>
      <c r="E31" s="78">
        <f>+'Gastos Fijos de Fabricación'!L27+'Gastos de Comercialización'!K43+'Gastos Adm y Finanzas'!F29</f>
        <v>16460613.12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4"/>
      <c r="T31" s="29"/>
      <c r="U31" s="29"/>
      <c r="V31" s="29"/>
      <c r="W31" s="29"/>
      <c r="X31" s="29"/>
      <c r="Y31" s="29"/>
      <c r="Z31" s="29"/>
    </row>
    <row r="32" ht="13.5" customHeight="1">
      <c r="A32" s="29"/>
      <c r="B32" s="30"/>
      <c r="C32" s="46"/>
      <c r="D32" s="37" t="s">
        <v>433</v>
      </c>
      <c r="E32" s="78">
        <f t="shared" ref="E32:E34" si="6">+E6</f>
        <v>80000</v>
      </c>
      <c r="F32" s="40"/>
      <c r="G32" s="561" t="s">
        <v>412</v>
      </c>
      <c r="H32" s="562">
        <f>+E33+E34</f>
        <v>58611.11111</v>
      </c>
      <c r="I32" s="347" t="s">
        <v>413</v>
      </c>
      <c r="J32" s="40"/>
      <c r="K32" s="40"/>
      <c r="L32" s="40"/>
      <c r="M32" s="40"/>
      <c r="N32" s="40"/>
      <c r="O32" s="40"/>
      <c r="P32" s="40"/>
      <c r="Q32" s="40"/>
      <c r="R32" s="40"/>
      <c r="S32" s="44"/>
      <c r="T32" s="29"/>
      <c r="U32" s="29"/>
      <c r="V32" s="29"/>
      <c r="W32" s="29"/>
      <c r="X32" s="29"/>
      <c r="Y32" s="29"/>
      <c r="Z32" s="29"/>
    </row>
    <row r="33" ht="13.5" customHeight="1">
      <c r="A33" s="29"/>
      <c r="B33" s="30"/>
      <c r="C33" s="46"/>
      <c r="D33" s="37" t="s">
        <v>414</v>
      </c>
      <c r="E33" s="78">
        <f t="shared" si="6"/>
        <v>55411.11111</v>
      </c>
      <c r="F33" s="40"/>
      <c r="G33" s="40"/>
      <c r="H33" s="40"/>
      <c r="I33" s="40"/>
      <c r="J33" s="575"/>
      <c r="K33" s="40"/>
      <c r="L33" s="40"/>
      <c r="M33" s="40"/>
      <c r="N33" s="40"/>
      <c r="O33" s="40"/>
      <c r="P33" s="40"/>
      <c r="Q33" s="40"/>
      <c r="R33" s="40"/>
      <c r="S33" s="44"/>
      <c r="T33" s="29"/>
      <c r="U33" s="29"/>
      <c r="V33" s="29"/>
      <c r="W33" s="29"/>
      <c r="X33" s="29"/>
      <c r="Y33" s="29"/>
      <c r="Z33" s="29"/>
    </row>
    <row r="34" ht="13.5" customHeight="1">
      <c r="A34" s="29"/>
      <c r="B34" s="30"/>
      <c r="C34" s="40"/>
      <c r="D34" s="37" t="s">
        <v>415</v>
      </c>
      <c r="E34" s="78">
        <f t="shared" si="6"/>
        <v>3200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4"/>
      <c r="T34" s="29"/>
      <c r="U34" s="29"/>
      <c r="V34" s="29"/>
      <c r="W34" s="29"/>
      <c r="X34" s="29"/>
      <c r="Y34" s="29"/>
      <c r="Z34" s="29"/>
    </row>
    <row r="35" ht="14.25" customHeight="1">
      <c r="A35" s="29"/>
      <c r="B35" s="3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4"/>
      <c r="T35" s="29"/>
      <c r="U35" s="29"/>
      <c r="V35" s="29"/>
      <c r="W35" s="29"/>
      <c r="X35" s="29"/>
      <c r="Y35" s="29"/>
      <c r="Z35" s="29"/>
    </row>
    <row r="36" ht="13.5" customHeight="1">
      <c r="A36" s="29"/>
      <c r="B36" s="30"/>
      <c r="C36" s="40"/>
      <c r="D36" s="347" t="s">
        <v>434</v>
      </c>
      <c r="E36" s="576">
        <f>+E31/(E32-E33-E34)</f>
        <v>769.5871069</v>
      </c>
      <c r="F36" s="347" t="s">
        <v>417</v>
      </c>
      <c r="G36" s="347" t="s">
        <v>418</v>
      </c>
      <c r="H36" s="577">
        <f>+E36*E32</f>
        <v>61566968.55</v>
      </c>
      <c r="I36" s="347" t="s">
        <v>419</v>
      </c>
      <c r="J36" s="40"/>
      <c r="K36" s="40"/>
      <c r="L36" s="40"/>
      <c r="M36" s="40"/>
      <c r="N36" s="40"/>
      <c r="O36" s="40"/>
      <c r="P36" s="40"/>
      <c r="Q36" s="40"/>
      <c r="R36" s="40"/>
      <c r="S36" s="44"/>
      <c r="T36" s="29"/>
      <c r="U36" s="29"/>
      <c r="V36" s="29"/>
      <c r="W36" s="29"/>
      <c r="X36" s="29"/>
      <c r="Y36" s="29"/>
      <c r="Z36" s="29"/>
    </row>
    <row r="37" ht="14.25" customHeight="1">
      <c r="A37" s="29"/>
      <c r="B37" s="3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4"/>
      <c r="T37" s="29"/>
      <c r="U37" s="29"/>
      <c r="V37" s="29"/>
      <c r="W37" s="29"/>
      <c r="X37" s="29"/>
      <c r="Y37" s="29"/>
      <c r="Z37" s="29"/>
    </row>
    <row r="38" ht="14.25" customHeight="1">
      <c r="A38" s="29"/>
      <c r="B38" s="3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4"/>
      <c r="T38" s="29"/>
      <c r="U38" s="29"/>
      <c r="V38" s="29"/>
      <c r="W38" s="29"/>
      <c r="X38" s="29"/>
      <c r="Y38" s="29"/>
      <c r="Z38" s="29"/>
    </row>
    <row r="39" ht="13.5" customHeight="1">
      <c r="A39" s="29"/>
      <c r="B39" s="30"/>
      <c r="C39" s="40"/>
      <c r="D39" s="49" t="s">
        <v>420</v>
      </c>
      <c r="E39" s="49" t="s">
        <v>421</v>
      </c>
      <c r="F39" s="49" t="s">
        <v>422</v>
      </c>
      <c r="G39" s="49" t="s">
        <v>423</v>
      </c>
      <c r="H39" s="49" t="s">
        <v>424</v>
      </c>
      <c r="I39" s="49" t="s">
        <v>425</v>
      </c>
      <c r="J39" s="40"/>
      <c r="K39" s="40"/>
      <c r="L39" s="40"/>
      <c r="M39" s="40"/>
      <c r="N39" s="40"/>
      <c r="O39" s="40"/>
      <c r="P39" s="40"/>
      <c r="Q39" s="40"/>
      <c r="R39" s="40"/>
      <c r="S39" s="44"/>
      <c r="T39" s="29"/>
      <c r="U39" s="29"/>
      <c r="V39" s="29"/>
      <c r="W39" s="29"/>
      <c r="X39" s="29"/>
      <c r="Y39" s="29"/>
      <c r="Z39" s="29"/>
    </row>
    <row r="40" ht="13.5" customHeight="1">
      <c r="A40" s="29"/>
      <c r="B40" s="30"/>
      <c r="C40" s="40"/>
      <c r="D40" s="386">
        <v>0.0</v>
      </c>
      <c r="E40" s="78">
        <f t="shared" ref="E40:E49" si="7">+D40*$E$6</f>
        <v>0</v>
      </c>
      <c r="F40" s="78">
        <f t="shared" ref="F40:F49" si="8">+$E$31</f>
        <v>16460613.12</v>
      </c>
      <c r="G40" s="78">
        <f t="shared" ref="G40:G49" si="9">+D40*$H$32</f>
        <v>0</v>
      </c>
      <c r="H40" s="78">
        <f t="shared" ref="H40:H49" si="10">+G40+F40</f>
        <v>16460613.12</v>
      </c>
      <c r="I40" s="78">
        <f t="shared" ref="I40:I49" si="11">+E40-H40</f>
        <v>-16460613.12</v>
      </c>
      <c r="J40" s="40"/>
      <c r="K40" s="40"/>
      <c r="L40" s="40"/>
      <c r="M40" s="40"/>
      <c r="N40" s="40"/>
      <c r="O40" s="40"/>
      <c r="P40" s="40"/>
      <c r="Q40" s="40"/>
      <c r="R40" s="40"/>
      <c r="S40" s="44"/>
      <c r="T40" s="29"/>
      <c r="U40" s="29"/>
      <c r="V40" s="29"/>
      <c r="W40" s="29"/>
      <c r="X40" s="29"/>
      <c r="Y40" s="29"/>
      <c r="Z40" s="29"/>
    </row>
    <row r="41" ht="13.5" customHeight="1">
      <c r="A41" s="29"/>
      <c r="B41" s="30"/>
      <c r="C41" s="40"/>
      <c r="D41" s="153">
        <v>150.0</v>
      </c>
      <c r="E41" s="78">
        <f t="shared" si="7"/>
        <v>12000000</v>
      </c>
      <c r="F41" s="78">
        <f t="shared" si="8"/>
        <v>16460613.12</v>
      </c>
      <c r="G41" s="78">
        <f t="shared" si="9"/>
        <v>8791666.667</v>
      </c>
      <c r="H41" s="78">
        <f t="shared" si="10"/>
        <v>25252279.79</v>
      </c>
      <c r="I41" s="78">
        <f t="shared" si="11"/>
        <v>-13252279.79</v>
      </c>
      <c r="J41" s="40"/>
      <c r="K41" s="40"/>
      <c r="L41" s="40"/>
      <c r="M41" s="40"/>
      <c r="N41" s="40"/>
      <c r="O41" s="40"/>
      <c r="P41" s="40"/>
      <c r="Q41" s="40"/>
      <c r="R41" s="40"/>
      <c r="S41" s="44"/>
      <c r="T41" s="29"/>
      <c r="U41" s="29"/>
      <c r="V41" s="29"/>
      <c r="W41" s="29"/>
      <c r="X41" s="29"/>
      <c r="Y41" s="29"/>
      <c r="Z41" s="29"/>
    </row>
    <row r="42" ht="13.5" customHeight="1">
      <c r="A42" s="29"/>
      <c r="B42" s="30"/>
      <c r="C42" s="40"/>
      <c r="D42" s="153">
        <v>500.0</v>
      </c>
      <c r="E42" s="78">
        <f t="shared" si="7"/>
        <v>40000000</v>
      </c>
      <c r="F42" s="78">
        <f t="shared" si="8"/>
        <v>16460613.12</v>
      </c>
      <c r="G42" s="78">
        <f t="shared" si="9"/>
        <v>29305555.56</v>
      </c>
      <c r="H42" s="78">
        <f t="shared" si="10"/>
        <v>45766168.68</v>
      </c>
      <c r="I42" s="78">
        <f t="shared" si="11"/>
        <v>-5766168.676</v>
      </c>
      <c r="J42" s="40"/>
      <c r="K42" s="40"/>
      <c r="L42" s="40"/>
      <c r="M42" s="40"/>
      <c r="N42" s="40"/>
      <c r="O42" s="40"/>
      <c r="P42" s="40"/>
      <c r="Q42" s="40"/>
      <c r="R42" s="40"/>
      <c r="S42" s="44"/>
      <c r="T42" s="29"/>
      <c r="U42" s="29"/>
      <c r="V42" s="29"/>
      <c r="W42" s="29"/>
      <c r="X42" s="29"/>
      <c r="Y42" s="29"/>
      <c r="Z42" s="29"/>
    </row>
    <row r="43" ht="13.5" customHeight="1">
      <c r="A43" s="29"/>
      <c r="B43" s="30"/>
      <c r="C43" s="40"/>
      <c r="D43" s="153">
        <v>600.0</v>
      </c>
      <c r="E43" s="78">
        <f t="shared" si="7"/>
        <v>48000000</v>
      </c>
      <c r="F43" s="78">
        <f t="shared" si="8"/>
        <v>16460613.12</v>
      </c>
      <c r="G43" s="78">
        <f t="shared" si="9"/>
        <v>35166666.67</v>
      </c>
      <c r="H43" s="78">
        <f t="shared" si="10"/>
        <v>51627279.79</v>
      </c>
      <c r="I43" s="78">
        <f t="shared" si="11"/>
        <v>-3627279.787</v>
      </c>
      <c r="J43" s="40"/>
      <c r="K43" s="40"/>
      <c r="L43" s="40"/>
      <c r="M43" s="40"/>
      <c r="N43" s="40"/>
      <c r="O43" s="40"/>
      <c r="P43" s="40"/>
      <c r="Q43" s="40"/>
      <c r="R43" s="40"/>
      <c r="S43" s="44"/>
      <c r="T43" s="29"/>
      <c r="U43" s="29"/>
      <c r="V43" s="29"/>
      <c r="W43" s="29"/>
      <c r="X43" s="29"/>
      <c r="Y43" s="29"/>
      <c r="Z43" s="29"/>
    </row>
    <row r="44" ht="13.5" customHeight="1">
      <c r="A44" s="29"/>
      <c r="B44" s="30"/>
      <c r="C44" s="570" t="s">
        <v>434</v>
      </c>
      <c r="D44" s="571">
        <f>ROUNDUP(E36,0)</f>
        <v>770</v>
      </c>
      <c r="E44" s="572">
        <f t="shared" si="7"/>
        <v>61600000</v>
      </c>
      <c r="F44" s="572">
        <f t="shared" si="8"/>
        <v>16460613.12</v>
      </c>
      <c r="G44" s="572">
        <f t="shared" si="9"/>
        <v>45130555.56</v>
      </c>
      <c r="H44" s="572">
        <f t="shared" si="10"/>
        <v>61591168.68</v>
      </c>
      <c r="I44" s="572">
        <f t="shared" si="11"/>
        <v>8831.324444</v>
      </c>
      <c r="J44" s="40"/>
      <c r="K44" s="40"/>
      <c r="L44" s="40"/>
      <c r="M44" s="40"/>
      <c r="N44" s="40"/>
      <c r="O44" s="40"/>
      <c r="P44" s="40"/>
      <c r="Q44" s="40"/>
      <c r="R44" s="40"/>
      <c r="S44" s="44"/>
      <c r="T44" s="29"/>
      <c r="U44" s="29"/>
      <c r="V44" s="29"/>
      <c r="W44" s="29"/>
      <c r="X44" s="29"/>
      <c r="Y44" s="29"/>
      <c r="Z44" s="29"/>
    </row>
    <row r="45" ht="13.5" customHeight="1">
      <c r="A45" s="29"/>
      <c r="B45" s="30"/>
      <c r="C45" s="40"/>
      <c r="D45" s="153">
        <v>890.0</v>
      </c>
      <c r="E45" s="78">
        <f t="shared" si="7"/>
        <v>71200000</v>
      </c>
      <c r="F45" s="78">
        <f t="shared" si="8"/>
        <v>16460613.12</v>
      </c>
      <c r="G45" s="78">
        <f t="shared" si="9"/>
        <v>52163888.89</v>
      </c>
      <c r="H45" s="78">
        <f t="shared" si="10"/>
        <v>68624502.01</v>
      </c>
      <c r="I45" s="78">
        <f t="shared" si="11"/>
        <v>2575497.991</v>
      </c>
      <c r="J45" s="40"/>
      <c r="K45" s="40"/>
      <c r="L45" s="40"/>
      <c r="M45" s="40"/>
      <c r="N45" s="40"/>
      <c r="O45" s="40"/>
      <c r="P45" s="40"/>
      <c r="Q45" s="40"/>
      <c r="R45" s="40"/>
      <c r="S45" s="44"/>
      <c r="T45" s="29"/>
      <c r="U45" s="29"/>
      <c r="V45" s="29"/>
      <c r="W45" s="29"/>
      <c r="X45" s="29"/>
      <c r="Y45" s="29"/>
      <c r="Z45" s="29"/>
    </row>
    <row r="46" ht="13.5" customHeight="1">
      <c r="A46" s="29"/>
      <c r="B46" s="30"/>
      <c r="C46" s="40"/>
      <c r="D46" s="153">
        <v>1000.0</v>
      </c>
      <c r="E46" s="78">
        <f t="shared" si="7"/>
        <v>80000000</v>
      </c>
      <c r="F46" s="78">
        <f t="shared" si="8"/>
        <v>16460613.12</v>
      </c>
      <c r="G46" s="78">
        <f t="shared" si="9"/>
        <v>58611111.11</v>
      </c>
      <c r="H46" s="78">
        <f t="shared" si="10"/>
        <v>75071724.23</v>
      </c>
      <c r="I46" s="78">
        <f t="shared" si="11"/>
        <v>4928275.769</v>
      </c>
      <c r="J46" s="578"/>
      <c r="K46" s="40"/>
      <c r="L46" s="40"/>
      <c r="M46" s="40"/>
      <c r="N46" s="40"/>
      <c r="O46" s="40"/>
      <c r="P46" s="40"/>
      <c r="Q46" s="40"/>
      <c r="R46" s="40"/>
      <c r="S46" s="44"/>
      <c r="T46" s="29"/>
      <c r="U46" s="29"/>
      <c r="V46" s="29"/>
      <c r="W46" s="29"/>
      <c r="X46" s="29"/>
      <c r="Y46" s="29"/>
      <c r="Z46" s="29"/>
    </row>
    <row r="47" ht="13.5" customHeight="1">
      <c r="A47" s="29"/>
      <c r="B47" s="30"/>
      <c r="C47" s="40"/>
      <c r="D47" s="153">
        <v>1500.0</v>
      </c>
      <c r="E47" s="78">
        <f t="shared" si="7"/>
        <v>120000000</v>
      </c>
      <c r="F47" s="78">
        <f t="shared" si="8"/>
        <v>16460613.12</v>
      </c>
      <c r="G47" s="78">
        <f t="shared" si="9"/>
        <v>87916666.67</v>
      </c>
      <c r="H47" s="78">
        <f t="shared" si="10"/>
        <v>104377279.8</v>
      </c>
      <c r="I47" s="78">
        <f t="shared" si="11"/>
        <v>15622720.21</v>
      </c>
      <c r="J47" s="40"/>
      <c r="K47" s="40"/>
      <c r="L47" s="40"/>
      <c r="M47" s="40"/>
      <c r="N47" s="40"/>
      <c r="O47" s="40"/>
      <c r="P47" s="40"/>
      <c r="Q47" s="40"/>
      <c r="R47" s="40"/>
      <c r="S47" s="44"/>
      <c r="T47" s="29"/>
      <c r="U47" s="29"/>
      <c r="V47" s="29"/>
      <c r="W47" s="29"/>
      <c r="X47" s="29"/>
      <c r="Y47" s="29"/>
      <c r="Z47" s="29"/>
    </row>
    <row r="48" ht="13.5" customHeight="1">
      <c r="A48" s="29"/>
      <c r="B48" s="30"/>
      <c r="C48" s="40"/>
      <c r="D48" s="153">
        <v>2500.0</v>
      </c>
      <c r="E48" s="78">
        <f t="shared" si="7"/>
        <v>200000000</v>
      </c>
      <c r="F48" s="78">
        <f t="shared" si="8"/>
        <v>16460613.12</v>
      </c>
      <c r="G48" s="78">
        <f t="shared" si="9"/>
        <v>146527777.8</v>
      </c>
      <c r="H48" s="78">
        <f t="shared" si="10"/>
        <v>162988390.9</v>
      </c>
      <c r="I48" s="78">
        <f t="shared" si="11"/>
        <v>37011609.1</v>
      </c>
      <c r="J48" s="40"/>
      <c r="K48" s="40"/>
      <c r="L48" s="40"/>
      <c r="M48" s="40"/>
      <c r="N48" s="40"/>
      <c r="O48" s="40"/>
      <c r="P48" s="40"/>
      <c r="Q48" s="40"/>
      <c r="R48" s="40"/>
      <c r="S48" s="44"/>
      <c r="T48" s="29"/>
      <c r="U48" s="29"/>
      <c r="V48" s="29"/>
      <c r="W48" s="29"/>
      <c r="X48" s="29"/>
      <c r="Y48" s="29"/>
      <c r="Z48" s="29"/>
    </row>
    <row r="49" ht="13.5" customHeight="1">
      <c r="A49" s="29"/>
      <c r="B49" s="30"/>
      <c r="C49" s="570" t="s">
        <v>426</v>
      </c>
      <c r="D49" s="571">
        <f>Mercado!G6</f>
        <v>3600</v>
      </c>
      <c r="E49" s="78">
        <f t="shared" si="7"/>
        <v>288000000</v>
      </c>
      <c r="F49" s="78">
        <f t="shared" si="8"/>
        <v>16460613.12</v>
      </c>
      <c r="G49" s="78">
        <f t="shared" si="9"/>
        <v>211000000</v>
      </c>
      <c r="H49" s="78">
        <f t="shared" si="10"/>
        <v>227460613.1</v>
      </c>
      <c r="I49" s="78">
        <f t="shared" si="11"/>
        <v>60539386.88</v>
      </c>
      <c r="J49" s="40"/>
      <c r="K49" s="40"/>
      <c r="L49" s="40"/>
      <c r="M49" s="40"/>
      <c r="N49" s="40"/>
      <c r="O49" s="40"/>
      <c r="P49" s="40"/>
      <c r="Q49" s="40"/>
      <c r="R49" s="40"/>
      <c r="S49" s="44"/>
      <c r="T49" s="29"/>
      <c r="U49" s="29"/>
      <c r="V49" s="29"/>
      <c r="W49" s="29"/>
      <c r="X49" s="29"/>
      <c r="Y49" s="29"/>
      <c r="Z49" s="29"/>
    </row>
    <row r="50" ht="14.25" customHeight="1">
      <c r="A50" s="29"/>
      <c r="B50" s="3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4"/>
      <c r="T50" s="29"/>
      <c r="U50" s="29"/>
      <c r="V50" s="29"/>
      <c r="W50" s="29"/>
      <c r="X50" s="29"/>
      <c r="Y50" s="29"/>
      <c r="Z50" s="29"/>
    </row>
    <row r="51" ht="13.5" customHeight="1">
      <c r="A51" s="29"/>
      <c r="B51" s="3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4"/>
      <c r="T51" s="29"/>
      <c r="U51" s="29"/>
      <c r="V51" s="29"/>
      <c r="W51" s="29"/>
      <c r="X51" s="29"/>
      <c r="Y51" s="29"/>
      <c r="Z51" s="29"/>
    </row>
    <row r="52" ht="13.5" customHeight="1">
      <c r="A52" s="29"/>
      <c r="B52" s="30"/>
      <c r="C52" s="573" t="s">
        <v>435</v>
      </c>
      <c r="D52" s="574">
        <f>+D44/D49</f>
        <v>0.2138888889</v>
      </c>
      <c r="E52" s="573" t="s">
        <v>428</v>
      </c>
      <c r="F52" s="574">
        <f>+D52*Consideraciones!D9</f>
        <v>2.566666667</v>
      </c>
      <c r="G52" s="573" t="s">
        <v>429</v>
      </c>
      <c r="H52" s="574">
        <f>+Consideraciones!D10*D52</f>
        <v>78.06944444</v>
      </c>
      <c r="I52" s="573" t="s">
        <v>430</v>
      </c>
      <c r="J52" s="40"/>
      <c r="K52" s="40"/>
      <c r="L52" s="40"/>
      <c r="M52" s="40"/>
      <c r="N52" s="40"/>
      <c r="O52" s="40"/>
      <c r="P52" s="40"/>
      <c r="Q52" s="40"/>
      <c r="R52" s="40"/>
      <c r="S52" s="44"/>
      <c r="T52" s="29"/>
      <c r="U52" s="29"/>
      <c r="V52" s="29"/>
      <c r="W52" s="29"/>
      <c r="X52" s="29"/>
      <c r="Y52" s="29"/>
      <c r="Z52" s="29"/>
    </row>
    <row r="53" ht="15.7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ht="15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printOptions/>
  <pageMargins bottom="0.75" footer="0.0" header="0.0" left="0.7" right="0.7" top="0.75"/>
  <pageSetup orientation="landscape"/>
  <drawing r:id="rId1"/>
</worksheet>
</file>