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imer reactor" sheetId="1" r:id="rId1"/>
    <sheet name="Segundo reactor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U9" i="1" l="1"/>
  <c r="U8" i="1"/>
  <c r="U7" i="1"/>
  <c r="U6" i="1"/>
  <c r="U5" i="1"/>
  <c r="U4" i="1"/>
  <c r="U3" i="1"/>
  <c r="Q5" i="1"/>
  <c r="Q4" i="1"/>
  <c r="Q3" i="1"/>
  <c r="M10" i="1"/>
  <c r="M9" i="1"/>
  <c r="N8" i="1"/>
  <c r="N9" i="1"/>
  <c r="N10" i="1"/>
  <c r="N7" i="1"/>
  <c r="N6" i="1"/>
  <c r="N5" i="1"/>
  <c r="N4" i="1"/>
  <c r="M8" i="1"/>
  <c r="M7" i="1"/>
  <c r="M6" i="1"/>
  <c r="M5" i="1"/>
  <c r="M4" i="1"/>
  <c r="O21" i="1"/>
  <c r="N21" i="1"/>
  <c r="M21" i="1"/>
  <c r="P21" i="1" s="1"/>
  <c r="L19" i="1"/>
  <c r="M17" i="1"/>
  <c r="M16" i="1"/>
  <c r="M19" i="1" s="1"/>
  <c r="E11" i="1"/>
  <c r="J10" i="1" s="1"/>
  <c r="E10" i="1"/>
  <c r="J9" i="1" s="1"/>
  <c r="I9" i="1"/>
  <c r="J8" i="1"/>
  <c r="J7" i="1"/>
  <c r="J6" i="1"/>
  <c r="J5" i="1"/>
  <c r="J4" i="1"/>
  <c r="I10" i="1"/>
  <c r="I8" i="1"/>
  <c r="I7" i="1"/>
  <c r="I6" i="1"/>
  <c r="I5" i="1"/>
  <c r="I4" i="1"/>
  <c r="I13" i="2"/>
  <c r="H13" i="2"/>
  <c r="I12" i="2"/>
  <c r="H12" i="2"/>
  <c r="E11" i="2"/>
  <c r="I11" i="2" s="1"/>
  <c r="D11" i="2"/>
  <c r="H11" i="2" s="1"/>
  <c r="I10" i="2"/>
  <c r="H10" i="2"/>
  <c r="I9" i="2"/>
  <c r="H9" i="2"/>
  <c r="E9" i="2"/>
  <c r="D9" i="2"/>
  <c r="I8" i="2"/>
  <c r="H8" i="2"/>
  <c r="I7" i="2"/>
  <c r="H7" i="2"/>
  <c r="I6" i="2"/>
  <c r="H6" i="2"/>
  <c r="I5" i="2"/>
  <c r="H5" i="2"/>
  <c r="I4" i="2"/>
  <c r="H4" i="2"/>
  <c r="I3" i="2"/>
  <c r="H3" i="2"/>
  <c r="H16" i="2" s="1"/>
  <c r="L24" i="1" l="1"/>
  <c r="N24" i="1" s="1"/>
  <c r="H13" i="1"/>
  <c r="I13" i="1"/>
  <c r="I16" i="2"/>
  <c r="E8" i="1"/>
  <c r="E7" i="1"/>
  <c r="E6" i="1"/>
  <c r="E5" i="1"/>
  <c r="E4" i="1"/>
  <c r="D11" i="1"/>
  <c r="D10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<sst xmlns="http://schemas.openxmlformats.org/spreadsheetml/2006/main" count="81" uniqueCount="36">
  <si>
    <t>A</t>
  </si>
  <si>
    <t>B</t>
  </si>
  <si>
    <t>A*</t>
  </si>
  <si>
    <t>E</t>
  </si>
  <si>
    <t>A* log 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</si>
  <si>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</si>
  <si>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</si>
  <si>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</si>
  <si>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</si>
  <si>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</si>
  <si>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</si>
  <si>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</si>
  <si>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</si>
  <si>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</si>
  <si>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</si>
  <si>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</si>
  <si>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n</t>
  </si>
  <si>
    <t>RWGS</t>
  </si>
  <si>
    <t>Forward</t>
  </si>
  <si>
    <t>Backward</t>
  </si>
  <si>
    <t>MeOH</t>
  </si>
  <si>
    <t>T</t>
  </si>
  <si>
    <t>H2O</t>
  </si>
  <si>
    <t>MET</t>
  </si>
  <si>
    <t>H2</t>
  </si>
  <si>
    <t>CO2</t>
  </si>
  <si>
    <t>K6 calc</t>
  </si>
  <si>
    <t>CO</t>
  </si>
  <si>
    <t>CH4</t>
  </si>
  <si>
    <t>N2</t>
  </si>
  <si>
    <t>Denom</t>
  </si>
  <si>
    <t>Datos</t>
  </si>
  <si>
    <t>Tipo UNISIM</t>
  </si>
  <si>
    <t>Soporte de cálculo</t>
  </si>
  <si>
    <t>Chequeo unisim</t>
  </si>
  <si>
    <t>Datos cargados a UNISIM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</si>
</sst>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1" fontId="0" fillId="0" borderId="11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3" width="9.140625" style="2"/>
    <col min="4" max="4" width="12" style="2" bestFit="1" customWidth="1"/>
    <col min="5" max="8" width="9.140625" style="2"/>
    <col min="9" max="10" width="12" style="2" bestFit="1" customWidth="1"/>
    <col min="11" max="11" width="9.140625" style="2"/>
    <col min="12" max="12" width="9.140625" style="5"/>
    <col min="13" max="14" width="14.5703125" style="2" customWidth="1"/>
    <col min="15" max="15" width="9.140625" style="2"/>
    <col min="16" max="18" width="11.7109375" style="2" customWidth="1"/>
    <col min="19" max="16384" width="9.140625" style="2"/>
  </cols>
  <sheetData>
    <row r="1" spans="1:26" ht="15.75" thickBot="1" x14ac:dyDescent="0.3">
      <c r="L1" s="28" t="s">
        <v>34</v>
      </c>
      <c r="M1" s="29"/>
    </row>
    <row r="2" spans="1:26" ht="15.75" thickBot="1" x14ac:dyDescent="0.3">
      <c r="A2" s="11"/>
      <c r="B2" s="12" t="s">
        <v>31</v>
      </c>
      <c r="C2" s="12"/>
      <c r="D2" s="12" t="s">
        <v>32</v>
      </c>
      <c r="E2" s="13"/>
      <c r="G2" s="26" t="s">
        <v>33</v>
      </c>
      <c r="H2" s="26"/>
      <c r="I2" s="26"/>
      <c r="J2" s="26"/>
    </row>
    <row r="3" spans="1:26" x14ac:dyDescent="0.25">
      <c r="A3" s="14"/>
      <c r="B3" s="3" t="s">
        <v>2</v>
      </c>
      <c r="C3" s="3" t="s">
        <v>1</v>
      </c>
      <c r="D3" s="4" t="s">
        <v>0</v>
      </c>
      <c r="E3" s="15" t="s">
        <v>3</v>
      </c>
      <c r="G3" s="11"/>
      <c r="H3" s="22" t="s">
        <v>16</v>
      </c>
      <c r="I3" s="22"/>
      <c r="J3" s="23"/>
      <c r="L3" s="5" t="s">
        <v>21</v>
      </c>
      <c r="M3" s="2">
        <v>450</v>
      </c>
      <c r="P3" s="2" t="s">
        <v>18</v>
      </c>
      <c r="Q3" s="6">
        <f>M7*T5*T3</f>
        <v>131008.29261834121</v>
      </c>
      <c r="S3" s="2" t="s">
        <v>24</v>
      </c>
      <c r="T3" s="2">
        <v>18.84404014018746</v>
      </c>
      <c r="U3" s="2">
        <f>T3/30</f>
        <v>0.62813467133958201</v>
      </c>
    </row>
    <row r="4" spans="1:26" x14ac:dyDescent="0.25">
      <c r="A4" s="14" t="s">
        <v>5</v>
      </c>
      <c r="B4" s="16">
        <v>30.82</v>
      </c>
      <c r="C4" s="16">
        <v>17197</v>
      </c>
      <c r="D4" s="5">
        <f>B4*EXP(-C4/(8.314*501.57))</f>
        <v>0.49869300609733769</v>
      </c>
      <c r="E4" s="17">
        <f>-C4</f>
        <v>-17197</v>
      </c>
      <c r="G4" s="14" t="s">
        <v>5</v>
      </c>
      <c r="H4" s="16">
        <v>0</v>
      </c>
      <c r="I4" s="24">
        <f>D4^H4</f>
        <v>1</v>
      </c>
      <c r="J4" s="17">
        <f>E4*H4</f>
        <v>0</v>
      </c>
      <c r="L4" s="5" t="s">
        <v>5</v>
      </c>
      <c r="M4" s="9">
        <f>B4*EXP(-C4/8.314*(1/501.57-1/$M$3))</f>
        <v>49.440307208926036</v>
      </c>
      <c r="N4" s="9">
        <f>D4*EXP(-E4/8.314/$M$3)</f>
        <v>49.440307208926065</v>
      </c>
      <c r="P4" s="2" t="s">
        <v>19</v>
      </c>
      <c r="Q4" s="6">
        <f>N7/N9*T8*T9/T3^2</f>
        <v>339.10396309129703</v>
      </c>
      <c r="S4" s="2" t="s">
        <v>27</v>
      </c>
      <c r="T4" s="2">
        <v>10.251928564109731</v>
      </c>
      <c r="U4" s="2">
        <f t="shared" ref="U4:U9" si="0">T4/30</f>
        <v>0.34173095213699101</v>
      </c>
    </row>
    <row r="5" spans="1:26" x14ac:dyDescent="0.25">
      <c r="A5" s="14" t="s">
        <v>6</v>
      </c>
      <c r="B5" s="16">
        <v>558.16999999999996</v>
      </c>
      <c r="C5" s="16">
        <v>124119</v>
      </c>
      <c r="D5" s="5">
        <f t="shared" ref="D5:D8" si="1">B5*EXP(-C5/(8.314*501.57))</f>
        <v>6.6109644726907045E-11</v>
      </c>
      <c r="E5" s="17">
        <f t="shared" ref="E5:E8" si="2">-C5</f>
        <v>-124119</v>
      </c>
      <c r="G5" s="14" t="s">
        <v>6</v>
      </c>
      <c r="H5" s="16">
        <v>0</v>
      </c>
      <c r="I5" s="24">
        <f t="shared" ref="I5:I8" si="3">D5^H5</f>
        <v>1</v>
      </c>
      <c r="J5" s="17">
        <f t="shared" ref="J5:J8" si="4">E5*H5</f>
        <v>0</v>
      </c>
      <c r="L5" s="5" t="s">
        <v>6</v>
      </c>
      <c r="M5" s="9">
        <f t="shared" ref="M5:M8" si="5">B5*EXP(-C5/8.314*(1/501.57-1/$M$3))</f>
        <v>16909.998996144201</v>
      </c>
      <c r="N5" s="9">
        <f t="shared" ref="N5:N7" si="6">D5*EXP(-E5/8.314/$M$3)</f>
        <v>16909.998996144212</v>
      </c>
      <c r="P5" s="2" t="s">
        <v>30</v>
      </c>
      <c r="Q5" s="6">
        <f>(1+N6*T8/T3+N4*T3^0.5+N5*T8)^3</f>
        <v>448258018.52799189</v>
      </c>
      <c r="S5" s="2" t="s">
        <v>25</v>
      </c>
      <c r="T5" s="2">
        <v>0.35868460149790798</v>
      </c>
      <c r="U5" s="2">
        <f t="shared" si="0"/>
        <v>1.19561533832636E-2</v>
      </c>
    </row>
    <row r="6" spans="1:26" x14ac:dyDescent="0.25">
      <c r="A6" s="14" t="s">
        <v>7</v>
      </c>
      <c r="B6" s="16">
        <v>3453.38</v>
      </c>
      <c r="C6" s="16">
        <v>0</v>
      </c>
      <c r="D6" s="5">
        <f t="shared" si="1"/>
        <v>3453.38</v>
      </c>
      <c r="E6" s="17">
        <f t="shared" si="2"/>
        <v>0</v>
      </c>
      <c r="G6" s="14" t="s">
        <v>7</v>
      </c>
      <c r="H6" s="16">
        <v>0</v>
      </c>
      <c r="I6" s="24">
        <f t="shared" si="3"/>
        <v>1</v>
      </c>
      <c r="J6" s="17">
        <f t="shared" si="4"/>
        <v>0</v>
      </c>
      <c r="L6" s="5" t="s">
        <v>7</v>
      </c>
      <c r="M6" s="9">
        <f t="shared" si="5"/>
        <v>3453.38</v>
      </c>
      <c r="N6" s="9">
        <f t="shared" si="6"/>
        <v>3453.38</v>
      </c>
      <c r="S6" s="2" t="s">
        <v>28</v>
      </c>
      <c r="T6" s="2">
        <v>0.15032153321824621</v>
      </c>
      <c r="U6" s="2">
        <f t="shared" si="0"/>
        <v>5.0107177739415398E-3</v>
      </c>
    </row>
    <row r="7" spans="1:26" x14ac:dyDescent="0.25">
      <c r="A7" s="14" t="s">
        <v>8</v>
      </c>
      <c r="B7" s="16">
        <v>7070.34</v>
      </c>
      <c r="C7" s="16">
        <v>36696</v>
      </c>
      <c r="D7" s="5">
        <f t="shared" si="1"/>
        <v>1.0658532489893184</v>
      </c>
      <c r="E7" s="17">
        <f t="shared" si="2"/>
        <v>-36696</v>
      </c>
      <c r="G7" s="14" t="s">
        <v>8</v>
      </c>
      <c r="H7" s="16">
        <v>0</v>
      </c>
      <c r="I7" s="24">
        <f t="shared" si="3"/>
        <v>1</v>
      </c>
      <c r="J7" s="17">
        <f t="shared" si="4"/>
        <v>0</v>
      </c>
      <c r="L7" s="5" t="s">
        <v>8</v>
      </c>
      <c r="M7" s="9">
        <f t="shared" si="5"/>
        <v>19382.600005287022</v>
      </c>
      <c r="N7" s="9">
        <f t="shared" si="6"/>
        <v>19382.600005287044</v>
      </c>
      <c r="S7" s="2" t="s">
        <v>29</v>
      </c>
      <c r="T7" s="2">
        <v>0.330707373115392</v>
      </c>
      <c r="U7" s="2">
        <f t="shared" si="0"/>
        <v>1.1023579103846401E-2</v>
      </c>
    </row>
    <row r="8" spans="1:26" x14ac:dyDescent="0.25">
      <c r="A8" s="14" t="s">
        <v>9</v>
      </c>
      <c r="B8" s="16">
        <v>1.65</v>
      </c>
      <c r="C8" s="16">
        <v>-94765</v>
      </c>
      <c r="D8" s="5">
        <f t="shared" si="1"/>
        <v>12214703019.324699</v>
      </c>
      <c r="E8" s="17">
        <f t="shared" si="2"/>
        <v>94765</v>
      </c>
      <c r="G8" s="14" t="s">
        <v>9</v>
      </c>
      <c r="H8" s="16">
        <v>1</v>
      </c>
      <c r="I8" s="24">
        <f t="shared" si="3"/>
        <v>12214703019.324699</v>
      </c>
      <c r="J8" s="17">
        <f t="shared" si="4"/>
        <v>94765</v>
      </c>
      <c r="L8" s="5" t="s">
        <v>9</v>
      </c>
      <c r="M8" s="9">
        <f t="shared" si="5"/>
        <v>0.12202556367400637</v>
      </c>
      <c r="N8" s="9">
        <f>D8*EXP(-E8/8.314/$M$3)</f>
        <v>0.12202556367400591</v>
      </c>
      <c r="S8" s="2" t="s">
        <v>22</v>
      </c>
      <c r="T8" s="2">
        <v>3.2158893935643598E-2</v>
      </c>
      <c r="U8" s="2">
        <f t="shared" si="0"/>
        <v>1.07196313118812E-3</v>
      </c>
    </row>
    <row r="9" spans="1:26" x14ac:dyDescent="0.25">
      <c r="A9" s="14"/>
      <c r="B9" s="3" t="s">
        <v>4</v>
      </c>
      <c r="C9" s="3" t="s">
        <v>1</v>
      </c>
      <c r="D9" s="4" t="s">
        <v>0</v>
      </c>
      <c r="E9" s="15" t="s">
        <v>3</v>
      </c>
      <c r="G9" s="14" t="s">
        <v>10</v>
      </c>
      <c r="H9" s="16">
        <v>0</v>
      </c>
      <c r="I9" s="24">
        <f>D10^H9</f>
        <v>1</v>
      </c>
      <c r="J9" s="17">
        <f>E10*H9</f>
        <v>0</v>
      </c>
      <c r="L9" s="5" t="s">
        <v>10</v>
      </c>
      <c r="M9" s="6">
        <f>10^(B10/$M$3+C10)</f>
        <v>1.6646898568443104E-4</v>
      </c>
      <c r="N9" s="6">
        <f>D10*EXP(-E10/8.314/$M$3)</f>
        <v>1.6646898568443107E-4</v>
      </c>
      <c r="S9" s="2" t="s">
        <v>23</v>
      </c>
      <c r="T9" s="2">
        <v>3.2158893935643598E-2</v>
      </c>
      <c r="U9" s="2">
        <f t="shared" si="0"/>
        <v>1.07196313118812E-3</v>
      </c>
    </row>
    <row r="10" spans="1:26" ht="15.75" thickBot="1" x14ac:dyDescent="0.3">
      <c r="A10" s="14" t="s">
        <v>10</v>
      </c>
      <c r="B10" s="16">
        <v>3066</v>
      </c>
      <c r="C10" s="16">
        <v>-10.592000000000001</v>
      </c>
      <c r="D10" s="5">
        <f>EXP(C10*LN(10))</f>
        <v>2.5585858869056375E-11</v>
      </c>
      <c r="E10" s="17">
        <f>-B10*LN(10)*8.314</f>
        <v>-58694.561092025557</v>
      </c>
      <c r="G10" s="18" t="s">
        <v>11</v>
      </c>
      <c r="H10" s="19">
        <v>1</v>
      </c>
      <c r="I10" s="25">
        <f>D11^H10</f>
        <v>9.3540567414755159E-3</v>
      </c>
      <c r="J10" s="21">
        <f>E11*H10</f>
        <v>-39684.874476115132</v>
      </c>
      <c r="L10" s="5" t="s">
        <v>11</v>
      </c>
      <c r="M10" s="9">
        <f>10^(B11/$M$3+C11)</f>
        <v>378.15223074076243</v>
      </c>
      <c r="N10" s="9">
        <f>D11*EXP(-E11/8.314/$M$3)</f>
        <v>378.15223074076277</v>
      </c>
    </row>
    <row r="11" spans="1:26" ht="15.75" thickBot="1" x14ac:dyDescent="0.3">
      <c r="A11" s="18" t="s">
        <v>11</v>
      </c>
      <c r="B11" s="19">
        <v>2073</v>
      </c>
      <c r="C11" s="19">
        <v>-2.0289999999999999</v>
      </c>
      <c r="D11" s="20">
        <f>EXP(C11*LN(10))</f>
        <v>9.3540567414755159E-3</v>
      </c>
      <c r="E11" s="21">
        <f>-B11*LN(10)*8.314</f>
        <v>-39684.874476115132</v>
      </c>
      <c r="F11" s="8"/>
      <c r="I11" s="6"/>
      <c r="M11" s="9"/>
      <c r="N11" s="9"/>
    </row>
    <row r="12" spans="1:26" x14ac:dyDescent="0.25">
      <c r="H12" s="11" t="s">
        <v>0</v>
      </c>
      <c r="I12" s="23" t="s">
        <v>3</v>
      </c>
      <c r="T12" s="2">
        <v>0.62813467133958201</v>
      </c>
      <c r="U12" s="2">
        <v>0.34173095213699101</v>
      </c>
      <c r="V12" s="2">
        <v>1.19561533832636E-2</v>
      </c>
      <c r="W12" s="2">
        <v>5.0107177739415398E-3</v>
      </c>
      <c r="X12" s="2">
        <v>1.1023579103846401E-2</v>
      </c>
      <c r="Y12" s="2">
        <v>1.07196313118812E-3</v>
      </c>
      <c r="Z12" s="2">
        <v>1.07196313118812E-3</v>
      </c>
    </row>
    <row r="13" spans="1:26" ht="15.75" thickBot="1" x14ac:dyDescent="0.3">
      <c r="H13" s="18">
        <f>PRODUCT(I4:I10)</f>
        <v>114257025.12303555</v>
      </c>
      <c r="I13" s="21">
        <f>SUM(J4:J10)</f>
        <v>55080.125523884868</v>
      </c>
      <c r="L13" s="5" t="s">
        <v>24</v>
      </c>
      <c r="M13" s="2" t="s">
        <v>27</v>
      </c>
      <c r="N13" s="2" t="s">
        <v>25</v>
      </c>
      <c r="O13" s="2" t="s">
        <v>28</v>
      </c>
      <c r="P13" s="2" t="s">
        <v>29</v>
      </c>
      <c r="Q13" s="2" t="s">
        <v>22</v>
      </c>
    </row>
    <row r="14" spans="1:26" ht="15.75" thickBot="1" x14ac:dyDescent="0.3">
      <c r="B14" s="30" t="s">
        <v>35</v>
      </c>
      <c r="C14" s="31"/>
      <c r="D14" s="31"/>
      <c r="E14" s="32"/>
      <c r="I14" s="6"/>
      <c r="L14" s="5">
        <v>0.62813467133958201</v>
      </c>
      <c r="M14" s="2">
        <v>0.34173095213699101</v>
      </c>
      <c r="N14" s="6">
        <v>1.19561533832636E-2</v>
      </c>
      <c r="O14" s="2">
        <v>5.0107177739415398E-3</v>
      </c>
      <c r="P14" s="2">
        <v>1.1023579103846401E-2</v>
      </c>
      <c r="Q14" s="6">
        <v>1.07196313118812E-3</v>
      </c>
    </row>
    <row r="15" spans="1:26" x14ac:dyDescent="0.25">
      <c r="A15" s="11"/>
      <c r="B15" s="33" t="s">
        <v>17</v>
      </c>
      <c r="C15" s="12"/>
      <c r="D15" s="12" t="s">
        <v>20</v>
      </c>
      <c r="E15" s="13"/>
    </row>
    <row r="16" spans="1:26" x14ac:dyDescent="0.25">
      <c r="A16" s="14"/>
      <c r="B16" s="14" t="s">
        <v>18</v>
      </c>
      <c r="C16" s="16" t="s">
        <v>19</v>
      </c>
      <c r="D16" s="16" t="s">
        <v>18</v>
      </c>
      <c r="E16" s="17" t="s">
        <v>19</v>
      </c>
      <c r="L16" s="27" t="s">
        <v>26</v>
      </c>
      <c r="M16" s="6" t="e">
        <f>(Q14*#REF!)/(30^2*L14^3*N14)</f>
        <v>#REF!</v>
      </c>
    </row>
    <row r="17" spans="1:16" x14ac:dyDescent="0.25">
      <c r="A17" s="14" t="s">
        <v>0</v>
      </c>
      <c r="B17" s="14">
        <v>12214703019.324699</v>
      </c>
      <c r="C17" s="16">
        <v>114257025.12303555</v>
      </c>
      <c r="D17" s="16">
        <v>1.0658532489893184</v>
      </c>
      <c r="E17" s="17">
        <v>41657903861.822868</v>
      </c>
      <c r="M17" s="6">
        <f>D10*EXP(-E10/(8.314*450))</f>
        <v>1.6646898568443107E-4</v>
      </c>
    </row>
    <row r="18" spans="1:16" ht="15.75" thickBot="1" x14ac:dyDescent="0.3">
      <c r="A18" s="18" t="s">
        <v>3</v>
      </c>
      <c r="B18" s="18">
        <v>94765</v>
      </c>
      <c r="C18" s="19">
        <v>55080.125523884868</v>
      </c>
      <c r="D18" s="19">
        <v>-36696</v>
      </c>
      <c r="E18" s="21">
        <v>21998.561092025557</v>
      </c>
    </row>
    <row r="19" spans="1:16" x14ac:dyDescent="0.25">
      <c r="L19" s="27">
        <f>D7*EXP(-E7/(8.314*450))*30^2*N14*L14</f>
        <v>131008.29261834112</v>
      </c>
      <c r="M19" s="7" t="e">
        <f>1-1/M17*M16</f>
        <v>#REF!</v>
      </c>
    </row>
    <row r="21" spans="1:16" x14ac:dyDescent="0.25">
      <c r="L21" s="5">
        <v>1</v>
      </c>
      <c r="M21" s="6">
        <f>D6*Q14/L14</f>
        <v>5.8934750888493976</v>
      </c>
      <c r="N21" s="2">
        <f>D4*EXP(-E4/8.314/450)*(30*L14)^0.5</f>
        <v>214.61900199510239</v>
      </c>
      <c r="O21" s="6">
        <f>D5*EXP(-E5/8.314/450)*30*Q14</f>
        <v>543.80686416884146</v>
      </c>
      <c r="P21" s="2">
        <f>SUM(L21:O21)^3</f>
        <v>448258018.52799189</v>
      </c>
    </row>
    <row r="24" spans="1:16" x14ac:dyDescent="0.25">
      <c r="H24" s="6"/>
      <c r="L24" s="27">
        <f>L19/P21</f>
        <v>2.9226090154182077E-4</v>
      </c>
      <c r="N24" s="6">
        <f>1/L24</f>
        <v>3421.6003397118998</v>
      </c>
    </row>
    <row r="25" spans="1:16" x14ac:dyDescent="0.25">
      <c r="H25" s="6"/>
    </row>
    <row r="26" spans="1:16" x14ac:dyDescent="0.25">
      <c r="H26" s="6"/>
    </row>
    <row r="27" spans="1:16" x14ac:dyDescent="0.25">
      <c r="H27" s="6"/>
    </row>
    <row r="28" spans="1:16" x14ac:dyDescent="0.25">
      <c r="H28" s="6"/>
    </row>
  </sheetData>
  <mergeCells count="7">
    <mergeCell ref="L1:M1"/>
    <mergeCell ref="B15:C15"/>
    <mergeCell ref="D15:E15"/>
    <mergeCell ref="B14:E14"/>
    <mergeCell ref="B2:C2"/>
    <mergeCell ref="D2:E2"/>
    <mergeCell ref="G2:J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6"/>
  <sheetViews>
    <sheetView workbookViewId="0">
      <selection activeCell="E16" sqref="E16"/>
    </sheetView>
  </sheetViews>
  <sheetFormatPr baseColWidth="10" defaultColWidth="11.28515625" defaultRowHeight="15" x14ac:dyDescent="0.25"/>
  <sheetData>
    <row r="1" spans="3:9" ht="15.75" thickBot="1" x14ac:dyDescent="0.3">
      <c r="D1" s="26" t="s">
        <v>32</v>
      </c>
      <c r="E1" s="26"/>
      <c r="G1" s="10" t="s">
        <v>33</v>
      </c>
      <c r="H1" s="10"/>
      <c r="I1" s="10"/>
    </row>
    <row r="2" spans="3:9" x14ac:dyDescent="0.25">
      <c r="C2" s="34"/>
      <c r="D2" s="35" t="s">
        <v>0</v>
      </c>
      <c r="E2" s="36" t="s">
        <v>3</v>
      </c>
      <c r="G2" s="34" t="s">
        <v>16</v>
      </c>
      <c r="H2" s="35"/>
      <c r="I2" s="36"/>
    </row>
    <row r="3" spans="3:9" x14ac:dyDescent="0.25">
      <c r="C3" s="37" t="s">
        <v>5</v>
      </c>
      <c r="D3" s="38">
        <v>2.5999999999999998E-4</v>
      </c>
      <c r="E3" s="39">
        <v>-56.78</v>
      </c>
      <c r="G3" s="37">
        <v>0</v>
      </c>
      <c r="H3" s="38">
        <f t="shared" ref="H3:H13" si="0">D3^G3</f>
        <v>1</v>
      </c>
      <c r="I3" s="39">
        <f t="shared" ref="I3:I13" si="1">E3*G3</f>
        <v>0</v>
      </c>
    </row>
    <row r="4" spans="3:9" x14ac:dyDescent="0.25">
      <c r="C4" s="37" t="s">
        <v>6</v>
      </c>
      <c r="D4" s="38">
        <v>1.4229999999999999E-5</v>
      </c>
      <c r="E4" s="39">
        <v>-60.32</v>
      </c>
      <c r="G4" s="37">
        <v>1</v>
      </c>
      <c r="H4" s="38">
        <f t="shared" si="0"/>
        <v>1.4229999999999999E-5</v>
      </c>
      <c r="I4" s="39">
        <f t="shared" si="1"/>
        <v>-60.32</v>
      </c>
    </row>
    <row r="5" spans="3:9" x14ac:dyDescent="0.25">
      <c r="C5" s="37" t="s">
        <v>7</v>
      </c>
      <c r="D5" s="38">
        <v>5.5000000000000003E-7</v>
      </c>
      <c r="E5" s="39">
        <v>-86.45</v>
      </c>
      <c r="G5" s="37">
        <v>0</v>
      </c>
      <c r="H5" s="38">
        <f t="shared" si="0"/>
        <v>1</v>
      </c>
      <c r="I5" s="39">
        <f t="shared" si="1"/>
        <v>0</v>
      </c>
    </row>
    <row r="6" spans="3:9" x14ac:dyDescent="0.25">
      <c r="C6" s="37" t="s">
        <v>8</v>
      </c>
      <c r="D6" s="38">
        <v>15000000</v>
      </c>
      <c r="E6" s="39">
        <v>86</v>
      </c>
      <c r="G6" s="37">
        <v>0</v>
      </c>
      <c r="H6" s="38">
        <f t="shared" si="0"/>
        <v>1</v>
      </c>
      <c r="I6" s="39">
        <f t="shared" si="1"/>
        <v>0</v>
      </c>
    </row>
    <row r="7" spans="3:9" x14ac:dyDescent="0.25">
      <c r="C7" s="37" t="s">
        <v>9</v>
      </c>
      <c r="D7" s="38">
        <v>350</v>
      </c>
      <c r="E7" s="39">
        <v>46</v>
      </c>
      <c r="G7" s="37">
        <v>0</v>
      </c>
      <c r="H7" s="38">
        <f t="shared" si="0"/>
        <v>1</v>
      </c>
      <c r="I7" s="39">
        <f t="shared" si="1"/>
        <v>0</v>
      </c>
    </row>
    <row r="8" spans="3:9" x14ac:dyDescent="0.25">
      <c r="C8" s="37" t="s">
        <v>10</v>
      </c>
      <c r="D8" s="38">
        <v>190000</v>
      </c>
      <c r="E8" s="39">
        <v>77</v>
      </c>
      <c r="G8" s="37">
        <v>0</v>
      </c>
      <c r="H8" s="38">
        <f t="shared" si="0"/>
        <v>1</v>
      </c>
      <c r="I8" s="39">
        <f t="shared" si="1"/>
        <v>0</v>
      </c>
    </row>
    <row r="9" spans="3:9" x14ac:dyDescent="0.25">
      <c r="C9" s="37" t="s">
        <v>11</v>
      </c>
      <c r="D9" s="40">
        <f>EXP(-2.2158)</f>
        <v>0.10906622635687724</v>
      </c>
      <c r="E9" s="39">
        <f>-2606.8/8.314</f>
        <v>-313.54342073610781</v>
      </c>
      <c r="G9" s="37">
        <v>0</v>
      </c>
      <c r="H9" s="38">
        <f t="shared" si="0"/>
        <v>1</v>
      </c>
      <c r="I9" s="39">
        <f t="shared" si="1"/>
        <v>0</v>
      </c>
    </row>
    <row r="10" spans="3:9" x14ac:dyDescent="0.25">
      <c r="C10" s="37" t="s">
        <v>12</v>
      </c>
      <c r="D10" s="38">
        <v>4.2599999999999999E-6</v>
      </c>
      <c r="E10" s="39">
        <v>46.5</v>
      </c>
      <c r="G10" s="37">
        <v>0</v>
      </c>
      <c r="H10" s="38">
        <f t="shared" si="0"/>
        <v>1</v>
      </c>
      <c r="I10" s="39">
        <f t="shared" si="1"/>
        <v>0</v>
      </c>
    </row>
    <row r="11" spans="3:9" x14ac:dyDescent="0.25">
      <c r="C11" s="37" t="s">
        <v>13</v>
      </c>
      <c r="D11" s="40">
        <f>EXP(-20.416)</f>
        <v>1.3597023791601456E-9</v>
      </c>
      <c r="E11" s="39">
        <f>-9346.8/8.314</f>
        <v>-1124.2242001443349</v>
      </c>
      <c r="G11" s="37">
        <v>0</v>
      </c>
      <c r="H11" s="38">
        <f t="shared" si="0"/>
        <v>1</v>
      </c>
      <c r="I11" s="39">
        <f t="shared" si="1"/>
        <v>0</v>
      </c>
    </row>
    <row r="12" spans="3:9" x14ac:dyDescent="0.25">
      <c r="C12" s="37" t="s">
        <v>14</v>
      </c>
      <c r="D12" s="38">
        <v>4.9999999999999998E-7</v>
      </c>
      <c r="E12" s="39">
        <v>-96.72</v>
      </c>
      <c r="G12" s="37">
        <v>1</v>
      </c>
      <c r="H12" s="38">
        <f t="shared" si="0"/>
        <v>4.9999999999999998E-7</v>
      </c>
      <c r="I12" s="39">
        <f t="shared" si="1"/>
        <v>-96.72</v>
      </c>
    </row>
    <row r="13" spans="3:9" ht="15.75" thickBot="1" x14ac:dyDescent="0.3">
      <c r="C13" s="41" t="s">
        <v>15</v>
      </c>
      <c r="D13" s="42">
        <v>613000</v>
      </c>
      <c r="E13" s="43">
        <v>98.73</v>
      </c>
      <c r="G13" s="41">
        <v>0</v>
      </c>
      <c r="H13" s="42">
        <f t="shared" si="0"/>
        <v>1</v>
      </c>
      <c r="I13" s="43">
        <f t="shared" si="1"/>
        <v>0</v>
      </c>
    </row>
    <row r="15" spans="3:9" x14ac:dyDescent="0.25">
      <c r="H15" t="s">
        <v>0</v>
      </c>
      <c r="I15" t="s">
        <v>3</v>
      </c>
    </row>
    <row r="16" spans="3:9" x14ac:dyDescent="0.25">
      <c r="H16" s="1">
        <f>PRODUCT(H3:H13)</f>
        <v>7.1149999999999995E-12</v>
      </c>
      <c r="I16">
        <f>SUM(I3:I13)</f>
        <v>-157.04</v>
      </c>
    </row>
  </sheetData>
  <mergeCells count="2">
    <mergeCell ref="D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reactor</vt:lpstr>
      <vt:lpstr>Segundo reactor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2020-05-10T18:23:00Z</dcterms:modified>
</cp:coreProperties>
</file>