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or\Desktop\TP Diseño\03. TP3\"/>
    </mc:Choice>
  </mc:AlternateContent>
  <xr:revisionPtr revIDLastSave="0" documentId="13_ncr:1_{453FAD35-9A02-448D-8D1A-278D1447836D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Calores Requeridos" sheetId="1" r:id="rId1"/>
    <sheet name="Fcp" sheetId="2" r:id="rId2"/>
    <sheet name="Intervalos" sheetId="4" r:id="rId3"/>
    <sheet name="IDQ (RED 1)" sheetId="9" r:id="rId4"/>
    <sheet name="H - T" sheetId="6" r:id="rId5"/>
    <sheet name="Gran C Comp" sheetId="8" r:id="rId6"/>
    <sheet name="Cascadas" sheetId="5" r:id="rId7"/>
    <sheet name="Recuperación de Trabajo" sheetId="7" r:id="rId8"/>
  </sheets>
  <definedNames>
    <definedName name="_xlnm._FilterDatabase" localSheetId="0" hidden="1">'Calores Requeridos'!$B$2:$H$2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9" l="1"/>
  <c r="K14" i="9"/>
  <c r="L12" i="9"/>
  <c r="H31" i="9"/>
  <c r="G31" i="9"/>
  <c r="H30" i="9"/>
  <c r="G30" i="9"/>
  <c r="D30" i="9"/>
  <c r="U68" i="9"/>
  <c r="Q69" i="9"/>
  <c r="T69" i="9"/>
  <c r="U69" i="9"/>
  <c r="U70" i="9"/>
  <c r="T70" i="9"/>
  <c r="U65" i="9"/>
  <c r="S64" i="9"/>
  <c r="S65" i="9" s="1"/>
  <c r="K11" i="9"/>
  <c r="K10" i="9"/>
  <c r="U61" i="9"/>
  <c r="T61" i="9"/>
  <c r="U58" i="9"/>
  <c r="S57" i="9"/>
  <c r="S58" i="9" s="1"/>
  <c r="U54" i="9"/>
  <c r="T54" i="9"/>
  <c r="U51" i="9"/>
  <c r="Q54" i="9" s="1"/>
  <c r="S50" i="9"/>
  <c r="S51" i="9" s="1"/>
  <c r="U47" i="9"/>
  <c r="T47" i="9"/>
  <c r="U44" i="9"/>
  <c r="S43" i="9"/>
  <c r="S44" i="9" s="1"/>
  <c r="U40" i="9"/>
  <c r="T40" i="9"/>
  <c r="U33" i="9"/>
  <c r="U37" i="9"/>
  <c r="S36" i="9"/>
  <c r="S37" i="9" s="1"/>
  <c r="T33" i="9"/>
  <c r="U30" i="9"/>
  <c r="Q33" i="9" s="1"/>
  <c r="K6" i="9" s="1"/>
  <c r="L6" i="9" s="1"/>
  <c r="S29" i="9"/>
  <c r="S30" i="9" s="1"/>
  <c r="T26" i="9"/>
  <c r="U26" i="9"/>
  <c r="U23" i="9"/>
  <c r="S22" i="9"/>
  <c r="S23" i="9" s="1"/>
  <c r="T19" i="9"/>
  <c r="U19" i="9"/>
  <c r="U16" i="9"/>
  <c r="S15" i="9"/>
  <c r="S16" i="9" s="1"/>
  <c r="L18" i="9"/>
  <c r="L17" i="9"/>
  <c r="L16" i="9"/>
  <c r="L15" i="9"/>
  <c r="L14" i="9"/>
  <c r="L13" i="9"/>
  <c r="L11" i="9"/>
  <c r="L7" i="9"/>
  <c r="U12" i="9"/>
  <c r="T12" i="9"/>
  <c r="I3" i="9"/>
  <c r="J3" i="9" s="1"/>
  <c r="I18" i="9"/>
  <c r="J18" i="9" s="1"/>
  <c r="H60" i="9"/>
  <c r="G60" i="9"/>
  <c r="D63" i="9" s="1"/>
  <c r="D60" i="9"/>
  <c r="F60" i="9"/>
  <c r="E60" i="9"/>
  <c r="E64" i="9" s="1"/>
  <c r="I6" i="9"/>
  <c r="J6" i="9" s="1"/>
  <c r="H44" i="9"/>
  <c r="I15" i="9"/>
  <c r="D44" i="9"/>
  <c r="E44" i="9"/>
  <c r="F44" i="9"/>
  <c r="G44" i="9"/>
  <c r="E43" i="9"/>
  <c r="E48" i="9" s="1"/>
  <c r="F43" i="9"/>
  <c r="I7" i="9"/>
  <c r="D43" i="9"/>
  <c r="H43" i="9"/>
  <c r="G43" i="9"/>
  <c r="I14" i="9"/>
  <c r="I16" i="9"/>
  <c r="J16" i="9" s="1"/>
  <c r="E36" i="9"/>
  <c r="E34" i="9"/>
  <c r="D34" i="9"/>
  <c r="D31" i="9"/>
  <c r="E31" i="9"/>
  <c r="F31" i="9"/>
  <c r="I17" i="9"/>
  <c r="J17" i="9" s="1"/>
  <c r="F34" i="9"/>
  <c r="U9" i="9"/>
  <c r="Q12" i="9" s="1"/>
  <c r="K3" i="9" s="1"/>
  <c r="L3" i="9" s="1"/>
  <c r="S8" i="9"/>
  <c r="S9" i="9" s="1"/>
  <c r="D64" i="9"/>
  <c r="J10" i="9"/>
  <c r="H57" i="9"/>
  <c r="F57" i="9"/>
  <c r="E49" i="9"/>
  <c r="H40" i="9"/>
  <c r="F40" i="9"/>
  <c r="J4" i="9"/>
  <c r="J5" i="9"/>
  <c r="J8" i="9"/>
  <c r="J9" i="9"/>
  <c r="J11" i="9"/>
  <c r="J12" i="9"/>
  <c r="J13" i="9"/>
  <c r="H27" i="9"/>
  <c r="F27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3" i="9"/>
  <c r="F26" i="9"/>
  <c r="Q70" i="9" l="1"/>
  <c r="Q61" i="9"/>
  <c r="L10" i="9"/>
  <c r="Q47" i="9"/>
  <c r="K9" i="9" s="1"/>
  <c r="L9" i="9" s="1"/>
  <c r="Q40" i="9"/>
  <c r="K8" i="9" s="1"/>
  <c r="L8" i="9" s="1"/>
  <c r="Q26" i="9"/>
  <c r="K5" i="9" s="1"/>
  <c r="L5" i="9" s="1"/>
  <c r="Q19" i="9"/>
  <c r="K4" i="9" s="1"/>
  <c r="L4" i="9" s="1"/>
  <c r="F64" i="9"/>
  <c r="E63" i="9"/>
  <c r="F63" i="9" s="1"/>
  <c r="E35" i="9"/>
  <c r="D35" i="9"/>
  <c r="J14" i="9"/>
  <c r="D47" i="9"/>
  <c r="D36" i="9" l="1"/>
  <c r="F36" i="9" s="1"/>
  <c r="T68" i="9"/>
  <c r="Q68" i="9" s="1"/>
  <c r="F35" i="9"/>
  <c r="E47" i="9"/>
  <c r="F47" i="9" s="1"/>
  <c r="D49" i="9" l="1"/>
  <c r="F49" i="9" s="1"/>
  <c r="D48" i="9"/>
  <c r="F48" i="9" s="1"/>
  <c r="J7" i="9"/>
  <c r="J15" i="9"/>
  <c r="J19" i="9" l="1"/>
  <c r="D4" i="8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3" i="8"/>
  <c r="I5" i="8"/>
  <c r="I4" i="8"/>
  <c r="H3" i="8"/>
  <c r="H4" i="8"/>
  <c r="H5" i="8"/>
  <c r="L5" i="6"/>
  <c r="I3" i="8" l="1"/>
  <c r="H6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F21" i="8"/>
  <c r="G21" i="8" s="1"/>
  <c r="F20" i="8"/>
  <c r="G20" i="8" s="1"/>
  <c r="F19" i="8"/>
  <c r="G19" i="8" s="1"/>
  <c r="F18" i="8"/>
  <c r="G18" i="8" s="1"/>
  <c r="F17" i="8"/>
  <c r="G17" i="8" s="1"/>
  <c r="F16" i="8"/>
  <c r="G16" i="8" s="1"/>
  <c r="F15" i="8"/>
  <c r="G15" i="8" s="1"/>
  <c r="F14" i="8"/>
  <c r="G14" i="8" s="1"/>
  <c r="F13" i="8"/>
  <c r="G13" i="8" s="1"/>
  <c r="F12" i="8"/>
  <c r="G12" i="8" s="1"/>
  <c r="F11" i="8"/>
  <c r="G11" i="8" s="1"/>
  <c r="F10" i="8"/>
  <c r="G10" i="8" s="1"/>
  <c r="F9" i="8"/>
  <c r="G9" i="8" s="1"/>
  <c r="F8" i="8"/>
  <c r="G8" i="8" s="1"/>
  <c r="F7" i="8"/>
  <c r="G7" i="8" s="1"/>
  <c r="F6" i="8"/>
  <c r="G6" i="8" s="1"/>
  <c r="F5" i="8"/>
  <c r="G5" i="8" s="1"/>
  <c r="F4" i="8"/>
  <c r="G4" i="8" s="1"/>
  <c r="F3" i="8"/>
  <c r="G3" i="8" s="1"/>
  <c r="K17" i="2"/>
  <c r="K18" i="2"/>
  <c r="K19" i="2"/>
  <c r="K16" i="2"/>
  <c r="K5" i="2"/>
  <c r="K6" i="2"/>
  <c r="K7" i="2"/>
  <c r="K8" i="2"/>
  <c r="K9" i="2"/>
  <c r="K10" i="2"/>
  <c r="K11" i="2"/>
  <c r="K12" i="2"/>
  <c r="K13" i="2"/>
  <c r="K14" i="2"/>
  <c r="K15" i="2"/>
  <c r="K4" i="2"/>
  <c r="F30" i="7" l="1"/>
  <c r="F33" i="7"/>
  <c r="F32" i="7"/>
  <c r="F25" i="7"/>
  <c r="F11" i="7"/>
  <c r="F5" i="7"/>
  <c r="F4" i="7"/>
  <c r="F6" i="7" s="1"/>
  <c r="F8" i="7" s="1"/>
  <c r="F9" i="7" s="1"/>
  <c r="F13" i="7" s="1"/>
  <c r="F14" i="7" s="1"/>
  <c r="F15" i="7" s="1"/>
  <c r="L10" i="6"/>
  <c r="L11" i="6"/>
  <c r="L22" i="6"/>
  <c r="L21" i="6"/>
  <c r="L20" i="6"/>
  <c r="L19" i="6"/>
  <c r="L18" i="6"/>
  <c r="L17" i="6"/>
  <c r="L16" i="6"/>
  <c r="L15" i="6"/>
  <c r="L14" i="6"/>
  <c r="M7" i="6"/>
  <c r="M8" i="6" s="1"/>
  <c r="M9" i="6" s="1"/>
  <c r="M6" i="6"/>
  <c r="M5" i="6"/>
  <c r="L9" i="6"/>
  <c r="L8" i="6"/>
  <c r="L7" i="6"/>
  <c r="L6" i="6"/>
  <c r="P8" i="6"/>
  <c r="P7" i="6"/>
  <c r="P6" i="6"/>
  <c r="P4" i="6"/>
  <c r="Z80" i="5"/>
  <c r="Z77" i="5"/>
  <c r="L13" i="6"/>
  <c r="L12" i="6"/>
  <c r="Q9" i="6"/>
  <c r="P9" i="6"/>
  <c r="Q8" i="6"/>
  <c r="Q7" i="6"/>
  <c r="Q5" i="6"/>
  <c r="Q6" i="6"/>
  <c r="P5" i="6"/>
  <c r="Q4" i="6"/>
  <c r="Z74" i="5"/>
  <c r="Z71" i="5"/>
  <c r="Z68" i="5"/>
  <c r="Z65" i="5"/>
  <c r="Z62" i="5"/>
  <c r="Z59" i="5"/>
  <c r="Z56" i="5"/>
  <c r="Z53" i="5"/>
  <c r="Z50" i="5"/>
  <c r="Z47" i="5"/>
  <c r="Z45" i="5"/>
  <c r="Z42" i="5"/>
  <c r="Z39" i="5"/>
  <c r="Z37" i="5"/>
  <c r="Z34" i="5"/>
  <c r="Z30" i="5"/>
  <c r="Z27" i="5"/>
  <c r="Y29" i="5"/>
  <c r="AC80" i="5"/>
  <c r="Y79" i="5"/>
  <c r="AC77" i="5"/>
  <c r="Y76" i="5"/>
  <c r="AC74" i="5"/>
  <c r="Y73" i="5"/>
  <c r="AC71" i="5"/>
  <c r="Y70" i="5"/>
  <c r="AC68" i="5"/>
  <c r="Y67" i="5"/>
  <c r="AC65" i="5"/>
  <c r="Y64" i="5"/>
  <c r="AC62" i="5"/>
  <c r="Y61" i="5"/>
  <c r="AC59" i="5"/>
  <c r="Y58" i="5"/>
  <c r="AC56" i="5"/>
  <c r="Y55" i="5"/>
  <c r="AC53" i="5"/>
  <c r="Y52" i="5"/>
  <c r="AC50" i="5"/>
  <c r="Y49" i="5"/>
  <c r="AC47" i="5"/>
  <c r="Y46" i="5"/>
  <c r="AC45" i="5"/>
  <c r="Y44" i="5"/>
  <c r="AC42" i="5"/>
  <c r="Y41" i="5"/>
  <c r="AC39" i="5"/>
  <c r="Y38" i="5"/>
  <c r="AC37" i="5"/>
  <c r="Y36" i="5"/>
  <c r="AC34" i="5"/>
  <c r="Y32" i="5"/>
  <c r="AC30" i="5"/>
  <c r="AC27" i="5"/>
  <c r="Y26" i="5"/>
  <c r="AC25" i="5"/>
  <c r="L79" i="5"/>
  <c r="L76" i="5"/>
  <c r="L73" i="5"/>
  <c r="L70" i="5"/>
  <c r="L67" i="5"/>
  <c r="L64" i="5"/>
  <c r="L61" i="5"/>
  <c r="L58" i="5"/>
  <c r="L55" i="5"/>
  <c r="L52" i="5"/>
  <c r="L49" i="5"/>
  <c r="L46" i="5"/>
  <c r="L44" i="5"/>
  <c r="L41" i="5"/>
  <c r="L38" i="5"/>
  <c r="L36" i="5"/>
  <c r="L32" i="5"/>
  <c r="L29" i="5"/>
  <c r="L26" i="5"/>
  <c r="O4" i="6"/>
  <c r="M4" i="6"/>
  <c r="G18" i="6"/>
  <c r="I18" i="6" s="1"/>
  <c r="G17" i="6"/>
  <c r="I17" i="6" s="1"/>
  <c r="G16" i="6"/>
  <c r="I16" i="6" s="1"/>
  <c r="G15" i="6"/>
  <c r="I15" i="6" s="1"/>
  <c r="H14" i="6"/>
  <c r="I14" i="6" s="1"/>
  <c r="G14" i="6"/>
  <c r="G13" i="6"/>
  <c r="I13" i="6" s="1"/>
  <c r="I12" i="6"/>
  <c r="G12" i="6"/>
  <c r="G11" i="6"/>
  <c r="I11" i="6" s="1"/>
  <c r="G10" i="6"/>
  <c r="I10" i="6" s="1"/>
  <c r="G9" i="6"/>
  <c r="I9" i="6" s="1"/>
  <c r="G8" i="6"/>
  <c r="I8" i="6" s="1"/>
  <c r="H7" i="6"/>
  <c r="H19" i="6" s="1"/>
  <c r="G7" i="6"/>
  <c r="G6" i="6"/>
  <c r="I6" i="6" s="1"/>
  <c r="G5" i="6"/>
  <c r="I5" i="6" s="1"/>
  <c r="G4" i="6"/>
  <c r="I4" i="6" s="1"/>
  <c r="G3" i="6"/>
  <c r="I3" i="6" s="1"/>
  <c r="P27" i="5"/>
  <c r="P30" i="5"/>
  <c r="P34" i="5"/>
  <c r="P37" i="5"/>
  <c r="P39" i="5"/>
  <c r="P42" i="5"/>
  <c r="P45" i="5"/>
  <c r="P47" i="5"/>
  <c r="P50" i="5"/>
  <c r="P53" i="5"/>
  <c r="P56" i="5"/>
  <c r="P59" i="5"/>
  <c r="P62" i="5"/>
  <c r="P65" i="5"/>
  <c r="P68" i="5"/>
  <c r="P71" i="5"/>
  <c r="P74" i="5"/>
  <c r="P77" i="5"/>
  <c r="P80" i="5"/>
  <c r="P25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Q23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4" i="2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37" i="4"/>
  <c r="AL38" i="4"/>
  <c r="AL37" i="4"/>
  <c r="C75" i="4"/>
  <c r="AL55" i="4"/>
  <c r="AL54" i="4"/>
  <c r="AL53" i="4"/>
  <c r="AL51" i="4"/>
  <c r="AL50" i="4"/>
  <c r="AL49" i="4"/>
  <c r="AL48" i="4"/>
  <c r="AL46" i="4"/>
  <c r="AL44" i="4"/>
  <c r="AL42" i="4"/>
  <c r="AL41" i="4"/>
  <c r="AL40" i="4"/>
  <c r="AL39" i="4"/>
  <c r="AL43" i="4"/>
  <c r="AL45" i="4"/>
  <c r="AL47" i="4"/>
  <c r="AL52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10" i="4"/>
  <c r="C68" i="4"/>
  <c r="C24" i="4"/>
  <c r="C62" i="4"/>
  <c r="AD60" i="4"/>
  <c r="C39" i="4"/>
  <c r="I8" i="2"/>
  <c r="H15" i="2"/>
  <c r="I15" i="2"/>
  <c r="H13" i="2"/>
  <c r="H14" i="2"/>
  <c r="M10" i="6" l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I7" i="6"/>
  <c r="G19" i="6"/>
  <c r="I19" i="6" s="1"/>
  <c r="E22" i="5"/>
  <c r="AL56" i="4"/>
  <c r="AN26" i="4"/>
  <c r="H17" i="2"/>
  <c r="H18" i="2"/>
  <c r="H19" i="2"/>
  <c r="H16" i="2"/>
  <c r="H5" i="2"/>
  <c r="H6" i="2"/>
  <c r="H7" i="2"/>
  <c r="H8" i="2"/>
  <c r="H9" i="2"/>
  <c r="H10" i="2"/>
  <c r="H11" i="2"/>
  <c r="H12" i="2"/>
  <c r="H4" i="2"/>
  <c r="AD13" i="4"/>
  <c r="AD26" i="4"/>
  <c r="W7" i="4"/>
  <c r="AD5" i="4"/>
  <c r="AD6" i="4"/>
  <c r="AD49" i="4"/>
  <c r="AD50" i="4"/>
  <c r="AD70" i="4"/>
  <c r="AD57" i="4"/>
  <c r="AD35" i="4"/>
  <c r="AD40" i="4"/>
  <c r="AD25" i="4"/>
  <c r="AD52" i="4"/>
  <c r="V7" i="4" l="1"/>
  <c r="V10" i="4" s="1"/>
  <c r="H20" i="2"/>
  <c r="H22" i="2" s="1"/>
  <c r="J19" i="2"/>
  <c r="J14" i="2"/>
  <c r="J13" i="2"/>
  <c r="J12" i="2"/>
  <c r="J11" i="2"/>
  <c r="J10" i="2"/>
  <c r="J16" i="2"/>
  <c r="I20" i="2"/>
  <c r="J7" i="2"/>
  <c r="J6" i="2"/>
  <c r="J9" i="2"/>
  <c r="J15" i="2"/>
  <c r="J17" i="2"/>
  <c r="J18" i="2"/>
  <c r="J5" i="2"/>
  <c r="J4" i="2"/>
  <c r="AL57" i="4" l="1"/>
  <c r="V14" i="4"/>
  <c r="W10" i="4"/>
  <c r="J20" i="2"/>
  <c r="J8" i="2"/>
  <c r="H15" i="1"/>
  <c r="V17" i="4" l="1"/>
  <c r="W14" i="4"/>
  <c r="V20" i="4" l="1"/>
  <c r="W17" i="4"/>
  <c r="V23" i="4" l="1"/>
  <c r="W20" i="4"/>
  <c r="V27" i="4" l="1"/>
  <c r="W23" i="4"/>
  <c r="V30" i="4" l="1"/>
  <c r="W27" i="4"/>
  <c r="V33" i="4" l="1"/>
  <c r="V37" i="4" s="1"/>
  <c r="W37" i="4" s="1"/>
  <c r="W30" i="4"/>
  <c r="W33" i="4" l="1"/>
  <c r="V41" i="4" l="1"/>
  <c r="V44" i="4" l="1"/>
  <c r="W41" i="4"/>
  <c r="V47" i="4" l="1"/>
  <c r="W44" i="4"/>
  <c r="V51" i="4" l="1"/>
  <c r="W47" i="4"/>
  <c r="W51" i="4" l="1"/>
  <c r="V55" i="4"/>
  <c r="V58" i="4" l="1"/>
  <c r="W55" i="4"/>
  <c r="W58" i="4" l="1"/>
  <c r="V61" i="4"/>
  <c r="V65" i="4" l="1"/>
  <c r="W61" i="4"/>
  <c r="W65" i="4" l="1"/>
  <c r="V69" i="4"/>
  <c r="V73" i="4" l="1"/>
  <c r="W69" i="4"/>
  <c r="AD69" i="4" s="1"/>
  <c r="W73" i="4" l="1"/>
  <c r="V76" i="4"/>
  <c r="W76" i="4" s="1"/>
</calcChain>
</file>

<file path=xl/sharedStrings.xml><?xml version="1.0" encoding="utf-8"?>
<sst xmlns="http://schemas.openxmlformats.org/spreadsheetml/2006/main" count="541" uniqueCount="142">
  <si>
    <t>Descripcion</t>
  </si>
  <si>
    <t>Num Corriente</t>
  </si>
  <si>
    <t>Equipo de Simulacion</t>
  </si>
  <si>
    <t>E-100</t>
  </si>
  <si>
    <t>Condicion</t>
  </si>
  <si>
    <t>Caliente</t>
  </si>
  <si>
    <t>Tin (°C)</t>
  </si>
  <si>
    <t>Tout (°C)</t>
  </si>
  <si>
    <t>Q Simulador (kJ/hr)</t>
  </si>
  <si>
    <t>Entrada 1er Reactor</t>
  </si>
  <si>
    <t>E-101</t>
  </si>
  <si>
    <t>Fria</t>
  </si>
  <si>
    <t>Salida R11</t>
  </si>
  <si>
    <t>E-102</t>
  </si>
  <si>
    <t>Salida R12</t>
  </si>
  <si>
    <t>E-103</t>
  </si>
  <si>
    <t>Salida R13</t>
  </si>
  <si>
    <t>E-104</t>
  </si>
  <si>
    <t>E-105</t>
  </si>
  <si>
    <t>Salida K22</t>
  </si>
  <si>
    <t>E-111</t>
  </si>
  <si>
    <t>Salida K21 (Alim. Aire)</t>
  </si>
  <si>
    <t>Salida K11 (Alim. Syngas)</t>
  </si>
  <si>
    <t>Entrada 2do Reactor</t>
  </si>
  <si>
    <t>E-106</t>
  </si>
  <si>
    <t>Salida R21</t>
  </si>
  <si>
    <t>E-107</t>
  </si>
  <si>
    <t>Salida R22</t>
  </si>
  <si>
    <t>E-108</t>
  </si>
  <si>
    <t>Salida R23</t>
  </si>
  <si>
    <t>E-109</t>
  </si>
  <si>
    <t>Salida T-100</t>
  </si>
  <si>
    <t>E-110</t>
  </si>
  <si>
    <t>Total</t>
  </si>
  <si>
    <t>Tramo</t>
  </si>
  <si>
    <r>
      <t xml:space="preserve">T </t>
    </r>
    <r>
      <rPr>
        <b/>
        <vertAlign val="subscript"/>
        <sz val="11"/>
        <color theme="1"/>
        <rFont val="Calibri"/>
        <family val="2"/>
        <scheme val="minor"/>
      </rPr>
      <t>Sup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</si>
  <si>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 xml:space="preserve"> Inf</t>
    </r>
  </si>
  <si>
    <t>FCp</t>
  </si>
  <si>
    <t>Q Calculado</t>
  </si>
  <si>
    <t>Q Simulacion</t>
  </si>
  <si>
    <t>kJ/h °C</t>
  </si>
  <si>
    <t>kJ/h</t>
  </si>
  <si>
    <t>%</t>
  </si>
  <si>
    <t>°C</t>
  </si>
  <si>
    <t xml:space="preserve"> </t>
  </si>
  <si>
    <t>Calientes</t>
  </si>
  <si>
    <t>Frías</t>
  </si>
  <si>
    <t>Totales</t>
  </si>
  <si>
    <t>Int / Corriente</t>
  </si>
  <si>
    <t>T (°C)</t>
  </si>
  <si>
    <t>Delta Int</t>
  </si>
  <si>
    <t>C</t>
  </si>
  <si>
    <t>Intervalo</t>
  </si>
  <si>
    <t>Tsup</t>
  </si>
  <si>
    <t>Tinf</t>
  </si>
  <si>
    <t>Q</t>
  </si>
  <si>
    <t xml:space="preserve"> -</t>
  </si>
  <si>
    <t>Referido a la escala caliente</t>
  </si>
  <si>
    <t>Si o No</t>
  </si>
  <si>
    <t>Fcp</t>
  </si>
  <si>
    <t>10-4 kJ/h</t>
  </si>
  <si>
    <r>
      <t>10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kJ/h</t>
    </r>
  </si>
  <si>
    <t xml:space="preserve"> kJ/h</t>
  </si>
  <si>
    <t>Error Rel</t>
  </si>
  <si>
    <t>Servicio Caliente</t>
  </si>
  <si>
    <t>Servicio Frío</t>
  </si>
  <si>
    <t>H Acum</t>
  </si>
  <si>
    <t>ΔH</t>
  </si>
  <si>
    <t>T Caliente</t>
  </si>
  <si>
    <t>T Fria</t>
  </si>
  <si>
    <t>T</t>
  </si>
  <si>
    <t>Corrientes calientes</t>
  </si>
  <si>
    <t>Corrientes Frias</t>
  </si>
  <si>
    <t>-</t>
  </si>
  <si>
    <t>m</t>
  </si>
  <si>
    <t>kg/s</t>
  </si>
  <si>
    <t>g</t>
  </si>
  <si>
    <t>m/s2</t>
  </si>
  <si>
    <t>H</t>
  </si>
  <si>
    <t>P</t>
  </si>
  <si>
    <t>W</t>
  </si>
  <si>
    <t>P1</t>
  </si>
  <si>
    <t>P2</t>
  </si>
  <si>
    <t>Pa</t>
  </si>
  <si>
    <t>Rho</t>
  </si>
  <si>
    <t>kg/m3</t>
  </si>
  <si>
    <t>Delta P</t>
  </si>
  <si>
    <t>mt</t>
  </si>
  <si>
    <t>Hnet</t>
  </si>
  <si>
    <t>Nu</t>
  </si>
  <si>
    <t>Pot</t>
  </si>
  <si>
    <t>kW</t>
  </si>
  <si>
    <t>Watt</t>
  </si>
  <si>
    <t>kw</t>
  </si>
  <si>
    <t>hp</t>
  </si>
  <si>
    <t>10% de perdida por friccion</t>
  </si>
  <si>
    <t>Consumos de trabajo</t>
  </si>
  <si>
    <t>K11 +K12</t>
  </si>
  <si>
    <t>K13</t>
  </si>
  <si>
    <t>K21</t>
  </si>
  <si>
    <t>K22</t>
  </si>
  <si>
    <t>K23</t>
  </si>
  <si>
    <t>Proporción</t>
  </si>
  <si>
    <t>Turbina</t>
  </si>
  <si>
    <t>Implica vaporizar metanol, circularlo por turbina y condensar parte de metanol para estabilización. Reduce Duty de Calentador de alimentación para 2do reactor. Agrega dos equipos de intercambio de calor (evaporador y condensador).</t>
  </si>
  <si>
    <t>Suponiendo 70% ef</t>
  </si>
  <si>
    <t>(Liquido)</t>
  </si>
  <si>
    <t>(Gas)</t>
  </si>
  <si>
    <t>(liquida)</t>
  </si>
  <si>
    <t>NO SE JUSTIFICA RECUP DE TRABAJO</t>
  </si>
  <si>
    <t>Energía mediante por Trabajo (Liquido)</t>
  </si>
  <si>
    <t>Objetivo</t>
  </si>
  <si>
    <t>Obj de Recup</t>
  </si>
  <si>
    <r>
      <t>Q [10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kJ/h]</t>
    </r>
  </si>
  <si>
    <t>Entalpía Comp</t>
  </si>
  <si>
    <t>Delta Entalpía Comp</t>
  </si>
  <si>
    <t>T Prom</t>
  </si>
  <si>
    <r>
      <t xml:space="preserve">10 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kJ/h</t>
    </r>
  </si>
  <si>
    <t>Abajo del pinch :  FCp H &gt; FCp C</t>
  </si>
  <si>
    <t>Todas las corrientes</t>
  </si>
  <si>
    <t>T In C</t>
  </si>
  <si>
    <t>T Out C</t>
  </si>
  <si>
    <t>T In F</t>
  </si>
  <si>
    <t>T Out F</t>
  </si>
  <si>
    <t>Q int</t>
  </si>
  <si>
    <t>N° Int</t>
  </si>
  <si>
    <t>Coordenada</t>
  </si>
  <si>
    <t>Corr. Fría</t>
  </si>
  <si>
    <t>Corr. Calient.</t>
  </si>
  <si>
    <r>
      <t xml:space="preserve">10 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kJ/h</t>
    </r>
  </si>
  <si>
    <t>10 5 kJ/h °C</t>
  </si>
  <si>
    <r>
      <t>FCp (</t>
    </r>
    <r>
      <rPr>
        <b/>
        <sz val="8"/>
        <color theme="1"/>
        <rFont val="Calibri"/>
        <family val="2"/>
        <scheme val="minor"/>
      </rPr>
      <t>10 5 kJ/h °C)</t>
    </r>
  </si>
  <si>
    <t>Q Restante</t>
  </si>
  <si>
    <t>Q Intercambiado</t>
  </si>
  <si>
    <t>Approach</t>
  </si>
  <si>
    <t>L / L</t>
  </si>
  <si>
    <t>Bajo el Pinch:</t>
  </si>
  <si>
    <t>Cooler</t>
  </si>
  <si>
    <t>Intercambiador</t>
  </si>
  <si>
    <t>Q Cooler</t>
  </si>
  <si>
    <t>Q Residual</t>
  </si>
  <si>
    <t>CANDIDATA VAPOR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</si>
</sst>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79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4" fontId="0" fillId="0" borderId="17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" fontId="0" fillId="0" borderId="2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1" fillId="0" borderId="2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0" fillId="0" borderId="31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/>
    <xf numFmtId="0" fontId="0" fillId="0" borderId="3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18" xfId="0" applyBorder="1" applyAlignment="1">
      <alignment horizontal="center"/>
    </xf>
    <xf numFmtId="4" fontId="0" fillId="0" borderId="0" xfId="0" applyNumberFormat="1"/>
    <xf numFmtId="0" fontId="0" fillId="0" borderId="9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/>
    <xf numFmtId="0" fontId="0" fillId="0" borderId="6" xfId="0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3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0" fillId="0" borderId="49" xfId="0" applyBorder="1" applyAlignment="1">
      <alignment horizontal="center"/>
    </xf>
    <xf numFmtId="1" fontId="0" fillId="0" borderId="5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49" xfId="0" applyNumberFormat="1" applyBorder="1" applyAlignment="1">
      <alignment horizontal="center"/>
    </xf>
    <xf numFmtId="0" fontId="0" fillId="0" borderId="1" xfId="0" applyBorder="1"/>
    <xf numFmtId="0" fontId="1" fillId="0" borderId="52" xfId="0" applyFont="1" applyFill="1" applyBorder="1" applyAlignment="1">
      <alignment horizontal="center" vertical="center" wrapText="1"/>
    </xf>
    <xf numFmtId="0" fontId="0" fillId="0" borderId="54" xfId="0" applyBorder="1"/>
    <xf numFmtId="0" fontId="0" fillId="0" borderId="55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3" borderId="51" xfId="0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31" xfId="0" applyBorder="1" applyAlignment="1">
      <alignment horizontal="center"/>
    </xf>
    <xf numFmtId="0" fontId="1" fillId="0" borderId="5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5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0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2" borderId="31" xfId="0" applyFill="1" applyBorder="1" applyAlignment="1">
      <alignment horizontal="center"/>
    </xf>
    <xf numFmtId="2" fontId="0" fillId="2" borderId="27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68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0" fontId="1" fillId="0" borderId="58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4" borderId="0" xfId="0" applyFill="1"/>
    <xf numFmtId="43" fontId="0" fillId="2" borderId="26" xfId="1" applyFont="1" applyFill="1" applyBorder="1" applyAlignment="1">
      <alignment horizontal="center"/>
    </xf>
    <xf numFmtId="4" fontId="0" fillId="0" borderId="13" xfId="1" applyNumberFormat="1" applyFont="1" applyBorder="1" applyAlignment="1">
      <alignment horizontal="center"/>
    </xf>
    <xf numFmtId="4" fontId="0" fillId="0" borderId="1" xfId="1" applyNumberFormat="1" applyFont="1" applyBorder="1" applyAlignment="1">
      <alignment horizontal="center"/>
    </xf>
    <xf numFmtId="4" fontId="0" fillId="0" borderId="3" xfId="1" applyNumberFormat="1" applyFont="1" applyBorder="1" applyAlignment="1">
      <alignment horizontal="center"/>
    </xf>
    <xf numFmtId="4" fontId="0" fillId="0" borderId="7" xfId="1" applyNumberFormat="1" applyFont="1" applyBorder="1" applyAlignment="1">
      <alignment horizontal="center"/>
    </xf>
    <xf numFmtId="4" fontId="0" fillId="0" borderId="11" xfId="1" applyNumberFormat="1" applyFont="1" applyBorder="1" applyAlignment="1">
      <alignment horizontal="center"/>
    </xf>
    <xf numFmtId="4" fontId="0" fillId="0" borderId="16" xfId="1" applyNumberFormat="1" applyFont="1" applyBorder="1" applyAlignment="1">
      <alignment horizontal="center"/>
    </xf>
    <xf numFmtId="4" fontId="0" fillId="0" borderId="17" xfId="1" applyNumberFormat="1" applyFont="1" applyBorder="1" applyAlignment="1">
      <alignment horizontal="center"/>
    </xf>
    <xf numFmtId="0" fontId="1" fillId="4" borderId="8" xfId="0" applyFont="1" applyFill="1" applyBorder="1" applyAlignment="1">
      <alignment horizontal="left" vertical="center"/>
    </xf>
    <xf numFmtId="0" fontId="0" fillId="4" borderId="9" xfId="0" applyFill="1" applyBorder="1" applyAlignment="1">
      <alignment horizontal="center"/>
    </xf>
    <xf numFmtId="0" fontId="1" fillId="4" borderId="19" xfId="0" applyFont="1" applyFill="1" applyBorder="1" applyAlignment="1">
      <alignment horizontal="left" vertical="center"/>
    </xf>
    <xf numFmtId="0" fontId="0" fillId="4" borderId="2" xfId="0" applyFill="1" applyBorder="1"/>
    <xf numFmtId="0" fontId="0" fillId="4" borderId="24" xfId="0" applyFill="1" applyBorder="1"/>
    <xf numFmtId="0" fontId="0" fillId="4" borderId="43" xfId="0" applyFill="1" applyBorder="1"/>
    <xf numFmtId="0" fontId="0" fillId="4" borderId="0" xfId="0" applyFill="1" applyBorder="1"/>
    <xf numFmtId="0" fontId="1" fillId="4" borderId="27" xfId="0" applyFont="1" applyFill="1" applyBorder="1" applyAlignment="1">
      <alignment horizontal="left" vertical="center"/>
    </xf>
    <xf numFmtId="0" fontId="1" fillId="4" borderId="31" xfId="0" applyFont="1" applyFill="1" applyBorder="1" applyAlignment="1">
      <alignment horizontal="right" vertical="center"/>
    </xf>
    <xf numFmtId="0" fontId="1" fillId="4" borderId="25" xfId="0" applyFont="1" applyFill="1" applyBorder="1" applyAlignment="1">
      <alignment horizontal="left" vertical="center"/>
    </xf>
    <xf numFmtId="0" fontId="1" fillId="4" borderId="32" xfId="0" applyFont="1" applyFill="1" applyBorder="1" applyAlignment="1">
      <alignment vertical="center"/>
    </xf>
    <xf numFmtId="0" fontId="1" fillId="4" borderId="44" xfId="0" applyFont="1" applyFill="1" applyBorder="1" applyAlignment="1">
      <alignment horizontal="left" vertical="center"/>
    </xf>
    <xf numFmtId="0" fontId="0" fillId="4" borderId="45" xfId="0" applyFill="1" applyBorder="1"/>
    <xf numFmtId="0" fontId="0" fillId="4" borderId="46" xfId="0" applyFill="1" applyBorder="1"/>
    <xf numFmtId="0" fontId="1" fillId="4" borderId="31" xfId="0" applyFont="1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4" borderId="32" xfId="0" applyFill="1" applyBorder="1" applyAlignment="1">
      <alignment vertical="center"/>
    </xf>
    <xf numFmtId="0" fontId="0" fillId="4" borderId="25" xfId="0" applyFill="1" applyBorder="1"/>
    <xf numFmtId="0" fontId="0" fillId="4" borderId="32" xfId="0" applyFill="1" applyBorder="1"/>
    <xf numFmtId="0" fontId="0" fillId="4" borderId="44" xfId="0" applyFill="1" applyBorder="1"/>
    <xf numFmtId="0" fontId="0" fillId="4" borderId="0" xfId="0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59" xfId="0" applyFont="1" applyFill="1" applyBorder="1" applyAlignment="1">
      <alignment horizontal="left" vertical="center"/>
    </xf>
    <xf numFmtId="0" fontId="0" fillId="4" borderId="61" xfId="0" applyFill="1" applyBorder="1" applyAlignment="1">
      <alignment horizontal="center"/>
    </xf>
    <xf numFmtId="0" fontId="1" fillId="4" borderId="62" xfId="0" applyFont="1" applyFill="1" applyBorder="1" applyAlignment="1">
      <alignment vertical="center"/>
    </xf>
    <xf numFmtId="0" fontId="0" fillId="4" borderId="60" xfId="0" applyFill="1" applyBorder="1" applyAlignment="1">
      <alignment vertical="center"/>
    </xf>
    <xf numFmtId="0" fontId="1" fillId="4" borderId="20" xfId="0" applyFont="1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1" fillId="4" borderId="47" xfId="0" applyFont="1" applyFill="1" applyBorder="1" applyAlignment="1">
      <alignment vertical="center"/>
    </xf>
    <xf numFmtId="0" fontId="0" fillId="4" borderId="69" xfId="0" applyFill="1" applyBorder="1" applyAlignment="1">
      <alignment horizontal="center" vertical="center"/>
    </xf>
    <xf numFmtId="0" fontId="0" fillId="4" borderId="7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7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69" xfId="0" applyFill="1" applyBorder="1" applyAlignment="1">
      <alignment horizontal="center" vertical="center"/>
    </xf>
    <xf numFmtId="0" fontId="0" fillId="4" borderId="20" xfId="0" applyFill="1" applyBorder="1"/>
    <xf numFmtId="0" fontId="0" fillId="4" borderId="1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4" borderId="10" xfId="0" applyFont="1" applyFill="1" applyBorder="1" applyAlignment="1">
      <alignment vertical="center"/>
    </xf>
    <xf numFmtId="0" fontId="1" fillId="0" borderId="0" xfId="0" applyFont="1"/>
    <xf numFmtId="0" fontId="0" fillId="0" borderId="27" xfId="0" applyBorder="1"/>
    <xf numFmtId="0" fontId="1" fillId="4" borderId="0" xfId="0" applyFont="1" applyFill="1"/>
    <xf numFmtId="0" fontId="0" fillId="4" borderId="26" xfId="0" applyFill="1" applyBorder="1"/>
    <xf numFmtId="0" fontId="0" fillId="4" borderId="0" xfId="0" applyFont="1" applyFill="1" applyAlignment="1">
      <alignment horizontal="center" vertical="center"/>
    </xf>
    <xf numFmtId="4" fontId="0" fillId="4" borderId="72" xfId="0" applyNumberFormat="1" applyFont="1" applyFill="1" applyBorder="1" applyAlignment="1">
      <alignment horizontal="center" vertical="center"/>
    </xf>
    <xf numFmtId="0" fontId="0" fillId="4" borderId="29" xfId="0" applyFill="1" applyBorder="1"/>
    <xf numFmtId="0" fontId="0" fillId="4" borderId="27" xfId="0" applyFill="1" applyBorder="1"/>
    <xf numFmtId="0" fontId="0" fillId="4" borderId="73" xfId="0" applyFont="1" applyFill="1" applyBorder="1" applyAlignment="1">
      <alignment horizontal="center" vertical="center"/>
    </xf>
    <xf numFmtId="0" fontId="0" fillId="4" borderId="31" xfId="0" applyFill="1" applyBorder="1"/>
    <xf numFmtId="4" fontId="0" fillId="4" borderId="51" xfId="0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5" fillId="4" borderId="72" xfId="0" applyFont="1" applyFill="1" applyBorder="1" applyAlignment="1">
      <alignment horizontal="center" vertical="center" textRotation="90"/>
    </xf>
    <xf numFmtId="0" fontId="1" fillId="4" borderId="0" xfId="0" applyFont="1" applyFill="1" applyAlignment="1">
      <alignment horizontal="right" vertical="center"/>
    </xf>
    <xf numFmtId="0" fontId="5" fillId="4" borderId="57" xfId="0" applyFont="1" applyFill="1" applyBorder="1" applyAlignment="1">
      <alignment horizontal="center" vertical="center" textRotation="90"/>
    </xf>
    <xf numFmtId="0" fontId="1" fillId="4" borderId="32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right" vertic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right"/>
    </xf>
    <xf numFmtId="0" fontId="0" fillId="4" borderId="75" xfId="0" applyFill="1" applyBorder="1"/>
    <xf numFmtId="0" fontId="1" fillId="4" borderId="0" xfId="0" applyFont="1" applyFill="1" applyBorder="1" applyAlignment="1">
      <alignment horizontal="left" vertical="center"/>
    </xf>
    <xf numFmtId="4" fontId="0" fillId="4" borderId="51" xfId="0" applyNumberFormat="1" applyFill="1" applyBorder="1" applyAlignment="1">
      <alignment horizontal="center" vertical="center"/>
    </xf>
    <xf numFmtId="0" fontId="5" fillId="4" borderId="73" xfId="0" applyFont="1" applyFill="1" applyBorder="1" applyAlignment="1">
      <alignment horizontal="center" vertical="center" textRotation="90"/>
    </xf>
    <xf numFmtId="0" fontId="1" fillId="4" borderId="0" xfId="0" applyFont="1" applyFill="1" applyBorder="1" applyAlignment="1">
      <alignment horizontal="right" vertical="center"/>
    </xf>
    <xf numFmtId="0" fontId="1" fillId="4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/>
    </xf>
    <xf numFmtId="1" fontId="0" fillId="5" borderId="13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1" fontId="0" fillId="5" borderId="7" xfId="0" applyNumberFormat="1" applyFill="1" applyBorder="1" applyAlignment="1">
      <alignment horizontal="center"/>
    </xf>
    <xf numFmtId="1" fontId="0" fillId="5" borderId="11" xfId="0" applyNumberFormat="1" applyFill="1" applyBorder="1" applyAlignment="1">
      <alignment horizontal="center"/>
    </xf>
    <xf numFmtId="1" fontId="0" fillId="5" borderId="16" xfId="0" applyNumberFormat="1" applyFill="1" applyBorder="1" applyAlignment="1">
      <alignment horizontal="center"/>
    </xf>
    <xf numFmtId="1" fontId="0" fillId="5" borderId="17" xfId="0" applyNumberForma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4" fontId="1" fillId="4" borderId="25" xfId="0" applyNumberFormat="1" applyFont="1" applyFill="1" applyBorder="1" applyAlignment="1">
      <alignment horizontal="left" vertical="center"/>
    </xf>
    <xf numFmtId="0" fontId="1" fillId="4" borderId="25" xfId="0" applyFont="1" applyFill="1" applyBorder="1" applyAlignment="1">
      <alignment horizontal="left" vertical="center"/>
    </xf>
    <xf numFmtId="4" fontId="1" fillId="4" borderId="0" xfId="0" applyNumberFormat="1" applyFont="1" applyFill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0" xfId="0" applyBorder="1"/>
    <xf numFmtId="0" fontId="0" fillId="0" borderId="63" xfId="0" applyBorder="1"/>
    <xf numFmtId="0" fontId="0" fillId="0" borderId="19" xfId="0" applyBorder="1"/>
    <xf numFmtId="0" fontId="0" fillId="0" borderId="20" xfId="0" applyBorder="1"/>
    <xf numFmtId="0" fontId="0" fillId="0" borderId="8" xfId="0" applyBorder="1"/>
    <xf numFmtId="0" fontId="0" fillId="0" borderId="10" xfId="0" applyBorder="1"/>
    <xf numFmtId="0" fontId="0" fillId="5" borderId="1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0" fillId="9" borderId="60" xfId="0" applyFill="1" applyBorder="1"/>
    <xf numFmtId="0" fontId="0" fillId="9" borderId="2" xfId="0" applyFill="1" applyBorder="1"/>
    <xf numFmtId="0" fontId="0" fillId="9" borderId="8" xfId="0" applyFill="1" applyBorder="1"/>
    <xf numFmtId="0" fontId="0" fillId="9" borderId="9" xfId="0" applyFill="1" applyBorder="1"/>
    <xf numFmtId="0" fontId="0" fillId="10" borderId="1" xfId="0" applyFill="1" applyBorder="1"/>
    <xf numFmtId="0" fontId="7" fillId="0" borderId="29" xfId="0" applyFont="1" applyBorder="1" applyAlignment="1">
      <alignment horizontal="left" vertical="top" wrapText="1"/>
    </xf>
    <xf numFmtId="0" fontId="7" fillId="0" borderId="74" xfId="0" applyFont="1" applyBorder="1" applyAlignment="1">
      <alignment horizontal="left" vertical="top" wrapText="1"/>
    </xf>
    <xf numFmtId="0" fontId="7" fillId="0" borderId="75" xfId="0" applyFont="1" applyBorder="1" applyAlignment="1">
      <alignment horizontal="left" vertical="top" wrapText="1"/>
    </xf>
    <xf numFmtId="0" fontId="7" fillId="0" borderId="32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25" xfId="0" applyFont="1" applyBorder="1" applyAlignment="1">
      <alignment horizontal="left" vertical="top" wrapText="1"/>
    </xf>
    <xf numFmtId="0" fontId="7" fillId="0" borderId="31" xfId="0" applyFont="1" applyBorder="1" applyAlignment="1">
      <alignment horizontal="left" vertical="top" wrapText="1"/>
    </xf>
    <xf numFmtId="0" fontId="7" fillId="0" borderId="26" xfId="0" applyFont="1" applyBorder="1" applyAlignment="1">
      <alignment horizontal="left" vertical="top" wrapText="1"/>
    </xf>
    <xf numFmtId="0" fontId="7" fillId="0" borderId="27" xfId="0" applyFont="1" applyBorder="1" applyAlignment="1">
      <alignment horizontal="left" vertical="top" wrapText="1"/>
    </xf>
    <xf numFmtId="9" fontId="0" fillId="0" borderId="6" xfId="0" applyNumberFormat="1" applyBorder="1"/>
    <xf numFmtId="0" fontId="1" fillId="6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1" fillId="0" borderId="5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58" xfId="0" applyFont="1" applyBorder="1" applyAlignment="1">
      <alignment horizontal="center"/>
    </xf>
    <xf numFmtId="0" fontId="1" fillId="0" borderId="29" xfId="0" applyFont="1" applyBorder="1" applyAlignment="1">
      <alignment horizontal="left"/>
    </xf>
    <xf numFmtId="0" fontId="0" fillId="0" borderId="75" xfId="0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4" fontId="0" fillId="7" borderId="14" xfId="1" applyNumberFormat="1" applyFont="1" applyFill="1" applyBorder="1" applyAlignment="1">
      <alignment horizontal="center"/>
    </xf>
    <xf numFmtId="4" fontId="0" fillId="7" borderId="39" xfId="1" applyNumberFormat="1" applyFont="1" applyFill="1" applyBorder="1" applyAlignment="1">
      <alignment horizontal="center"/>
    </xf>
    <xf numFmtId="4" fontId="0" fillId="7" borderId="41" xfId="1" applyNumberFormat="1" applyFont="1" applyFill="1" applyBorder="1" applyAlignment="1">
      <alignment horizontal="center"/>
    </xf>
    <xf numFmtId="4" fontId="0" fillId="7" borderId="22" xfId="1" applyNumberFormat="1" applyFont="1" applyFill="1" applyBorder="1" applyAlignment="1">
      <alignment horizontal="center"/>
    </xf>
    <xf numFmtId="4" fontId="0" fillId="7" borderId="23" xfId="1" applyNumberFormat="1" applyFont="1" applyFill="1" applyBorder="1" applyAlignment="1">
      <alignment horizontal="center"/>
    </xf>
    <xf numFmtId="4" fontId="0" fillId="7" borderId="28" xfId="1" applyNumberFormat="1" applyFont="1" applyFill="1" applyBorder="1" applyAlignment="1">
      <alignment horizontal="center"/>
    </xf>
    <xf numFmtId="4" fontId="0" fillId="7" borderId="18" xfId="1" applyNumberFormat="1" applyFont="1" applyFill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0" fillId="0" borderId="7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1" fillId="0" borderId="31" xfId="0" applyFont="1" applyBorder="1"/>
    <xf numFmtId="0" fontId="1" fillId="0" borderId="1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0" fillId="12" borderId="28" xfId="0" applyFill="1" applyBorder="1" applyAlignment="1">
      <alignment horizontal="center"/>
    </xf>
    <xf numFmtId="4" fontId="0" fillId="12" borderId="14" xfId="1" applyNumberFormat="1" applyFont="1" applyFill="1" applyBorder="1" applyAlignment="1">
      <alignment horizontal="center"/>
    </xf>
    <xf numFmtId="4" fontId="0" fillId="12" borderId="39" xfId="1" applyNumberFormat="1" applyFont="1" applyFill="1" applyBorder="1" applyAlignment="1">
      <alignment horizontal="center"/>
    </xf>
    <xf numFmtId="4" fontId="0" fillId="12" borderId="41" xfId="1" applyNumberFormat="1" applyFont="1" applyFill="1" applyBorder="1" applyAlignment="1">
      <alignment horizontal="center"/>
    </xf>
    <xf numFmtId="4" fontId="0" fillId="12" borderId="22" xfId="1" applyNumberFormat="1" applyFont="1" applyFill="1" applyBorder="1" applyAlignment="1">
      <alignment horizontal="center"/>
    </xf>
    <xf numFmtId="4" fontId="0" fillId="12" borderId="23" xfId="1" applyNumberFormat="1" applyFont="1" applyFill="1" applyBorder="1" applyAlignment="1">
      <alignment horizontal="center"/>
    </xf>
    <xf numFmtId="4" fontId="0" fillId="12" borderId="28" xfId="1" applyNumberFormat="1" applyFont="1" applyFill="1" applyBorder="1" applyAlignment="1">
      <alignment horizontal="center"/>
    </xf>
    <xf numFmtId="4" fontId="0" fillId="12" borderId="18" xfId="1" applyNumberFormat="1" applyFont="1" applyFill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1" fontId="0" fillId="0" borderId="75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6" borderId="18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4" fontId="1" fillId="6" borderId="51" xfId="0" applyNumberFormat="1" applyFont="1" applyFill="1" applyBorder="1" applyAlignment="1">
      <alignment horizontal="center"/>
    </xf>
    <xf numFmtId="2" fontId="0" fillId="6" borderId="39" xfId="0" applyNumberFormat="1" applyFill="1" applyBorder="1" applyAlignment="1">
      <alignment horizontal="center"/>
    </xf>
    <xf numFmtId="2" fontId="0" fillId="6" borderId="18" xfId="0" applyNumberFormat="1" applyFill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0" fillId="0" borderId="7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9" fillId="13" borderId="4" xfId="0" applyFont="1" applyFill="1" applyBorder="1" applyAlignment="1">
      <alignment horizontal="center"/>
    </xf>
    <xf numFmtId="0" fontId="9" fillId="13" borderId="6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1" fillId="9" borderId="30" xfId="0" applyFont="1" applyFill="1" applyBorder="1" applyAlignment="1">
      <alignment horizontal="center" vertical="center"/>
    </xf>
    <xf numFmtId="0" fontId="0" fillId="9" borderId="28" xfId="0" applyFill="1" applyBorder="1" applyAlignment="1">
      <alignment horizontal="center"/>
    </xf>
    <xf numFmtId="4" fontId="0" fillId="9" borderId="14" xfId="1" applyNumberFormat="1" applyFont="1" applyFill="1" applyBorder="1" applyAlignment="1">
      <alignment horizontal="center"/>
    </xf>
    <xf numFmtId="4" fontId="0" fillId="9" borderId="39" xfId="1" applyNumberFormat="1" applyFont="1" applyFill="1" applyBorder="1" applyAlignment="1">
      <alignment horizontal="center"/>
    </xf>
    <xf numFmtId="4" fontId="0" fillId="9" borderId="41" xfId="1" applyNumberFormat="1" applyFont="1" applyFill="1" applyBorder="1" applyAlignment="1">
      <alignment horizontal="center"/>
    </xf>
    <xf numFmtId="4" fontId="0" fillId="9" borderId="22" xfId="1" applyNumberFormat="1" applyFont="1" applyFill="1" applyBorder="1" applyAlignment="1">
      <alignment horizontal="center"/>
    </xf>
    <xf numFmtId="4" fontId="0" fillId="9" borderId="23" xfId="1" applyNumberFormat="1" applyFont="1" applyFill="1" applyBorder="1" applyAlignment="1">
      <alignment horizontal="center"/>
    </xf>
    <xf numFmtId="4" fontId="0" fillId="9" borderId="28" xfId="1" applyNumberFormat="1" applyFont="1" applyFill="1" applyBorder="1" applyAlignment="1">
      <alignment horizontal="center"/>
    </xf>
    <xf numFmtId="179" fontId="0" fillId="2" borderId="13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79" fontId="0" fillId="2" borderId="3" xfId="0" applyNumberFormat="1" applyFill="1" applyBorder="1" applyAlignment="1">
      <alignment horizontal="center"/>
    </xf>
    <xf numFmtId="179" fontId="0" fillId="2" borderId="7" xfId="0" applyNumberFormat="1" applyFill="1" applyBorder="1" applyAlignment="1">
      <alignment horizontal="center"/>
    </xf>
    <xf numFmtId="179" fontId="0" fillId="2" borderId="11" xfId="0" applyNumberFormat="1" applyFill="1" applyBorder="1" applyAlignment="1">
      <alignment horizontal="center"/>
    </xf>
    <xf numFmtId="179" fontId="0" fillId="2" borderId="16" xfId="0" applyNumberFormat="1" applyFill="1" applyBorder="1" applyAlignment="1">
      <alignment horizontal="center"/>
    </xf>
    <xf numFmtId="179" fontId="0" fillId="2" borderId="17" xfId="0" applyNumberFormat="1" applyFill="1" applyBorder="1" applyAlignment="1">
      <alignment horizontal="center"/>
    </xf>
    <xf numFmtId="0" fontId="1" fillId="11" borderId="72" xfId="0" applyFont="1" applyFill="1" applyBorder="1" applyAlignment="1">
      <alignment horizontal="center" vertical="center"/>
    </xf>
    <xf numFmtId="0" fontId="0" fillId="11" borderId="73" xfId="0" applyFill="1" applyBorder="1" applyAlignment="1">
      <alignment horizontal="center"/>
    </xf>
    <xf numFmtId="4" fontId="0" fillId="11" borderId="52" xfId="1" applyNumberFormat="1" applyFont="1" applyFill="1" applyBorder="1" applyAlignment="1">
      <alignment horizontal="center"/>
    </xf>
    <xf numFmtId="4" fontId="0" fillId="11" borderId="53" xfId="1" applyNumberFormat="1" applyFont="1" applyFill="1" applyBorder="1" applyAlignment="1">
      <alignment horizontal="center"/>
    </xf>
    <xf numFmtId="4" fontId="0" fillId="11" borderId="56" xfId="1" applyNumberFormat="1" applyFont="1" applyFill="1" applyBorder="1" applyAlignment="1">
      <alignment horizontal="center"/>
    </xf>
    <xf numFmtId="4" fontId="0" fillId="11" borderId="55" xfId="1" applyNumberFormat="1" applyFont="1" applyFill="1" applyBorder="1" applyAlignment="1">
      <alignment horizontal="center"/>
    </xf>
    <xf numFmtId="4" fontId="0" fillId="11" borderId="57" xfId="1" applyNumberFormat="1" applyFont="1" applyFill="1" applyBorder="1" applyAlignment="1">
      <alignment horizontal="center"/>
    </xf>
    <xf numFmtId="4" fontId="0" fillId="11" borderId="73" xfId="1" applyNumberFormat="1" applyFont="1" applyFill="1" applyBorder="1" applyAlignment="1">
      <alignment horizontal="center"/>
    </xf>
    <xf numFmtId="4" fontId="0" fillId="11" borderId="54" xfId="1" applyNumberFormat="1" applyFont="1" applyFill="1" applyBorder="1" applyAlignment="1">
      <alignment horizontal="center"/>
    </xf>
    <xf numFmtId="0" fontId="0" fillId="8" borderId="72" xfId="0" applyFill="1" applyBorder="1" applyAlignment="1">
      <alignment horizontal="center" wrapText="1"/>
    </xf>
    <xf numFmtId="0" fontId="0" fillId="8" borderId="73" xfId="0" applyFill="1" applyBorder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7766346447947"/>
          <c:y val="0.12669728783902012"/>
          <c:w val="0.79556840923271466"/>
          <c:h val="0.70656714785651797"/>
        </c:manualLayout>
      </c:layout>
      <c:scatterChart>
        <c:scatterStyle val="lineMarker"/>
        <c:varyColors val="0"/>
        <c:ser>
          <c:idx val="0"/>
          <c:order val="0"/>
          <c:tx>
            <c:v>Caliente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'IDQ (RED 1)'!$C$34:$C$36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'IDQ (RED 1)'!$D$34:$D$36</c:f>
              <c:numCache>
                <c:formatCode>0.0</c:formatCode>
                <c:ptCount val="3"/>
                <c:pt idx="0">
                  <c:v>360.8</c:v>
                </c:pt>
                <c:pt idx="1">
                  <c:v>130.21542121733793</c:v>
                </c:pt>
                <c:pt idx="2">
                  <c:v>89.617672732980793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FA-4757-A425-C228993C5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46880"/>
        <c:axId val="558275184"/>
      </c:scatterChart>
      <c:scatterChart>
        <c:scatterStyle val="lineMarker"/>
        <c:varyColors val="0"/>
        <c:ser>
          <c:idx val="1"/>
          <c:order val="1"/>
          <c:tx>
            <c:v>Fría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'IDQ (RED 1)'!$C$34:$C$36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'IDQ (RED 1)'!$E$34:$E$36</c:f>
              <c:numCache>
                <c:formatCode>0.0</c:formatCode>
                <c:ptCount val="3"/>
                <c:pt idx="0">
                  <c:v>282</c:v>
                </c:pt>
                <c:pt idx="1">
                  <c:v>45.5</c:v>
                </c:pt>
                <c:pt idx="2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FA-4757-A425-C228993C5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61248"/>
        <c:axId val="999559584"/>
      </c:scatterChart>
      <c:valAx>
        <c:axId val="181894688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900" b="1"/>
                  <a:t>Coordenada</a:t>
                </a:r>
                <a:r>
                  <a:rPr lang="es-AR" sz="900" b="1" baseline="0"/>
                  <a:t> de Reactor (L  /  L)</a:t>
                </a:r>
                <a:endParaRPr lang="es-AR" sz="900" b="1"/>
              </a:p>
            </c:rich>
          </c:tx>
          <c:layout>
            <c:manualLayout>
              <c:xMode val="edge"/>
              <c:yMode val="edge"/>
              <c:x val="0.28464790677831109"/>
              <c:y val="0.92463425343207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8275184"/>
        <c:crosses val="autoZero"/>
        <c:crossBetween val="midCat"/>
      </c:valAx>
      <c:valAx>
        <c:axId val="558275184"/>
        <c:scaling>
          <c:orientation val="minMax"/>
          <c:max val="380"/>
          <c:min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="1"/>
                  <a:t>Temperatura </a:t>
                </a:r>
                <a:r>
                  <a:rPr lang="es-AR" b="1" baseline="0"/>
                  <a:t>, (°C)</a:t>
                </a:r>
                <a:endParaRPr lang="es-AR" b="1"/>
              </a:p>
            </c:rich>
          </c:tx>
          <c:layout>
            <c:manualLayout>
              <c:xMode val="edge"/>
              <c:yMode val="edge"/>
              <c:x val="1.6939929667127457E-3"/>
              <c:y val="0.30180643776405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8946880"/>
        <c:crosses val="autoZero"/>
        <c:crossBetween val="midCat"/>
      </c:valAx>
      <c:valAx>
        <c:axId val="999559584"/>
        <c:scaling>
          <c:orientation val="minMax"/>
          <c:max val="380"/>
          <c:min val="25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9561248"/>
        <c:crosses val="max"/>
        <c:crossBetween val="midCat"/>
      </c:valAx>
      <c:valAx>
        <c:axId val="99956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955958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454976724055173"/>
          <c:y val="9.2297646096552971E-2"/>
          <c:w val="0.18213883695252997"/>
          <c:h val="0.15082922503615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03214083351245"/>
          <c:y val="0.13641549553141299"/>
          <c:w val="0.77899324619162047"/>
          <c:h val="0.69338150769128548"/>
        </c:manualLayout>
      </c:layout>
      <c:scatterChart>
        <c:scatterStyle val="lineMarker"/>
        <c:varyColors val="0"/>
        <c:ser>
          <c:idx val="0"/>
          <c:order val="0"/>
          <c:tx>
            <c:v>Caliente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'IDQ (RED 1)'!$C$47:$C$49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'IDQ (RED 1)'!$D$47:$D$49</c:f>
              <c:numCache>
                <c:formatCode>0.0</c:formatCode>
                <c:ptCount val="3"/>
                <c:pt idx="0" formatCode="General">
                  <c:v>231.4</c:v>
                </c:pt>
                <c:pt idx="1">
                  <c:v>102</c:v>
                </c:pt>
                <c:pt idx="2">
                  <c:v>97.298026610431506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6-4AD7-8E42-9B61DAAD5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46880"/>
        <c:axId val="558275184"/>
      </c:scatterChart>
      <c:scatterChart>
        <c:scatterStyle val="lineMarker"/>
        <c:varyColors val="0"/>
        <c:ser>
          <c:idx val="1"/>
          <c:order val="1"/>
          <c:tx>
            <c:v>Fría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'IDQ (RED 1)'!$C$47:$C$49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'IDQ (RED 1)'!$E$47:$E$49</c:f>
              <c:numCache>
                <c:formatCode>General</c:formatCode>
                <c:ptCount val="3"/>
                <c:pt idx="0" formatCode="0.0">
                  <c:v>201.9</c:v>
                </c:pt>
                <c:pt idx="1">
                  <c:v>78.49232420202361</c:v>
                </c:pt>
                <c:pt idx="2">
                  <c:v>69.22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F6-4AD7-8E42-9B61DAAD5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66448"/>
        <c:axId val="558256464"/>
      </c:scatterChart>
      <c:valAx>
        <c:axId val="181894688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Coordenada de Reactor (L  /  L)</a:t>
                </a:r>
              </a:p>
            </c:rich>
          </c:tx>
          <c:layout>
            <c:manualLayout>
              <c:xMode val="edge"/>
              <c:yMode val="edge"/>
              <c:x val="0.28464790677831109"/>
              <c:y val="0.92463425343207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8275184"/>
        <c:crosses val="autoZero"/>
        <c:crossBetween val="midCat"/>
      </c:valAx>
      <c:valAx>
        <c:axId val="558275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Temperatura , (°C)</a:t>
                </a:r>
              </a:p>
            </c:rich>
          </c:tx>
          <c:layout>
            <c:manualLayout>
              <c:xMode val="edge"/>
              <c:yMode val="edge"/>
              <c:x val="1.6939929667127457E-3"/>
              <c:y val="0.30180643776405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8946880"/>
        <c:crosses val="autoZero"/>
        <c:crossBetween val="midCat"/>
      </c:valAx>
      <c:valAx>
        <c:axId val="558256464"/>
        <c:scaling>
          <c:orientation val="minMax"/>
          <c:max val="40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8266448"/>
        <c:crosses val="max"/>
        <c:crossBetween val="midCat"/>
      </c:valAx>
      <c:valAx>
        <c:axId val="55826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25646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05228758169923"/>
          <c:y val="0.10695012893179034"/>
          <c:w val="0.19735023423744771"/>
          <c:h val="0.16728741621052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03214083351245"/>
          <c:y val="0.13641549553141299"/>
          <c:w val="0.77899324619162047"/>
          <c:h val="0.69338150769128548"/>
        </c:manualLayout>
      </c:layout>
      <c:scatterChart>
        <c:scatterStyle val="lineMarker"/>
        <c:varyColors val="0"/>
        <c:ser>
          <c:idx val="0"/>
          <c:order val="0"/>
          <c:tx>
            <c:v>Caliente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'IDQ (RED 1)'!$C$63:$C$64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'IDQ (RED 1)'!$D$63:$D$64</c:f>
              <c:numCache>
                <c:formatCode>General</c:formatCode>
                <c:ptCount val="2"/>
                <c:pt idx="0">
                  <c:v>136.6</c:v>
                </c:pt>
                <c:pt idx="1">
                  <c:v>102.86574267308508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D-49DC-A17B-C9594EA1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46880"/>
        <c:axId val="558275184"/>
      </c:scatterChart>
      <c:scatterChart>
        <c:scatterStyle val="lineMarker"/>
        <c:varyColors val="0"/>
        <c:ser>
          <c:idx val="1"/>
          <c:order val="1"/>
          <c:tx>
            <c:v>Frío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'IDQ (RED 1)'!$C$63:$C$64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'IDQ (RED 1)'!$E$63:$E$64</c:f>
              <c:numCache>
                <c:formatCode>0.0</c:formatCode>
                <c:ptCount val="2"/>
                <c:pt idx="0">
                  <c:v>25</c:v>
                </c:pt>
                <c:pt idx="1">
                  <c:v>-6.2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D-49DC-A17B-C9594EA1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66448"/>
        <c:axId val="558256464"/>
      </c:scatterChart>
      <c:valAx>
        <c:axId val="181894688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Coordenada de Reactor (L  /  L)</a:t>
                </a:r>
              </a:p>
            </c:rich>
          </c:tx>
          <c:layout>
            <c:manualLayout>
              <c:xMode val="edge"/>
              <c:yMode val="edge"/>
              <c:x val="0.28464790677831109"/>
              <c:y val="0.92463425343207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8275184"/>
        <c:crosses val="autoZero"/>
        <c:crossBetween val="midCat"/>
      </c:valAx>
      <c:valAx>
        <c:axId val="558275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Temperatura , (°C)</a:t>
                </a:r>
              </a:p>
            </c:rich>
          </c:tx>
          <c:layout>
            <c:manualLayout>
              <c:xMode val="edge"/>
              <c:yMode val="edge"/>
              <c:x val="1.6939950998356411E-3"/>
              <c:y val="0.33115113297162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8946880"/>
        <c:crosses val="autoZero"/>
        <c:crossBetween val="midCat"/>
      </c:valAx>
      <c:valAx>
        <c:axId val="558256464"/>
        <c:scaling>
          <c:orientation val="minMax"/>
          <c:max val="45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8266448"/>
        <c:crosses val="max"/>
        <c:crossBetween val="midCat"/>
      </c:valAx>
      <c:valAx>
        <c:axId val="55826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25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05228758169923"/>
          <c:y val="0.10695012893179034"/>
          <c:w val="0.19735023423744771"/>
          <c:h val="0.16728741621052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68553930758655"/>
          <c:y val="7.513207793164825E-2"/>
          <c:w val="0.84413688288963884"/>
          <c:h val="0.81266970313642573"/>
        </c:manualLayout>
      </c:layout>
      <c:scatterChart>
        <c:scatterStyle val="lineMarker"/>
        <c:varyColors val="0"/>
        <c:ser>
          <c:idx val="0"/>
          <c:order val="0"/>
          <c:tx>
            <c:v>Caliente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 - T'!$M$4:$M$22</c:f>
              <c:numCache>
                <c:formatCode>0.0</c:formatCode>
                <c:ptCount val="19"/>
                <c:pt idx="0">
                  <c:v>0</c:v>
                </c:pt>
                <c:pt idx="1">
                  <c:v>4.418170749225375</c:v>
                </c:pt>
                <c:pt idx="2">
                  <c:v>11.63411649845075</c:v>
                </c:pt>
                <c:pt idx="3">
                  <c:v>26.787602571824038</c:v>
                </c:pt>
                <c:pt idx="4">
                  <c:v>70.593977733824048</c:v>
                </c:pt>
                <c:pt idx="5">
                  <c:v>75.769414461824041</c:v>
                </c:pt>
                <c:pt idx="6">
                  <c:v>100.110695320471</c:v>
                </c:pt>
                <c:pt idx="7">
                  <c:v>132.22357960593021</c:v>
                </c:pt>
                <c:pt idx="8">
                  <c:v>141.98565688677252</c:v>
                </c:pt>
                <c:pt idx="9">
                  <c:v>143.55695580551691</c:v>
                </c:pt>
                <c:pt idx="10">
                  <c:v>169.16361152141252</c:v>
                </c:pt>
                <c:pt idx="11">
                  <c:v>179.67602135073599</c:v>
                </c:pt>
                <c:pt idx="12">
                  <c:v>200.17522051791678</c:v>
                </c:pt>
                <c:pt idx="13">
                  <c:v>239.67519885429357</c:v>
                </c:pt>
                <c:pt idx="14">
                  <c:v>245.88355261895532</c:v>
                </c:pt>
                <c:pt idx="15">
                  <c:v>249.30738638361706</c:v>
                </c:pt>
                <c:pt idx="16">
                  <c:v>296.41933898536257</c:v>
                </c:pt>
                <c:pt idx="17">
                  <c:v>317.48881077436255</c:v>
                </c:pt>
                <c:pt idx="18">
                  <c:v>317.55800181436257</c:v>
                </c:pt>
              </c:numCache>
            </c:numRef>
          </c:xVal>
          <c:yVal>
            <c:numRef>
              <c:f>'H - T'!$K$4:$K$22</c:f>
              <c:numCache>
                <c:formatCode>General</c:formatCode>
                <c:ptCount val="19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55.5</c:v>
                </c:pt>
                <c:pt idx="4">
                  <c:v>79.2</c:v>
                </c:pt>
                <c:pt idx="5">
                  <c:v>82</c:v>
                </c:pt>
                <c:pt idx="6">
                  <c:v>102</c:v>
                </c:pt>
                <c:pt idx="7">
                  <c:v>136.6</c:v>
                </c:pt>
                <c:pt idx="8">
                  <c:v>147.80000000000001</c:v>
                </c:pt>
                <c:pt idx="9">
                  <c:v>150.1</c:v>
                </c:pt>
                <c:pt idx="10">
                  <c:v>201.9</c:v>
                </c:pt>
                <c:pt idx="11">
                  <c:v>211.9</c:v>
                </c:pt>
                <c:pt idx="12">
                  <c:v>231.4</c:v>
                </c:pt>
                <c:pt idx="13">
                  <c:v>282</c:v>
                </c:pt>
                <c:pt idx="14">
                  <c:v>287</c:v>
                </c:pt>
                <c:pt idx="15">
                  <c:v>292</c:v>
                </c:pt>
                <c:pt idx="16">
                  <c:v>360.8</c:v>
                </c:pt>
                <c:pt idx="17">
                  <c:v>406.5</c:v>
                </c:pt>
                <c:pt idx="18">
                  <c:v>406.8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B8E-43A5-95C0-A9B729178E22}"/>
            </c:ext>
          </c:extLst>
        </c:ser>
        <c:ser>
          <c:idx val="1"/>
          <c:order val="1"/>
          <c:tx>
            <c:v>Fría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 - T'!$Q$3:$Q$9</c:f>
              <c:numCache>
                <c:formatCode>0.0</c:formatCode>
                <c:ptCount val="7"/>
                <c:pt idx="0">
                  <c:v>217.33</c:v>
                </c:pt>
                <c:pt idx="1">
                  <c:v>219.23612047600002</c:v>
                </c:pt>
                <c:pt idx="2">
                  <c:v>219.23612047600002</c:v>
                </c:pt>
                <c:pt idx="3">
                  <c:v>228.31897285600002</c:v>
                </c:pt>
                <c:pt idx="4">
                  <c:v>233.48870172763003</c:v>
                </c:pt>
                <c:pt idx="5">
                  <c:v>300.08831306836004</c:v>
                </c:pt>
                <c:pt idx="6">
                  <c:v>317.56068786235005</c:v>
                </c:pt>
              </c:numCache>
            </c:numRef>
          </c:xVal>
          <c:yVal>
            <c:numRef>
              <c:f>'H - T'!$O$3:$O$9</c:f>
              <c:numCache>
                <c:formatCode>General</c:formatCode>
                <c:ptCount val="7"/>
                <c:pt idx="0">
                  <c:v>3.8</c:v>
                </c:pt>
                <c:pt idx="1">
                  <c:v>35</c:v>
                </c:pt>
                <c:pt idx="2">
                  <c:v>45</c:v>
                </c:pt>
                <c:pt idx="3">
                  <c:v>55.5</c:v>
                </c:pt>
                <c:pt idx="4">
                  <c:v>79.2</c:v>
                </c:pt>
                <c:pt idx="5">
                  <c:v>211.9</c:v>
                </c:pt>
                <c:pt idx="6">
                  <c:v>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B8E-43A5-95C0-A9B72917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46880"/>
        <c:axId val="558275184"/>
      </c:scatterChart>
      <c:valAx>
        <c:axId val="181894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="1"/>
                  <a:t>Entalpía acumulada,</a:t>
                </a:r>
                <a:r>
                  <a:rPr lang="es-AR" b="1" baseline="0"/>
                  <a:t> (10</a:t>
                </a:r>
                <a:r>
                  <a:rPr lang="es-AR" b="1" baseline="30000"/>
                  <a:t>5 </a:t>
                </a:r>
                <a:r>
                  <a:rPr lang="es-AR" b="1" baseline="0"/>
                  <a:t>kJ/h)</a:t>
                </a:r>
                <a:endParaRPr lang="es-A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8275184"/>
        <c:crosses val="autoZero"/>
        <c:crossBetween val="midCat"/>
      </c:valAx>
      <c:valAx>
        <c:axId val="558275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="1"/>
                  <a:t>Temperatura </a:t>
                </a:r>
                <a:r>
                  <a:rPr lang="es-AR" b="1" baseline="0"/>
                  <a:t>, (°C)</a:t>
                </a:r>
                <a:endParaRPr lang="es-AR" b="1"/>
              </a:p>
            </c:rich>
          </c:tx>
          <c:layout>
            <c:manualLayout>
              <c:xMode val="edge"/>
              <c:yMode val="edge"/>
              <c:x val="1.6939882514685665E-3"/>
              <c:y val="0.37156058862542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894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172668416447951"/>
          <c:y val="7.7427616947544867E-2"/>
          <c:w val="0.14719491639137414"/>
          <c:h val="9.7933187242830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68553930758655"/>
          <c:y val="7.513207793164825E-2"/>
          <c:w val="0.84413688288963884"/>
          <c:h val="0.81266970313642573"/>
        </c:manualLayout>
      </c:layout>
      <c:scatterChart>
        <c:scatterStyle val="lineMarker"/>
        <c:varyColors val="0"/>
        <c:ser>
          <c:idx val="0"/>
          <c:order val="0"/>
          <c:tx>
            <c:v>Curva Comp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'Gran C Comp'!$I$3:$I$21</c:f>
              <c:numCache>
                <c:formatCode>0.00</c:formatCode>
                <c:ptCount val="19"/>
                <c:pt idx="0">
                  <c:v>0</c:v>
                </c:pt>
                <c:pt idx="1">
                  <c:v>21.000280748999995</c:v>
                </c:pt>
                <c:pt idx="2">
                  <c:v>68.043042310745534</c:v>
                </c:pt>
                <c:pt idx="3">
                  <c:v>70.307024935907265</c:v>
                </c:pt>
                <c:pt idx="4">
                  <c:v>75.355527561068996</c:v>
                </c:pt>
                <c:pt idx="5">
                  <c:v>103.74883465050578</c:v>
                </c:pt>
                <c:pt idx="6">
                  <c:v>119.92526838963656</c:v>
                </c:pt>
                <c:pt idx="7">
                  <c:v>125.34967697996004</c:v>
                </c:pt>
                <c:pt idx="8">
                  <c:v>124.88970482503565</c:v>
                </c:pt>
                <c:pt idx="9">
                  <c:v>125.23748635801005</c:v>
                </c:pt>
                <c:pt idx="10">
                  <c:v>129.30930517597236</c:v>
                </c:pt>
                <c:pt idx="11">
                  <c:v>143.98791513289157</c:v>
                </c:pt>
                <c:pt idx="12">
                  <c:v>158.22238455353852</c:v>
                </c:pt>
                <c:pt idx="13">
                  <c:v>161.9233633858185</c:v>
                </c:pt>
                <c:pt idx="14">
                  <c:v>200.49081863618852</c:v>
                </c:pt>
                <c:pt idx="15">
                  <c:v>206.49226128956181</c:v>
                </c:pt>
                <c:pt idx="16">
                  <c:v>213.63901599878719</c:v>
                </c:pt>
                <c:pt idx="17">
                  <c:v>217.98799570801256</c:v>
                </c:pt>
                <c:pt idx="18">
                  <c:v>216.01268419201256</c:v>
                </c:pt>
              </c:numCache>
            </c:numRef>
          </c:xVal>
          <c:yVal>
            <c:numRef>
              <c:f>'Gran C Comp'!$D$3:$D$21</c:f>
              <c:numCache>
                <c:formatCode>General</c:formatCode>
                <c:ptCount val="19"/>
                <c:pt idx="0">
                  <c:v>401.8</c:v>
                </c:pt>
                <c:pt idx="1">
                  <c:v>401.5</c:v>
                </c:pt>
                <c:pt idx="2">
                  <c:v>355.8</c:v>
                </c:pt>
                <c:pt idx="3">
                  <c:v>287</c:v>
                </c:pt>
                <c:pt idx="4">
                  <c:v>282</c:v>
                </c:pt>
                <c:pt idx="5">
                  <c:v>277</c:v>
                </c:pt>
                <c:pt idx="6">
                  <c:v>226.4</c:v>
                </c:pt>
                <c:pt idx="7">
                  <c:v>206.9</c:v>
                </c:pt>
                <c:pt idx="8">
                  <c:v>196.9</c:v>
                </c:pt>
                <c:pt idx="9">
                  <c:v>145.1</c:v>
                </c:pt>
                <c:pt idx="10">
                  <c:v>142.80000000000001</c:v>
                </c:pt>
                <c:pt idx="11">
                  <c:v>131.6</c:v>
                </c:pt>
                <c:pt idx="12">
                  <c:v>97</c:v>
                </c:pt>
                <c:pt idx="13">
                  <c:v>77</c:v>
                </c:pt>
                <c:pt idx="14">
                  <c:v>74.2</c:v>
                </c:pt>
                <c:pt idx="15">
                  <c:v>50.5</c:v>
                </c:pt>
                <c:pt idx="16">
                  <c:v>40</c:v>
                </c:pt>
                <c:pt idx="17">
                  <c:v>35</c:v>
                </c:pt>
                <c:pt idx="1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66-45BC-9695-014E5BB17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46880"/>
        <c:axId val="558275184"/>
      </c:scatterChart>
      <c:valAx>
        <c:axId val="181894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="1"/>
                  <a:t>Entalpía acumulada,</a:t>
                </a:r>
                <a:r>
                  <a:rPr lang="es-AR" b="1" baseline="0"/>
                  <a:t> (10</a:t>
                </a:r>
                <a:r>
                  <a:rPr lang="es-AR" b="1" baseline="30000"/>
                  <a:t>5 </a:t>
                </a:r>
                <a:r>
                  <a:rPr lang="es-AR" b="1" baseline="0"/>
                  <a:t>kJ/h)</a:t>
                </a:r>
                <a:endParaRPr lang="es-A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8275184"/>
        <c:crosses val="autoZero"/>
        <c:crossBetween val="midCat"/>
      </c:valAx>
      <c:valAx>
        <c:axId val="558275184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="1"/>
                  <a:t>Temperatura </a:t>
                </a:r>
                <a:r>
                  <a:rPr lang="es-AR" b="1" baseline="0"/>
                  <a:t>, (°C)</a:t>
                </a:r>
                <a:endParaRPr lang="es-AR" b="1"/>
              </a:p>
            </c:rich>
          </c:tx>
          <c:layout>
            <c:manualLayout>
              <c:xMode val="edge"/>
              <c:yMode val="edge"/>
              <c:x val="1.6939882514685665E-3"/>
              <c:y val="0.37156058862542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894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172668416447951"/>
          <c:y val="7.7427616947544867E-2"/>
          <c:w val="0.16676760203632263"/>
          <c:h val="4.4731923420109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537882</xdr:colOff>
      <xdr:row>17</xdr:row>
      <xdr:rowOff>33618</xdr:rowOff>
    </xdr:from>
    <xdr:to>
      <xdr:col>23</xdr:col>
      <xdr:colOff>424204</xdr:colOff>
      <xdr:row>20</xdr:row>
      <xdr:rowOff>144654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74C1294-8804-4C07-9587-D7D3CD481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6941" y="3316942"/>
          <a:ext cx="4458322" cy="704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89647</xdr:colOff>
      <xdr:row>1</xdr:row>
      <xdr:rowOff>0</xdr:rowOff>
    </xdr:from>
    <xdr:to>
      <xdr:col>38</xdr:col>
      <xdr:colOff>31999</xdr:colOff>
      <xdr:row>5</xdr:row>
      <xdr:rowOff>21389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C7A91C00-8443-4E34-BD19-9F2B03851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36588" y="190500"/>
          <a:ext cx="4458322" cy="704948"/>
        </a:xfrm>
        <a:prstGeom prst="rect">
          <a:avLst/>
        </a:prstGeom>
      </xdr:spPr>
    </xdr:pic>
    <xdr:clientData/>
  </xdr:twoCellAnchor>
  <xdr:twoCellAnchor>
    <xdr:from>
      <xdr:col>3</xdr:col>
      <xdr:colOff>377552</xdr:colOff>
      <xdr:row>52</xdr:row>
      <xdr:rowOff>0</xdr:rowOff>
    </xdr:from>
    <xdr:to>
      <xdr:col>3</xdr:col>
      <xdr:colOff>377552</xdr:colOff>
      <xdr:row>69</xdr:row>
      <xdr:rowOff>131885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C3046D9B-52DB-4CEA-A013-AEE64E9C33CC}"/>
            </a:ext>
          </a:extLst>
        </xdr:cNvPr>
        <xdr:cNvCxnSpPr/>
      </xdr:nvCxnSpPr>
      <xdr:spPr>
        <a:xfrm>
          <a:off x="2663552" y="9092712"/>
          <a:ext cx="0" cy="290146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25</xdr:row>
      <xdr:rowOff>11205</xdr:rowOff>
    </xdr:from>
    <xdr:to>
      <xdr:col>6</xdr:col>
      <xdr:colOff>0</xdr:colOff>
      <xdr:row>39</xdr:row>
      <xdr:rowOff>134471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9DA1261E-3FD6-4391-815D-9499951B68DF}"/>
            </a:ext>
          </a:extLst>
        </xdr:cNvPr>
        <xdr:cNvCxnSpPr/>
      </xdr:nvCxnSpPr>
      <xdr:spPr>
        <a:xfrm>
          <a:off x="3429000" y="4594411"/>
          <a:ext cx="0" cy="247650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6725</xdr:colOff>
      <xdr:row>25</xdr:row>
      <xdr:rowOff>6721</xdr:rowOff>
    </xdr:from>
    <xdr:to>
      <xdr:col>8</xdr:col>
      <xdr:colOff>6725</xdr:colOff>
      <xdr:row>39</xdr:row>
      <xdr:rowOff>129987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A5BFA927-2852-43BF-A2A5-1ACCC49DF899}"/>
            </a:ext>
          </a:extLst>
        </xdr:cNvPr>
        <xdr:cNvCxnSpPr/>
      </xdr:nvCxnSpPr>
      <xdr:spPr>
        <a:xfrm>
          <a:off x="4197725" y="4589927"/>
          <a:ext cx="0" cy="247650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11206</xdr:colOff>
      <xdr:row>34</xdr:row>
      <xdr:rowOff>134470</xdr:rowOff>
    </xdr:from>
    <xdr:to>
      <xdr:col>10</xdr:col>
      <xdr:colOff>11206</xdr:colOff>
      <xdr:row>56</xdr:row>
      <xdr:rowOff>190500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DAA1C909-0566-4852-ABDB-450F63EA9E07}"/>
            </a:ext>
          </a:extLst>
        </xdr:cNvPr>
        <xdr:cNvCxnSpPr/>
      </xdr:nvCxnSpPr>
      <xdr:spPr>
        <a:xfrm>
          <a:off x="4964206" y="6152029"/>
          <a:ext cx="0" cy="3653118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6724</xdr:colOff>
      <xdr:row>56</xdr:row>
      <xdr:rowOff>197223</xdr:rowOff>
    </xdr:from>
    <xdr:to>
      <xdr:col>10</xdr:col>
      <xdr:colOff>6724</xdr:colOff>
      <xdr:row>69</xdr:row>
      <xdr:rowOff>0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5EED08AD-F2A8-475F-99F8-97D9963C2B8F}"/>
            </a:ext>
          </a:extLst>
        </xdr:cNvPr>
        <xdr:cNvCxnSpPr/>
      </xdr:nvCxnSpPr>
      <xdr:spPr>
        <a:xfrm>
          <a:off x="4959724" y="9946341"/>
          <a:ext cx="0" cy="1954306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11206</xdr:colOff>
      <xdr:row>50</xdr:row>
      <xdr:rowOff>0</xdr:rowOff>
    </xdr:from>
    <xdr:to>
      <xdr:col>12</xdr:col>
      <xdr:colOff>11206</xdr:colOff>
      <xdr:row>69</xdr:row>
      <xdr:rowOff>134471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364528CA-828E-4CF2-B948-9A2FCDF830D6}"/>
            </a:ext>
          </a:extLst>
        </xdr:cNvPr>
        <xdr:cNvCxnSpPr/>
      </xdr:nvCxnSpPr>
      <xdr:spPr>
        <a:xfrm>
          <a:off x="5726206" y="8830235"/>
          <a:ext cx="0" cy="3204883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376518</xdr:colOff>
      <xdr:row>49</xdr:row>
      <xdr:rowOff>6723</xdr:rowOff>
    </xdr:from>
    <xdr:to>
      <xdr:col>13</xdr:col>
      <xdr:colOff>376518</xdr:colOff>
      <xdr:row>69</xdr:row>
      <xdr:rowOff>123265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3D85E83F-2301-4529-ADD3-FFF226590A25}"/>
            </a:ext>
          </a:extLst>
        </xdr:cNvPr>
        <xdr:cNvCxnSpPr/>
      </xdr:nvCxnSpPr>
      <xdr:spPr>
        <a:xfrm>
          <a:off x="6472518" y="8691282"/>
          <a:ext cx="0" cy="333263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11206</xdr:colOff>
      <xdr:row>6</xdr:row>
      <xdr:rowOff>0</xdr:rowOff>
    </xdr:from>
    <xdr:to>
      <xdr:col>16</xdr:col>
      <xdr:colOff>11206</xdr:colOff>
      <xdr:row>26</xdr:row>
      <xdr:rowOff>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324FA7A0-E462-4F7D-B21D-E8C035496D0B}"/>
            </a:ext>
          </a:extLst>
        </xdr:cNvPr>
        <xdr:cNvCxnSpPr/>
      </xdr:nvCxnSpPr>
      <xdr:spPr>
        <a:xfrm>
          <a:off x="7250206" y="1019735"/>
          <a:ext cx="0" cy="3496236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6724</xdr:colOff>
      <xdr:row>4</xdr:row>
      <xdr:rowOff>141194</xdr:rowOff>
    </xdr:from>
    <xdr:to>
      <xdr:col>18</xdr:col>
      <xdr:colOff>6724</xdr:colOff>
      <xdr:row>25</xdr:row>
      <xdr:rowOff>134471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632C0ABA-7BF3-470B-A73A-5E399890D460}"/>
            </a:ext>
          </a:extLst>
        </xdr:cNvPr>
        <xdr:cNvCxnSpPr/>
      </xdr:nvCxnSpPr>
      <xdr:spPr>
        <a:xfrm>
          <a:off x="8007724" y="869576"/>
          <a:ext cx="0" cy="3635189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5165</xdr:colOff>
      <xdr:row>13</xdr:row>
      <xdr:rowOff>2240</xdr:rowOff>
    </xdr:from>
    <xdr:to>
      <xdr:col>20</xdr:col>
      <xdr:colOff>5165</xdr:colOff>
      <xdr:row>59</xdr:row>
      <xdr:rowOff>190500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DC78E947-77A1-42A3-AA92-2D1DDC4A1270}"/>
            </a:ext>
          </a:extLst>
        </xdr:cNvPr>
        <xdr:cNvCxnSpPr/>
      </xdr:nvCxnSpPr>
      <xdr:spPr>
        <a:xfrm>
          <a:off x="8768165" y="2139153"/>
          <a:ext cx="0" cy="8007043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60</xdr:row>
      <xdr:rowOff>8283</xdr:rowOff>
    </xdr:from>
    <xdr:to>
      <xdr:col>20</xdr:col>
      <xdr:colOff>0</xdr:colOff>
      <xdr:row>65</xdr:row>
      <xdr:rowOff>134471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8203217A-7BD7-4165-B6CF-14754CAD1B57}"/>
            </a:ext>
          </a:extLst>
        </xdr:cNvPr>
        <xdr:cNvCxnSpPr/>
      </xdr:nvCxnSpPr>
      <xdr:spPr>
        <a:xfrm>
          <a:off x="8763000" y="10429754"/>
          <a:ext cx="0" cy="910599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878</xdr:colOff>
      <xdr:row>66</xdr:row>
      <xdr:rowOff>17929</xdr:rowOff>
    </xdr:from>
    <xdr:to>
      <xdr:col>20</xdr:col>
      <xdr:colOff>878</xdr:colOff>
      <xdr:row>69</xdr:row>
      <xdr:rowOff>132521</xdr:rowOff>
    </xdr:to>
    <xdr:cxnSp macro="">
      <xdr:nvCxnSpPr>
        <xdr:cNvPr id="44" name="Conector recto de flecha 43">
          <a:extLst>
            <a:ext uri="{FF2B5EF4-FFF2-40B4-BE49-F238E27FC236}">
              <a16:creationId xmlns:a16="http://schemas.microsoft.com/office/drawing/2014/main" id="{1CB5F41F-01F2-4FC7-A9C9-8129897AB396}"/>
            </a:ext>
          </a:extLst>
        </xdr:cNvPr>
        <xdr:cNvCxnSpPr/>
      </xdr:nvCxnSpPr>
      <xdr:spPr>
        <a:xfrm>
          <a:off x="8763878" y="11369488"/>
          <a:ext cx="0" cy="55162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11206</xdr:colOff>
      <xdr:row>39</xdr:row>
      <xdr:rowOff>11206</xdr:rowOff>
    </xdr:from>
    <xdr:to>
      <xdr:col>24</xdr:col>
      <xdr:colOff>11206</xdr:colOff>
      <xdr:row>62</xdr:row>
      <xdr:rowOff>0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0919E528-D615-49E9-88D8-902025D00A94}"/>
            </a:ext>
          </a:extLst>
        </xdr:cNvPr>
        <xdr:cNvCxnSpPr/>
      </xdr:nvCxnSpPr>
      <xdr:spPr>
        <a:xfrm flipV="1">
          <a:off x="10567147" y="6734735"/>
          <a:ext cx="0" cy="394447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65</xdr:row>
      <xdr:rowOff>112059</xdr:rowOff>
    </xdr:from>
    <xdr:to>
      <xdr:col>26</xdr:col>
      <xdr:colOff>0</xdr:colOff>
      <xdr:row>68</xdr:row>
      <xdr:rowOff>0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3DF3AE22-B568-493D-91BE-643105D2321C}"/>
            </a:ext>
          </a:extLst>
        </xdr:cNvPr>
        <xdr:cNvCxnSpPr/>
      </xdr:nvCxnSpPr>
      <xdr:spPr>
        <a:xfrm flipV="1">
          <a:off x="11317941" y="11228294"/>
          <a:ext cx="0" cy="32497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376518</xdr:colOff>
      <xdr:row>24</xdr:row>
      <xdr:rowOff>0</xdr:rowOff>
    </xdr:from>
    <xdr:to>
      <xdr:col>25</xdr:col>
      <xdr:colOff>376518</xdr:colOff>
      <xdr:row>65</xdr:row>
      <xdr:rowOff>107578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595D64E6-731E-4414-8A05-A79E5C143E5A}"/>
            </a:ext>
          </a:extLst>
        </xdr:cNvPr>
        <xdr:cNvCxnSpPr/>
      </xdr:nvCxnSpPr>
      <xdr:spPr>
        <a:xfrm flipV="1">
          <a:off x="11313459" y="4224618"/>
          <a:ext cx="0" cy="699919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11207</xdr:colOff>
      <xdr:row>70</xdr:row>
      <xdr:rowOff>11206</xdr:rowOff>
    </xdr:from>
    <xdr:to>
      <xdr:col>28</xdr:col>
      <xdr:colOff>11207</xdr:colOff>
      <xdr:row>75</xdr:row>
      <xdr:rowOff>11207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48AEFB3B-E040-416D-A213-36CB44016A90}"/>
            </a:ext>
          </a:extLst>
        </xdr:cNvPr>
        <xdr:cNvCxnSpPr/>
      </xdr:nvCxnSpPr>
      <xdr:spPr>
        <a:xfrm flipV="1">
          <a:off x="12091148" y="11855824"/>
          <a:ext cx="0" cy="829236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22</xdr:row>
      <xdr:rowOff>161926</xdr:rowOff>
    </xdr:from>
    <xdr:to>
      <xdr:col>12</xdr:col>
      <xdr:colOff>619125</xdr:colOff>
      <xdr:row>36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31AFBD-FE19-4EE0-9DE2-90BD00249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37</xdr:row>
      <xdr:rowOff>47625</xdr:rowOff>
    </xdr:from>
    <xdr:to>
      <xdr:col>12</xdr:col>
      <xdr:colOff>638175</xdr:colOff>
      <xdr:row>52</xdr:row>
      <xdr:rowOff>152401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AA2E59-3854-49FA-95D2-5E5B0ED58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514349</xdr:colOff>
      <xdr:row>29</xdr:row>
      <xdr:rowOff>106017</xdr:rowOff>
    </xdr:from>
    <xdr:to>
      <xdr:col>10</xdr:col>
      <xdr:colOff>76199</xdr:colOff>
      <xdr:row>30</xdr:row>
      <xdr:rowOff>1242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8F54BFF7-D4C1-4897-8A11-9FDFD49464A4}"/>
            </a:ext>
          </a:extLst>
        </xdr:cNvPr>
        <xdr:cNvSpPr/>
      </xdr:nvSpPr>
      <xdr:spPr>
        <a:xfrm rot="2466936">
          <a:off x="9039224" y="5801967"/>
          <a:ext cx="323850" cy="9525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504409</xdr:colOff>
      <xdr:row>31</xdr:row>
      <xdr:rowOff>136250</xdr:rowOff>
    </xdr:from>
    <xdr:to>
      <xdr:col>10</xdr:col>
      <xdr:colOff>66259</xdr:colOff>
      <xdr:row>32</xdr:row>
      <xdr:rowOff>41000</xdr:rowOff>
    </xdr:to>
    <xdr:sp macro="" textlink="">
      <xdr:nvSpPr>
        <xdr:cNvPr id="5" name="Flecha: a la derecha 4">
          <a:extLst>
            <a:ext uri="{FF2B5EF4-FFF2-40B4-BE49-F238E27FC236}">
              <a16:creationId xmlns:a16="http://schemas.microsoft.com/office/drawing/2014/main" id="{B10D287F-AC58-4848-8F16-0697A3769F4D}"/>
            </a:ext>
          </a:extLst>
        </xdr:cNvPr>
        <xdr:cNvSpPr/>
      </xdr:nvSpPr>
      <xdr:spPr>
        <a:xfrm rot="13385078">
          <a:off x="9029284" y="6232250"/>
          <a:ext cx="323850" cy="9525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300878</xdr:colOff>
      <xdr:row>41</xdr:row>
      <xdr:rowOff>142316</xdr:rowOff>
    </xdr:from>
    <xdr:to>
      <xdr:col>9</xdr:col>
      <xdr:colOff>624728</xdr:colOff>
      <xdr:row>42</xdr:row>
      <xdr:rowOff>13448</xdr:rowOff>
    </xdr:to>
    <xdr:sp macro="" textlink="">
      <xdr:nvSpPr>
        <xdr:cNvPr id="6" name="Flecha: a la derecha 5">
          <a:extLst>
            <a:ext uri="{FF2B5EF4-FFF2-40B4-BE49-F238E27FC236}">
              <a16:creationId xmlns:a16="http://schemas.microsoft.com/office/drawing/2014/main" id="{4E01636E-4BBF-440E-81CA-FBAEE10D22DE}"/>
            </a:ext>
          </a:extLst>
        </xdr:cNvPr>
        <xdr:cNvSpPr/>
      </xdr:nvSpPr>
      <xdr:spPr>
        <a:xfrm rot="1068706">
          <a:off x="8570819" y="7964022"/>
          <a:ext cx="323850" cy="9525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402851</xdr:colOff>
      <xdr:row>47</xdr:row>
      <xdr:rowOff>123265</xdr:rowOff>
    </xdr:from>
    <xdr:to>
      <xdr:col>9</xdr:col>
      <xdr:colOff>726701</xdr:colOff>
      <xdr:row>48</xdr:row>
      <xdr:rowOff>28015</xdr:rowOff>
    </xdr:to>
    <xdr:sp macro="" textlink="">
      <xdr:nvSpPr>
        <xdr:cNvPr id="7" name="Flecha: a la derecha 6">
          <a:extLst>
            <a:ext uri="{FF2B5EF4-FFF2-40B4-BE49-F238E27FC236}">
              <a16:creationId xmlns:a16="http://schemas.microsoft.com/office/drawing/2014/main" id="{1D18E9AA-274B-4E7A-9B69-BFC6BDFA6F76}"/>
            </a:ext>
          </a:extLst>
        </xdr:cNvPr>
        <xdr:cNvSpPr/>
      </xdr:nvSpPr>
      <xdr:spPr>
        <a:xfrm rot="11928107">
          <a:off x="8941733" y="9132794"/>
          <a:ext cx="323850" cy="9525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47067</xdr:colOff>
      <xdr:row>53</xdr:row>
      <xdr:rowOff>174811</xdr:rowOff>
    </xdr:from>
    <xdr:to>
      <xdr:col>12</xdr:col>
      <xdr:colOff>618567</xdr:colOff>
      <xdr:row>69</xdr:row>
      <xdr:rowOff>89087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9C881CC-F3FD-469E-B653-6E43AAA22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653942</xdr:colOff>
      <xdr:row>63</xdr:row>
      <xdr:rowOff>84044</xdr:rowOff>
    </xdr:from>
    <xdr:to>
      <xdr:col>10</xdr:col>
      <xdr:colOff>215792</xdr:colOff>
      <xdr:row>63</xdr:row>
      <xdr:rowOff>179294</xdr:rowOff>
    </xdr:to>
    <xdr:sp macro="" textlink="">
      <xdr:nvSpPr>
        <xdr:cNvPr id="9" name="Flecha: a la derecha 8">
          <a:extLst>
            <a:ext uri="{FF2B5EF4-FFF2-40B4-BE49-F238E27FC236}">
              <a16:creationId xmlns:a16="http://schemas.microsoft.com/office/drawing/2014/main" id="{8FC9330C-2580-4FAE-9F14-944668A1A7F0}"/>
            </a:ext>
          </a:extLst>
        </xdr:cNvPr>
        <xdr:cNvSpPr/>
      </xdr:nvSpPr>
      <xdr:spPr>
        <a:xfrm rot="11291266">
          <a:off x="9185621" y="12235223"/>
          <a:ext cx="323850" cy="9525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0.44615</cdr:x>
      <cdr:y>0.27573</cdr:y>
    </cdr:from>
    <cdr:to>
      <cdr:x>0.52943</cdr:x>
      <cdr:y>0.30717</cdr:y>
    </cdr:to>
    <cdr:sp macro="" textlink="">
      <cdr:nvSpPr>
        <cdr:cNvPr id="2" name="Flecha: a la derecha 1">
          <a:extLst xmlns:a="http://schemas.openxmlformats.org/drawingml/2006/main">
            <a:ext uri="{FF2B5EF4-FFF2-40B4-BE49-F238E27FC236}">
              <a16:creationId xmlns:a16="http://schemas.microsoft.com/office/drawing/2014/main" id="{4E01636E-4BBF-440E-81CA-FBAEE10D22DE}"/>
            </a:ext>
          </a:extLst>
        </cdr:cNvPr>
        <cdr:cNvSpPr/>
      </cdr:nvSpPr>
      <cdr:spPr>
        <a:xfrm xmlns:a="http://schemas.openxmlformats.org/drawingml/2006/main" rot="645092">
          <a:off x="1736246" y="835533"/>
          <a:ext cx="324117" cy="95275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AR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66675</xdr:colOff>
      <xdr:row>0</xdr:row>
      <xdr:rowOff>61910</xdr:rowOff>
    </xdr:from>
    <xdr:to>
      <xdr:col>23</xdr:col>
      <xdr:colOff>657224</xdr:colOff>
      <xdr:row>21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79B14B-97D8-407B-8A89-46D496EA3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0</xdr:rowOff>
    </xdr:from>
    <xdr:to>
      <xdr:col>19</xdr:col>
      <xdr:colOff>371475</xdr:colOff>
      <xdr:row>25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FE4071-55AE-4E66-857A-EFCB903DC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25</xdr:row>
      <xdr:rowOff>66675</xdr:rowOff>
    </xdr:from>
    <xdr:to>
      <xdr:col>13</xdr:col>
      <xdr:colOff>0</xdr:colOff>
      <xdr:row>25</xdr:row>
      <xdr:rowOff>66675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B7C9B14-0D98-45BA-8764-BFDD5DB376B8}"/>
            </a:ext>
          </a:extLst>
        </xdr:cNvPr>
        <xdr:cNvCxnSpPr/>
      </xdr:nvCxnSpPr>
      <xdr:spPr>
        <a:xfrm>
          <a:off x="7629525" y="4848225"/>
          <a:ext cx="5048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28</xdr:row>
      <xdr:rowOff>95250</xdr:rowOff>
    </xdr:from>
    <xdr:to>
      <xdr:col>13</xdr:col>
      <xdr:colOff>0</xdr:colOff>
      <xdr:row>28</xdr:row>
      <xdr:rowOff>95250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9A0789-F29E-4CCE-AE5C-C57631A18FD2}"/>
            </a:ext>
          </a:extLst>
        </xdr:cNvPr>
        <xdr:cNvCxnSpPr/>
      </xdr:nvCxnSpPr>
      <xdr:spPr>
        <a:xfrm>
          <a:off x="7629525" y="5248275"/>
          <a:ext cx="5048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32</xdr:row>
      <xdr:rowOff>9525</xdr:rowOff>
    </xdr:from>
    <xdr:to>
      <xdr:col>13</xdr:col>
      <xdr:colOff>0</xdr:colOff>
      <xdr:row>32</xdr:row>
      <xdr:rowOff>9525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795B90AC-34C2-427C-8B48-51877EB818D6}"/>
            </a:ext>
          </a:extLst>
        </xdr:cNvPr>
        <xdr:cNvCxnSpPr/>
      </xdr:nvCxnSpPr>
      <xdr:spPr>
        <a:xfrm>
          <a:off x="7629525" y="5800725"/>
          <a:ext cx="5048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35</xdr:row>
      <xdr:rowOff>95250</xdr:rowOff>
    </xdr:from>
    <xdr:to>
      <xdr:col>13</xdr:col>
      <xdr:colOff>0</xdr:colOff>
      <xdr:row>35</xdr:row>
      <xdr:rowOff>95250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FCAAC646-A453-4DC5-AEAD-5BA45690DE0B}"/>
            </a:ext>
          </a:extLst>
        </xdr:cNvPr>
        <xdr:cNvCxnSpPr/>
      </xdr:nvCxnSpPr>
      <xdr:spPr>
        <a:xfrm>
          <a:off x="7629525" y="6334125"/>
          <a:ext cx="5048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37</xdr:row>
      <xdr:rowOff>66675</xdr:rowOff>
    </xdr:from>
    <xdr:to>
      <xdr:col>12</xdr:col>
      <xdr:colOff>504825</xdr:colOff>
      <xdr:row>37</xdr:row>
      <xdr:rowOff>66675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6F619CD2-8A5E-48DA-B066-19C27DFCC592}"/>
            </a:ext>
          </a:extLst>
        </xdr:cNvPr>
        <xdr:cNvCxnSpPr/>
      </xdr:nvCxnSpPr>
      <xdr:spPr>
        <a:xfrm>
          <a:off x="7620000" y="6629400"/>
          <a:ext cx="5048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40</xdr:row>
      <xdr:rowOff>104775</xdr:rowOff>
    </xdr:from>
    <xdr:to>
      <xdr:col>12</xdr:col>
      <xdr:colOff>504825</xdr:colOff>
      <xdr:row>40</xdr:row>
      <xdr:rowOff>104775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1C66287-2B2D-4810-8971-3C05B9BEF89D}"/>
            </a:ext>
          </a:extLst>
        </xdr:cNvPr>
        <xdr:cNvCxnSpPr/>
      </xdr:nvCxnSpPr>
      <xdr:spPr>
        <a:xfrm>
          <a:off x="7620000" y="7038975"/>
          <a:ext cx="5048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43</xdr:row>
      <xdr:rowOff>95250</xdr:rowOff>
    </xdr:from>
    <xdr:to>
      <xdr:col>12</xdr:col>
      <xdr:colOff>504825</xdr:colOff>
      <xdr:row>43</xdr:row>
      <xdr:rowOff>95250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E1E01C74-3BB7-40B2-BE30-FC2A2CA6E86C}"/>
            </a:ext>
          </a:extLst>
        </xdr:cNvPr>
        <xdr:cNvCxnSpPr/>
      </xdr:nvCxnSpPr>
      <xdr:spPr>
        <a:xfrm>
          <a:off x="7620000" y="7477125"/>
          <a:ext cx="5048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45</xdr:row>
      <xdr:rowOff>66675</xdr:rowOff>
    </xdr:from>
    <xdr:to>
      <xdr:col>12</xdr:col>
      <xdr:colOff>504825</xdr:colOff>
      <xdr:row>45</xdr:row>
      <xdr:rowOff>66675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7DFCE23D-4360-48D3-98A6-6428C4DDDA8A}"/>
            </a:ext>
          </a:extLst>
        </xdr:cNvPr>
        <xdr:cNvCxnSpPr/>
      </xdr:nvCxnSpPr>
      <xdr:spPr>
        <a:xfrm>
          <a:off x="7620000" y="7772400"/>
          <a:ext cx="5048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48</xdr:row>
      <xdr:rowOff>85725</xdr:rowOff>
    </xdr:from>
    <xdr:to>
      <xdr:col>10</xdr:col>
      <xdr:colOff>504825</xdr:colOff>
      <xdr:row>48</xdr:row>
      <xdr:rowOff>85725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74FF93CC-B325-4F37-936B-0C56EE18D51A}"/>
            </a:ext>
          </a:extLst>
        </xdr:cNvPr>
        <xdr:cNvCxnSpPr/>
      </xdr:nvCxnSpPr>
      <xdr:spPr>
        <a:xfrm>
          <a:off x="6343650" y="8210550"/>
          <a:ext cx="5048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51</xdr:row>
      <xdr:rowOff>76200</xdr:rowOff>
    </xdr:from>
    <xdr:to>
      <xdr:col>12</xdr:col>
      <xdr:colOff>504825</xdr:colOff>
      <xdr:row>51</xdr:row>
      <xdr:rowOff>76200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B5E44E79-9B4D-45C2-9DA5-493877CE5351}"/>
            </a:ext>
          </a:extLst>
        </xdr:cNvPr>
        <xdr:cNvCxnSpPr/>
      </xdr:nvCxnSpPr>
      <xdr:spPr>
        <a:xfrm>
          <a:off x="7620000" y="8591550"/>
          <a:ext cx="5048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54</xdr:row>
      <xdr:rowOff>104775</xdr:rowOff>
    </xdr:from>
    <xdr:to>
      <xdr:col>12</xdr:col>
      <xdr:colOff>504825</xdr:colOff>
      <xdr:row>54</xdr:row>
      <xdr:rowOff>104775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1BAE0074-1B15-449A-B111-B42EDAE0CF61}"/>
            </a:ext>
          </a:extLst>
        </xdr:cNvPr>
        <xdr:cNvCxnSpPr/>
      </xdr:nvCxnSpPr>
      <xdr:spPr>
        <a:xfrm>
          <a:off x="7620000" y="9020175"/>
          <a:ext cx="5048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57</xdr:row>
      <xdr:rowOff>95250</xdr:rowOff>
    </xdr:from>
    <xdr:to>
      <xdr:col>12</xdr:col>
      <xdr:colOff>504825</xdr:colOff>
      <xdr:row>57</xdr:row>
      <xdr:rowOff>95250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51B355CA-A754-4A0A-AA5C-6E88EE710648}"/>
            </a:ext>
          </a:extLst>
        </xdr:cNvPr>
        <xdr:cNvCxnSpPr/>
      </xdr:nvCxnSpPr>
      <xdr:spPr>
        <a:xfrm>
          <a:off x="7620000" y="9458325"/>
          <a:ext cx="5048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60</xdr:row>
      <xdr:rowOff>95250</xdr:rowOff>
    </xdr:from>
    <xdr:to>
      <xdr:col>12</xdr:col>
      <xdr:colOff>504825</xdr:colOff>
      <xdr:row>60</xdr:row>
      <xdr:rowOff>95250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8EFF84D1-007A-48A5-8B92-62B02FB3C48E}"/>
            </a:ext>
          </a:extLst>
        </xdr:cNvPr>
        <xdr:cNvCxnSpPr/>
      </xdr:nvCxnSpPr>
      <xdr:spPr>
        <a:xfrm>
          <a:off x="7620000" y="9906000"/>
          <a:ext cx="5048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63</xdr:row>
      <xdr:rowOff>104775</xdr:rowOff>
    </xdr:from>
    <xdr:to>
      <xdr:col>12</xdr:col>
      <xdr:colOff>504825</xdr:colOff>
      <xdr:row>63</xdr:row>
      <xdr:rowOff>104775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42C8D264-016E-4281-B9CB-CD622B6210B2}"/>
            </a:ext>
          </a:extLst>
        </xdr:cNvPr>
        <xdr:cNvCxnSpPr/>
      </xdr:nvCxnSpPr>
      <xdr:spPr>
        <a:xfrm>
          <a:off x="7620000" y="10363200"/>
          <a:ext cx="5048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66</xdr:row>
      <xdr:rowOff>95250</xdr:rowOff>
    </xdr:from>
    <xdr:to>
      <xdr:col>12</xdr:col>
      <xdr:colOff>504825</xdr:colOff>
      <xdr:row>66</xdr:row>
      <xdr:rowOff>95250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160DDD3E-9613-4602-8A58-AB3D39CC51C6}"/>
            </a:ext>
          </a:extLst>
        </xdr:cNvPr>
        <xdr:cNvCxnSpPr/>
      </xdr:nvCxnSpPr>
      <xdr:spPr>
        <a:xfrm>
          <a:off x="7620000" y="10801350"/>
          <a:ext cx="5048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69</xdr:row>
      <xdr:rowOff>104775</xdr:rowOff>
    </xdr:from>
    <xdr:to>
      <xdr:col>12</xdr:col>
      <xdr:colOff>504825</xdr:colOff>
      <xdr:row>69</xdr:row>
      <xdr:rowOff>104775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39ED3A94-836E-472B-A40E-145FEA295A9B}"/>
            </a:ext>
          </a:extLst>
        </xdr:cNvPr>
        <xdr:cNvCxnSpPr/>
      </xdr:nvCxnSpPr>
      <xdr:spPr>
        <a:xfrm>
          <a:off x="7620000" y="11258550"/>
          <a:ext cx="5048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72</xdr:row>
      <xdr:rowOff>104775</xdr:rowOff>
    </xdr:from>
    <xdr:to>
      <xdr:col>12</xdr:col>
      <xdr:colOff>504825</xdr:colOff>
      <xdr:row>72</xdr:row>
      <xdr:rowOff>104775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69662D93-55E9-410E-98FF-A67E4E35CC99}"/>
            </a:ext>
          </a:extLst>
        </xdr:cNvPr>
        <xdr:cNvCxnSpPr/>
      </xdr:nvCxnSpPr>
      <xdr:spPr>
        <a:xfrm>
          <a:off x="7620000" y="11706225"/>
          <a:ext cx="5048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75</xdr:row>
      <xdr:rowOff>85725</xdr:rowOff>
    </xdr:from>
    <xdr:to>
      <xdr:col>12</xdr:col>
      <xdr:colOff>504825</xdr:colOff>
      <xdr:row>75</xdr:row>
      <xdr:rowOff>85725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D1241EA5-21DD-4CC0-977D-E38BC1BC0036}"/>
            </a:ext>
          </a:extLst>
        </xdr:cNvPr>
        <xdr:cNvCxnSpPr/>
      </xdr:nvCxnSpPr>
      <xdr:spPr>
        <a:xfrm>
          <a:off x="7620000" y="12134850"/>
          <a:ext cx="5048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78</xdr:row>
      <xdr:rowOff>95250</xdr:rowOff>
    </xdr:from>
    <xdr:to>
      <xdr:col>10</xdr:col>
      <xdr:colOff>504825</xdr:colOff>
      <xdr:row>78</xdr:row>
      <xdr:rowOff>95250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8CE64A55-5961-4926-A2C2-EC829AB0927E}"/>
            </a:ext>
          </a:extLst>
        </xdr:cNvPr>
        <xdr:cNvCxnSpPr/>
      </xdr:nvCxnSpPr>
      <xdr:spPr>
        <a:xfrm>
          <a:off x="6343650" y="12592050"/>
          <a:ext cx="5048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</xdr:colOff>
      <xdr:row>78</xdr:row>
      <xdr:rowOff>95250</xdr:rowOff>
    </xdr:from>
    <xdr:to>
      <xdr:col>25</xdr:col>
      <xdr:colOff>504828</xdr:colOff>
      <xdr:row>78</xdr:row>
      <xdr:rowOff>95250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0C300174-AF92-4FD9-A539-9EB914E36874}"/>
            </a:ext>
          </a:extLst>
        </xdr:cNvPr>
        <xdr:cNvCxnSpPr/>
      </xdr:nvCxnSpPr>
      <xdr:spPr>
        <a:xfrm>
          <a:off x="14478003" y="12594981"/>
          <a:ext cx="5048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11</xdr:row>
      <xdr:rowOff>0</xdr:rowOff>
    </xdr:from>
    <xdr:to>
      <xdr:col>21</xdr:col>
      <xdr:colOff>0</xdr:colOff>
      <xdr:row>15</xdr:row>
      <xdr:rowOff>6569</xdr:rowOff>
    </xdr:to>
    <xdr:cxnSp macro="">
      <xdr:nvCxnSpPr>
        <xdr:cNvPr id="90" name="Conector recto de flecha 89">
          <a:extLst>
            <a:ext uri="{FF2B5EF4-FFF2-40B4-BE49-F238E27FC236}">
              <a16:creationId xmlns:a16="http://schemas.microsoft.com/office/drawing/2014/main" id="{4EA8187E-7FA6-4CEC-9913-7D83DB471860}"/>
            </a:ext>
          </a:extLst>
        </xdr:cNvPr>
        <xdr:cNvCxnSpPr/>
      </xdr:nvCxnSpPr>
      <xdr:spPr>
        <a:xfrm>
          <a:off x="11994931" y="2121776"/>
          <a:ext cx="0" cy="768569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361293</xdr:colOff>
      <xdr:row>26</xdr:row>
      <xdr:rowOff>13138</xdr:rowOff>
    </xdr:from>
    <xdr:to>
      <xdr:col>24</xdr:col>
      <xdr:colOff>361293</xdr:colOff>
      <xdr:row>27</xdr:row>
      <xdr:rowOff>111672</xdr:rowOff>
    </xdr:to>
    <xdr:cxnSp macro="">
      <xdr:nvCxnSpPr>
        <xdr:cNvPr id="93" name="Conector recto de flecha 92">
          <a:extLst>
            <a:ext uri="{FF2B5EF4-FFF2-40B4-BE49-F238E27FC236}">
              <a16:creationId xmlns:a16="http://schemas.microsoft.com/office/drawing/2014/main" id="{06459432-2B1F-4889-8D58-FF21DF745179}"/>
            </a:ext>
          </a:extLst>
        </xdr:cNvPr>
        <xdr:cNvCxnSpPr/>
      </xdr:nvCxnSpPr>
      <xdr:spPr>
        <a:xfrm>
          <a:off x="14077293" y="4907017"/>
          <a:ext cx="0" cy="22334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366349</xdr:colOff>
      <xdr:row>29</xdr:row>
      <xdr:rowOff>0</xdr:rowOff>
    </xdr:from>
    <xdr:to>
      <xdr:col>24</xdr:col>
      <xdr:colOff>366349</xdr:colOff>
      <xdr:row>30</xdr:row>
      <xdr:rowOff>98533</xdr:rowOff>
    </xdr:to>
    <xdr:cxnSp macro="">
      <xdr:nvCxnSpPr>
        <xdr:cNvPr id="96" name="Conector recto de flecha 95">
          <a:extLst>
            <a:ext uri="{FF2B5EF4-FFF2-40B4-BE49-F238E27FC236}">
              <a16:creationId xmlns:a16="http://schemas.microsoft.com/office/drawing/2014/main" id="{AC908B33-4301-4A9E-9035-01BD37C16025}"/>
            </a:ext>
          </a:extLst>
        </xdr:cNvPr>
        <xdr:cNvCxnSpPr/>
      </xdr:nvCxnSpPr>
      <xdr:spPr>
        <a:xfrm>
          <a:off x="14082349" y="5348654"/>
          <a:ext cx="0" cy="22309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366350</xdr:colOff>
      <xdr:row>33</xdr:row>
      <xdr:rowOff>0</xdr:rowOff>
    </xdr:from>
    <xdr:to>
      <xdr:col>24</xdr:col>
      <xdr:colOff>366350</xdr:colOff>
      <xdr:row>34</xdr:row>
      <xdr:rowOff>98533</xdr:rowOff>
    </xdr:to>
    <xdr:cxnSp macro="">
      <xdr:nvCxnSpPr>
        <xdr:cNvPr id="97" name="Conector recto de flecha 96">
          <a:extLst>
            <a:ext uri="{FF2B5EF4-FFF2-40B4-BE49-F238E27FC236}">
              <a16:creationId xmlns:a16="http://schemas.microsoft.com/office/drawing/2014/main" id="{D36EAEAD-FE18-4911-B66A-92B875CA1C0F}"/>
            </a:ext>
          </a:extLst>
        </xdr:cNvPr>
        <xdr:cNvCxnSpPr/>
      </xdr:nvCxnSpPr>
      <xdr:spPr>
        <a:xfrm>
          <a:off x="14082350" y="5986096"/>
          <a:ext cx="0" cy="22309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366350</xdr:colOff>
      <xdr:row>36</xdr:row>
      <xdr:rowOff>0</xdr:rowOff>
    </xdr:from>
    <xdr:to>
      <xdr:col>24</xdr:col>
      <xdr:colOff>366350</xdr:colOff>
      <xdr:row>36</xdr:row>
      <xdr:rowOff>117230</xdr:rowOff>
    </xdr:to>
    <xdr:cxnSp macro="">
      <xdr:nvCxnSpPr>
        <xdr:cNvPr id="98" name="Conector recto de flecha 97">
          <a:extLst>
            <a:ext uri="{FF2B5EF4-FFF2-40B4-BE49-F238E27FC236}">
              <a16:creationId xmlns:a16="http://schemas.microsoft.com/office/drawing/2014/main" id="{79063908-4A7E-4656-85AE-22B36A2B6546}"/>
            </a:ext>
          </a:extLst>
        </xdr:cNvPr>
        <xdr:cNvCxnSpPr/>
      </xdr:nvCxnSpPr>
      <xdr:spPr>
        <a:xfrm>
          <a:off x="14082350" y="6418385"/>
          <a:ext cx="0" cy="11723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373675</xdr:colOff>
      <xdr:row>38</xdr:row>
      <xdr:rowOff>0</xdr:rowOff>
    </xdr:from>
    <xdr:to>
      <xdr:col>24</xdr:col>
      <xdr:colOff>373675</xdr:colOff>
      <xdr:row>40</xdr:row>
      <xdr:rowOff>0</xdr:rowOff>
    </xdr:to>
    <xdr:cxnSp macro="">
      <xdr:nvCxnSpPr>
        <xdr:cNvPr id="101" name="Conector recto de flecha 100">
          <a:extLst>
            <a:ext uri="{FF2B5EF4-FFF2-40B4-BE49-F238E27FC236}">
              <a16:creationId xmlns:a16="http://schemas.microsoft.com/office/drawing/2014/main" id="{6A86EB9C-F8B5-4E37-9327-D8608E7F11F0}"/>
            </a:ext>
          </a:extLst>
        </xdr:cNvPr>
        <xdr:cNvCxnSpPr/>
      </xdr:nvCxnSpPr>
      <xdr:spPr>
        <a:xfrm>
          <a:off x="14089675" y="6667500"/>
          <a:ext cx="0" cy="24911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366350</xdr:colOff>
      <xdr:row>41</xdr:row>
      <xdr:rowOff>0</xdr:rowOff>
    </xdr:from>
    <xdr:to>
      <xdr:col>24</xdr:col>
      <xdr:colOff>366350</xdr:colOff>
      <xdr:row>42</xdr:row>
      <xdr:rowOff>124557</xdr:rowOff>
    </xdr:to>
    <xdr:cxnSp macro="">
      <xdr:nvCxnSpPr>
        <xdr:cNvPr id="103" name="Conector recto de flecha 102">
          <a:extLst>
            <a:ext uri="{FF2B5EF4-FFF2-40B4-BE49-F238E27FC236}">
              <a16:creationId xmlns:a16="http://schemas.microsoft.com/office/drawing/2014/main" id="{2B5A1349-7D7B-4047-A582-08552AEE31D2}"/>
            </a:ext>
          </a:extLst>
        </xdr:cNvPr>
        <xdr:cNvCxnSpPr/>
      </xdr:nvCxnSpPr>
      <xdr:spPr>
        <a:xfrm>
          <a:off x="14082350" y="7114442"/>
          <a:ext cx="0" cy="24911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366350</xdr:colOff>
      <xdr:row>44</xdr:row>
      <xdr:rowOff>0</xdr:rowOff>
    </xdr:from>
    <xdr:to>
      <xdr:col>24</xdr:col>
      <xdr:colOff>366350</xdr:colOff>
      <xdr:row>44</xdr:row>
      <xdr:rowOff>117230</xdr:rowOff>
    </xdr:to>
    <xdr:cxnSp macro="">
      <xdr:nvCxnSpPr>
        <xdr:cNvPr id="104" name="Conector recto de flecha 103">
          <a:extLst>
            <a:ext uri="{FF2B5EF4-FFF2-40B4-BE49-F238E27FC236}">
              <a16:creationId xmlns:a16="http://schemas.microsoft.com/office/drawing/2014/main" id="{36324A0C-DA5E-4BC4-9525-DDD726956FAE}"/>
            </a:ext>
          </a:extLst>
        </xdr:cNvPr>
        <xdr:cNvCxnSpPr/>
      </xdr:nvCxnSpPr>
      <xdr:spPr>
        <a:xfrm>
          <a:off x="14082350" y="7561385"/>
          <a:ext cx="0" cy="11723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373677</xdr:colOff>
      <xdr:row>46</xdr:row>
      <xdr:rowOff>7326</xdr:rowOff>
    </xdr:from>
    <xdr:to>
      <xdr:col>24</xdr:col>
      <xdr:colOff>373677</xdr:colOff>
      <xdr:row>48</xdr:row>
      <xdr:rowOff>7325</xdr:rowOff>
    </xdr:to>
    <xdr:cxnSp macro="">
      <xdr:nvCxnSpPr>
        <xdr:cNvPr id="105" name="Conector recto de flecha 104">
          <a:extLst>
            <a:ext uri="{FF2B5EF4-FFF2-40B4-BE49-F238E27FC236}">
              <a16:creationId xmlns:a16="http://schemas.microsoft.com/office/drawing/2014/main" id="{C4F66C65-2357-4DEA-A537-9762658AC1F8}"/>
            </a:ext>
          </a:extLst>
        </xdr:cNvPr>
        <xdr:cNvCxnSpPr/>
      </xdr:nvCxnSpPr>
      <xdr:spPr>
        <a:xfrm>
          <a:off x="14089677" y="7883768"/>
          <a:ext cx="0" cy="24911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373677</xdr:colOff>
      <xdr:row>49</xdr:row>
      <xdr:rowOff>0</xdr:rowOff>
    </xdr:from>
    <xdr:to>
      <xdr:col>24</xdr:col>
      <xdr:colOff>373677</xdr:colOff>
      <xdr:row>50</xdr:row>
      <xdr:rowOff>124557</xdr:rowOff>
    </xdr:to>
    <xdr:cxnSp macro="">
      <xdr:nvCxnSpPr>
        <xdr:cNvPr id="106" name="Conector recto de flecha 105">
          <a:extLst>
            <a:ext uri="{FF2B5EF4-FFF2-40B4-BE49-F238E27FC236}">
              <a16:creationId xmlns:a16="http://schemas.microsoft.com/office/drawing/2014/main" id="{7308E3B5-FE23-41B4-B42C-71A4714553A9}"/>
            </a:ext>
          </a:extLst>
        </xdr:cNvPr>
        <xdr:cNvCxnSpPr/>
      </xdr:nvCxnSpPr>
      <xdr:spPr>
        <a:xfrm>
          <a:off x="14089677" y="8272096"/>
          <a:ext cx="0" cy="24911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366350</xdr:colOff>
      <xdr:row>52</xdr:row>
      <xdr:rowOff>0</xdr:rowOff>
    </xdr:from>
    <xdr:to>
      <xdr:col>24</xdr:col>
      <xdr:colOff>366350</xdr:colOff>
      <xdr:row>54</xdr:row>
      <xdr:rowOff>0</xdr:rowOff>
    </xdr:to>
    <xdr:cxnSp macro="">
      <xdr:nvCxnSpPr>
        <xdr:cNvPr id="107" name="Conector recto de flecha 106">
          <a:extLst>
            <a:ext uri="{FF2B5EF4-FFF2-40B4-BE49-F238E27FC236}">
              <a16:creationId xmlns:a16="http://schemas.microsoft.com/office/drawing/2014/main" id="{89F117C0-AA83-424B-8B29-3909842DB5CE}"/>
            </a:ext>
          </a:extLst>
        </xdr:cNvPr>
        <xdr:cNvCxnSpPr/>
      </xdr:nvCxnSpPr>
      <xdr:spPr>
        <a:xfrm>
          <a:off x="14082350" y="8675077"/>
          <a:ext cx="0" cy="24911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366346</xdr:colOff>
      <xdr:row>54</xdr:row>
      <xdr:rowOff>190500</xdr:rowOff>
    </xdr:from>
    <xdr:to>
      <xdr:col>24</xdr:col>
      <xdr:colOff>366346</xdr:colOff>
      <xdr:row>56</xdr:row>
      <xdr:rowOff>117230</xdr:rowOff>
    </xdr:to>
    <xdr:cxnSp macro="">
      <xdr:nvCxnSpPr>
        <xdr:cNvPr id="108" name="Conector recto de flecha 107">
          <a:extLst>
            <a:ext uri="{FF2B5EF4-FFF2-40B4-BE49-F238E27FC236}">
              <a16:creationId xmlns:a16="http://schemas.microsoft.com/office/drawing/2014/main" id="{083596E9-82D5-4858-B279-0C45AF36E00F}"/>
            </a:ext>
          </a:extLst>
        </xdr:cNvPr>
        <xdr:cNvCxnSpPr/>
      </xdr:nvCxnSpPr>
      <xdr:spPr>
        <a:xfrm>
          <a:off x="14082346" y="9114692"/>
          <a:ext cx="0" cy="24911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366354</xdr:colOff>
      <xdr:row>58</xdr:row>
      <xdr:rowOff>0</xdr:rowOff>
    </xdr:from>
    <xdr:to>
      <xdr:col>24</xdr:col>
      <xdr:colOff>366354</xdr:colOff>
      <xdr:row>60</xdr:row>
      <xdr:rowOff>0</xdr:rowOff>
    </xdr:to>
    <xdr:cxnSp macro="">
      <xdr:nvCxnSpPr>
        <xdr:cNvPr id="109" name="Conector recto de flecha 108">
          <a:extLst>
            <a:ext uri="{FF2B5EF4-FFF2-40B4-BE49-F238E27FC236}">
              <a16:creationId xmlns:a16="http://schemas.microsoft.com/office/drawing/2014/main" id="{7F9F0CE3-8491-4865-8267-CD62F038F3EA}"/>
            </a:ext>
          </a:extLst>
        </xdr:cNvPr>
        <xdr:cNvCxnSpPr/>
      </xdr:nvCxnSpPr>
      <xdr:spPr>
        <a:xfrm>
          <a:off x="14082354" y="9568962"/>
          <a:ext cx="0" cy="24911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366350</xdr:colOff>
      <xdr:row>60</xdr:row>
      <xdr:rowOff>190500</xdr:rowOff>
    </xdr:from>
    <xdr:to>
      <xdr:col>24</xdr:col>
      <xdr:colOff>366350</xdr:colOff>
      <xdr:row>62</xdr:row>
      <xdr:rowOff>117230</xdr:rowOff>
    </xdr:to>
    <xdr:cxnSp macro="">
      <xdr:nvCxnSpPr>
        <xdr:cNvPr id="110" name="Conector recto de flecha 109">
          <a:extLst>
            <a:ext uri="{FF2B5EF4-FFF2-40B4-BE49-F238E27FC236}">
              <a16:creationId xmlns:a16="http://schemas.microsoft.com/office/drawing/2014/main" id="{E6AE346F-B3C6-4E8C-B1E4-349967C66AEF}"/>
            </a:ext>
          </a:extLst>
        </xdr:cNvPr>
        <xdr:cNvCxnSpPr/>
      </xdr:nvCxnSpPr>
      <xdr:spPr>
        <a:xfrm>
          <a:off x="14082350" y="10008577"/>
          <a:ext cx="0" cy="24911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366354</xdr:colOff>
      <xdr:row>64</xdr:row>
      <xdr:rowOff>0</xdr:rowOff>
    </xdr:from>
    <xdr:to>
      <xdr:col>24</xdr:col>
      <xdr:colOff>366354</xdr:colOff>
      <xdr:row>65</xdr:row>
      <xdr:rowOff>124557</xdr:rowOff>
    </xdr:to>
    <xdr:cxnSp macro="">
      <xdr:nvCxnSpPr>
        <xdr:cNvPr id="111" name="Conector recto de flecha 110">
          <a:extLst>
            <a:ext uri="{FF2B5EF4-FFF2-40B4-BE49-F238E27FC236}">
              <a16:creationId xmlns:a16="http://schemas.microsoft.com/office/drawing/2014/main" id="{51850AC9-8DCA-4A83-9282-4ACBD5CA0DD3}"/>
            </a:ext>
          </a:extLst>
        </xdr:cNvPr>
        <xdr:cNvCxnSpPr/>
      </xdr:nvCxnSpPr>
      <xdr:spPr>
        <a:xfrm>
          <a:off x="14082354" y="10462846"/>
          <a:ext cx="0" cy="24911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366350</xdr:colOff>
      <xdr:row>66</xdr:row>
      <xdr:rowOff>190499</xdr:rowOff>
    </xdr:from>
    <xdr:to>
      <xdr:col>24</xdr:col>
      <xdr:colOff>366350</xdr:colOff>
      <xdr:row>68</xdr:row>
      <xdr:rowOff>117230</xdr:rowOff>
    </xdr:to>
    <xdr:cxnSp macro="">
      <xdr:nvCxnSpPr>
        <xdr:cNvPr id="112" name="Conector recto de flecha 111">
          <a:extLst>
            <a:ext uri="{FF2B5EF4-FFF2-40B4-BE49-F238E27FC236}">
              <a16:creationId xmlns:a16="http://schemas.microsoft.com/office/drawing/2014/main" id="{1AEF391E-FDCB-4A7F-9FD3-B653A1D1EAB4}"/>
            </a:ext>
          </a:extLst>
        </xdr:cNvPr>
        <xdr:cNvCxnSpPr/>
      </xdr:nvCxnSpPr>
      <xdr:spPr>
        <a:xfrm>
          <a:off x="14082350" y="10902461"/>
          <a:ext cx="0" cy="24911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366358</xdr:colOff>
      <xdr:row>70</xdr:row>
      <xdr:rowOff>0</xdr:rowOff>
    </xdr:from>
    <xdr:to>
      <xdr:col>24</xdr:col>
      <xdr:colOff>366358</xdr:colOff>
      <xdr:row>72</xdr:row>
      <xdr:rowOff>0</xdr:rowOff>
    </xdr:to>
    <xdr:cxnSp macro="">
      <xdr:nvCxnSpPr>
        <xdr:cNvPr id="113" name="Conector recto de flecha 112">
          <a:extLst>
            <a:ext uri="{FF2B5EF4-FFF2-40B4-BE49-F238E27FC236}">
              <a16:creationId xmlns:a16="http://schemas.microsoft.com/office/drawing/2014/main" id="{48250407-A0EC-4199-B004-13390EF8FE3C}"/>
            </a:ext>
          </a:extLst>
        </xdr:cNvPr>
        <xdr:cNvCxnSpPr/>
      </xdr:nvCxnSpPr>
      <xdr:spPr>
        <a:xfrm>
          <a:off x="14082358" y="11356731"/>
          <a:ext cx="0" cy="24911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366354</xdr:colOff>
      <xdr:row>72</xdr:row>
      <xdr:rowOff>190500</xdr:rowOff>
    </xdr:from>
    <xdr:to>
      <xdr:col>24</xdr:col>
      <xdr:colOff>366354</xdr:colOff>
      <xdr:row>74</xdr:row>
      <xdr:rowOff>117230</xdr:rowOff>
    </xdr:to>
    <xdr:cxnSp macro="">
      <xdr:nvCxnSpPr>
        <xdr:cNvPr id="114" name="Conector recto de flecha 113">
          <a:extLst>
            <a:ext uri="{FF2B5EF4-FFF2-40B4-BE49-F238E27FC236}">
              <a16:creationId xmlns:a16="http://schemas.microsoft.com/office/drawing/2014/main" id="{C3A003B6-F521-4B25-9855-FD031DB5030C}"/>
            </a:ext>
          </a:extLst>
        </xdr:cNvPr>
        <xdr:cNvCxnSpPr/>
      </xdr:nvCxnSpPr>
      <xdr:spPr>
        <a:xfrm>
          <a:off x="14082354" y="11796346"/>
          <a:ext cx="0" cy="24911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373677</xdr:colOff>
      <xdr:row>76</xdr:row>
      <xdr:rowOff>0</xdr:rowOff>
    </xdr:from>
    <xdr:to>
      <xdr:col>24</xdr:col>
      <xdr:colOff>373677</xdr:colOff>
      <xdr:row>77</xdr:row>
      <xdr:rowOff>124557</xdr:rowOff>
    </xdr:to>
    <xdr:cxnSp macro="">
      <xdr:nvCxnSpPr>
        <xdr:cNvPr id="115" name="Conector recto de flecha 114">
          <a:extLst>
            <a:ext uri="{FF2B5EF4-FFF2-40B4-BE49-F238E27FC236}">
              <a16:creationId xmlns:a16="http://schemas.microsoft.com/office/drawing/2014/main" id="{3AA9EA46-D52D-45D6-8F26-9698BE4FC54A}"/>
            </a:ext>
          </a:extLst>
        </xdr:cNvPr>
        <xdr:cNvCxnSpPr/>
      </xdr:nvCxnSpPr>
      <xdr:spPr>
        <a:xfrm>
          <a:off x="14089677" y="12250615"/>
          <a:ext cx="0" cy="24911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0</xdr:row>
      <xdr:rowOff>66675</xdr:rowOff>
    </xdr:from>
    <xdr:to>
      <xdr:col>2</xdr:col>
      <xdr:colOff>714596</xdr:colOff>
      <xdr:row>2</xdr:row>
      <xdr:rowOff>133415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BEE195-F114-4330-BD84-0F91C0D72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66675"/>
          <a:ext cx="1581371" cy="466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17"/>
  <sheetViews>
    <sheetView workbookViewId="0">
      <selection activeCell="N18" sqref="N18"/>
    </sheetView>
  </sheetViews>
  <sheetFormatPr baseColWidth="10" defaultColWidth="9.140625" defaultRowHeight="15" x14ac:dyDescent="0.25"/>
  <cols>
    <col min="2" max="2" width="14.140625" bestFit="1" customWidth="1"/>
    <col min="3" max="3" width="23.140625" bestFit="1" customWidth="1"/>
    <col min="4" max="4" width="11.85546875" customWidth="1"/>
    <col min="5" max="5" width="10.28515625" customWidth="1"/>
    <col min="6" max="7" width="7" customWidth="1"/>
    <col min="8" max="8" width="14.140625" customWidth="1"/>
  </cols>
  <sheetData>
    <row r="2" spans="2:9" ht="35.25" customHeight="1" x14ac:dyDescent="0.25">
      <c r="B2" s="4" t="s">
        <v>1</v>
      </c>
      <c r="C2" s="4" t="s">
        <v>0</v>
      </c>
      <c r="D2" s="4" t="s">
        <v>2</v>
      </c>
      <c r="E2" s="4" t="s">
        <v>4</v>
      </c>
      <c r="F2" s="4" t="s">
        <v>6</v>
      </c>
      <c r="G2" s="4" t="s">
        <v>7</v>
      </c>
      <c r="H2" s="4" t="s">
        <v>8</v>
      </c>
      <c r="I2" s="2"/>
    </row>
    <row r="3" spans="2:9" x14ac:dyDescent="0.25">
      <c r="B3" s="5">
        <v>2</v>
      </c>
      <c r="C3" s="5" t="s">
        <v>22</v>
      </c>
      <c r="D3" s="5" t="s">
        <v>3</v>
      </c>
      <c r="E3" s="5" t="s">
        <v>5</v>
      </c>
      <c r="F3" s="6">
        <v>136.6</v>
      </c>
      <c r="G3" s="5">
        <v>35</v>
      </c>
      <c r="H3" s="7">
        <v>574290.86637738603</v>
      </c>
    </row>
    <row r="4" spans="2:9" x14ac:dyDescent="0.25">
      <c r="B4" s="5">
        <v>7</v>
      </c>
      <c r="C4" s="5" t="s">
        <v>12</v>
      </c>
      <c r="D4" s="5" t="s">
        <v>13</v>
      </c>
      <c r="E4" s="5" t="s">
        <v>5</v>
      </c>
      <c r="F4" s="6">
        <v>287</v>
      </c>
      <c r="G4" s="5">
        <v>201.9</v>
      </c>
      <c r="H4" s="7">
        <v>2391062.0677705901</v>
      </c>
    </row>
    <row r="5" spans="2:9" x14ac:dyDescent="0.25">
      <c r="B5" s="5">
        <v>9</v>
      </c>
      <c r="C5" s="5" t="s">
        <v>14</v>
      </c>
      <c r="D5" s="5" t="s">
        <v>15</v>
      </c>
      <c r="E5" s="5" t="s">
        <v>5</v>
      </c>
      <c r="F5" s="6">
        <v>287</v>
      </c>
      <c r="G5" s="5">
        <v>201.9</v>
      </c>
      <c r="H5" s="7">
        <v>2348211.6780188801</v>
      </c>
    </row>
    <row r="6" spans="2:9" x14ac:dyDescent="0.25">
      <c r="B6" s="5">
        <v>11</v>
      </c>
      <c r="C6" s="5" t="s">
        <v>16</v>
      </c>
      <c r="D6" s="5" t="s">
        <v>17</v>
      </c>
      <c r="E6" s="5" t="s">
        <v>5</v>
      </c>
      <c r="F6" s="6">
        <v>231.4</v>
      </c>
      <c r="G6" s="5">
        <v>40</v>
      </c>
      <c r="H6" s="7">
        <v>7065518.0843466399</v>
      </c>
    </row>
    <row r="7" spans="2:9" x14ac:dyDescent="0.25">
      <c r="B7" s="5">
        <v>24</v>
      </c>
      <c r="C7" s="5" t="s">
        <v>21</v>
      </c>
      <c r="D7" s="5" t="s">
        <v>18</v>
      </c>
      <c r="E7" s="5" t="s">
        <v>5</v>
      </c>
      <c r="F7" s="6">
        <v>147.80000000000001</v>
      </c>
      <c r="G7" s="5">
        <v>35</v>
      </c>
      <c r="H7" s="7">
        <v>2122623.2663119901</v>
      </c>
    </row>
    <row r="8" spans="2:9" x14ac:dyDescent="0.25">
      <c r="B8" s="5">
        <v>26</v>
      </c>
      <c r="C8" s="5" t="s">
        <v>19</v>
      </c>
      <c r="D8" s="5" t="s">
        <v>20</v>
      </c>
      <c r="E8" s="5" t="s">
        <v>5</v>
      </c>
      <c r="F8" s="6">
        <v>150.1</v>
      </c>
      <c r="G8" s="5">
        <v>35</v>
      </c>
      <c r="H8" s="7">
        <v>2171591.25428474</v>
      </c>
    </row>
    <row r="9" spans="2:9" x14ac:dyDescent="0.25">
      <c r="B9" s="5">
        <v>33</v>
      </c>
      <c r="C9" s="5" t="s">
        <v>25</v>
      </c>
      <c r="D9" s="5" t="s">
        <v>26</v>
      </c>
      <c r="E9" s="5" t="s">
        <v>5</v>
      </c>
      <c r="F9" s="5">
        <v>406.5</v>
      </c>
      <c r="G9" s="5">
        <v>282</v>
      </c>
      <c r="H9" s="7">
        <v>2867011.02250046</v>
      </c>
    </row>
    <row r="10" spans="2:9" x14ac:dyDescent="0.25">
      <c r="B10" s="5">
        <v>35</v>
      </c>
      <c r="C10" s="5" t="s">
        <v>27</v>
      </c>
      <c r="D10" s="5" t="s">
        <v>28</v>
      </c>
      <c r="E10" s="5" t="s">
        <v>5</v>
      </c>
      <c r="F10" s="5">
        <v>406.8</v>
      </c>
      <c r="G10" s="5">
        <v>282</v>
      </c>
      <c r="H10" s="7">
        <v>2878217.9086702801</v>
      </c>
    </row>
    <row r="11" spans="2:9" ht="15.75" thickBot="1" x14ac:dyDescent="0.3">
      <c r="B11" s="18">
        <v>37</v>
      </c>
      <c r="C11" s="18" t="s">
        <v>29</v>
      </c>
      <c r="D11" s="18" t="s">
        <v>30</v>
      </c>
      <c r="E11" s="18" t="s">
        <v>5</v>
      </c>
      <c r="F11" s="18">
        <v>360.9</v>
      </c>
      <c r="G11" s="18">
        <v>35</v>
      </c>
      <c r="H11" s="19">
        <v>9384511.9135613292</v>
      </c>
    </row>
    <row r="12" spans="2:9" x14ac:dyDescent="0.25">
      <c r="B12" s="12">
        <v>5</v>
      </c>
      <c r="C12" s="12" t="s">
        <v>9</v>
      </c>
      <c r="D12" s="12" t="s">
        <v>10</v>
      </c>
      <c r="E12" s="12" t="s">
        <v>11</v>
      </c>
      <c r="F12" s="120">
        <v>69.22</v>
      </c>
      <c r="G12" s="12">
        <v>201.9</v>
      </c>
      <c r="H12" s="14">
        <v>-3767185.3654153198</v>
      </c>
    </row>
    <row r="13" spans="2:9" x14ac:dyDescent="0.25">
      <c r="B13" s="5">
        <v>31</v>
      </c>
      <c r="C13" s="5" t="s">
        <v>23</v>
      </c>
      <c r="D13" s="5" t="s">
        <v>24</v>
      </c>
      <c r="E13" s="5" t="s">
        <v>11</v>
      </c>
      <c r="F13" s="6">
        <v>34.97</v>
      </c>
      <c r="G13" s="5">
        <v>282</v>
      </c>
      <c r="H13" s="7">
        <v>-6094562.2754007597</v>
      </c>
    </row>
    <row r="14" spans="2:9" ht="15.75" thickBot="1" x14ac:dyDescent="0.3">
      <c r="B14" s="5">
        <v>44</v>
      </c>
      <c r="C14" s="5" t="s">
        <v>31</v>
      </c>
      <c r="D14" s="5" t="s">
        <v>32</v>
      </c>
      <c r="E14" s="5" t="s">
        <v>11</v>
      </c>
      <c r="F14" s="8">
        <v>-6.2</v>
      </c>
      <c r="G14" s="8">
        <v>25</v>
      </c>
      <c r="H14" s="9">
        <v>-191102.49317041601</v>
      </c>
    </row>
    <row r="15" spans="2:9" ht="15.75" thickBot="1" x14ac:dyDescent="0.3">
      <c r="B15" s="121"/>
      <c r="C15" s="121"/>
      <c r="D15" s="121"/>
      <c r="E15" s="121"/>
      <c r="F15" s="80" t="s">
        <v>33</v>
      </c>
      <c r="G15" s="81"/>
      <c r="H15" s="11">
        <f>SUM(H3:H14)</f>
        <v>21750187.927855797</v>
      </c>
    </row>
    <row r="16" spans="2:9" x14ac:dyDescent="0.25">
      <c r="B16" s="1"/>
      <c r="C16" s="1"/>
      <c r="D16" s="1"/>
      <c r="E16" s="1"/>
      <c r="F16" s="1"/>
      <c r="G16" s="1"/>
      <c r="H16" s="3"/>
    </row>
    <row r="17" spans="2:8" x14ac:dyDescent="0.25">
      <c r="B17" s="1"/>
      <c r="C17" s="1"/>
      <c r="D17" s="1"/>
      <c r="E17" s="1"/>
      <c r="F17" s="1"/>
      <c r="G17" s="1"/>
      <c r="H17" s="3"/>
    </row>
  </sheetData>
  <autoFilter ref="B2:H2" xr:uid="{2EB057F6-3DD1-4F92-8264-3BB089994ADA}">
    <sortState xmlns:xlrd2="http://schemas.microsoft.com/office/spreadsheetml/2017/richdata2" ref="B3:H14">
      <sortCondition ref="E2"/>
    </sortState>
  </autoFilter>
  <mergeCells count="1">
    <mergeCell ref="F15:G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57FD-0F35-48A9-8C5B-0BD1E44C88E1}">
  <sheetPr codeName="Hoja2"/>
  <dimension ref="A1:S28"/>
  <sheetViews>
    <sheetView zoomScale="85" zoomScaleNormal="85" workbookViewId="0">
      <selection activeCell="B2" sqref="B2:H19"/>
    </sheetView>
  </sheetViews>
  <sheetFormatPr baseColWidth="10" defaultRowHeight="15" x14ac:dyDescent="0.25"/>
  <cols>
    <col min="1" max="1" width="9.85546875" bestFit="1" customWidth="1"/>
    <col min="2" max="2" width="8.5703125" customWidth="1"/>
    <col min="3" max="3" width="22.7109375" customWidth="1"/>
    <col min="4" max="4" width="8.7109375" customWidth="1"/>
    <col min="5" max="6" width="6.140625" bestFit="1" customWidth="1"/>
    <col min="7" max="7" width="8.7109375" bestFit="1" customWidth="1"/>
    <col min="8" max="9" width="14.140625" bestFit="1" customWidth="1"/>
    <col min="10" max="10" width="8.5703125" bestFit="1" customWidth="1"/>
    <col min="11" max="11" width="15.28515625" bestFit="1" customWidth="1"/>
    <col min="15" max="15" width="13.5703125" bestFit="1" customWidth="1"/>
  </cols>
  <sheetData>
    <row r="1" spans="1:19" ht="15.75" thickBot="1" x14ac:dyDescent="0.3"/>
    <row r="2" spans="1:19" ht="15.75" customHeight="1" x14ac:dyDescent="0.25">
      <c r="A2" s="150"/>
      <c r="B2" s="123" t="s">
        <v>1</v>
      </c>
      <c r="C2" s="38" t="s">
        <v>0</v>
      </c>
      <c r="D2" s="148" t="s">
        <v>34</v>
      </c>
      <c r="E2" s="37" t="s">
        <v>36</v>
      </c>
      <c r="F2" s="37" t="s">
        <v>35</v>
      </c>
      <c r="G2" s="37" t="s">
        <v>37</v>
      </c>
      <c r="H2" s="37" t="s">
        <v>38</v>
      </c>
      <c r="I2" s="37" t="s">
        <v>39</v>
      </c>
      <c r="J2" s="38" t="s">
        <v>63</v>
      </c>
      <c r="M2" s="75" t="s">
        <v>52</v>
      </c>
      <c r="N2" s="75" t="s">
        <v>53</v>
      </c>
      <c r="O2" s="75" t="s">
        <v>54</v>
      </c>
      <c r="P2" s="75" t="s">
        <v>37</v>
      </c>
      <c r="Q2" s="75" t="s">
        <v>55</v>
      </c>
    </row>
    <row r="3" spans="1:19" ht="18" thickBot="1" x14ac:dyDescent="0.3">
      <c r="A3" s="150"/>
      <c r="B3" s="124"/>
      <c r="C3" s="49"/>
      <c r="D3" s="149"/>
      <c r="E3" s="32" t="s">
        <v>43</v>
      </c>
      <c r="F3" s="32" t="s">
        <v>43</v>
      </c>
      <c r="G3" s="32" t="s">
        <v>40</v>
      </c>
      <c r="H3" s="32" t="s">
        <v>62</v>
      </c>
      <c r="I3" s="32" t="s">
        <v>41</v>
      </c>
      <c r="J3" s="40" t="s">
        <v>42</v>
      </c>
      <c r="M3" s="76" t="s">
        <v>56</v>
      </c>
      <c r="N3" s="76" t="s">
        <v>43</v>
      </c>
      <c r="O3" s="76" t="s">
        <v>43</v>
      </c>
      <c r="P3" s="76" t="s">
        <v>40</v>
      </c>
      <c r="Q3" s="76" t="s">
        <v>61</v>
      </c>
      <c r="S3" s="77" t="s">
        <v>57</v>
      </c>
    </row>
    <row r="4" spans="1:19" x14ac:dyDescent="0.25">
      <c r="A4" s="86" t="s">
        <v>45</v>
      </c>
      <c r="B4" s="50">
        <v>2</v>
      </c>
      <c r="C4" s="125" t="s">
        <v>22</v>
      </c>
      <c r="D4" s="137">
        <v>1</v>
      </c>
      <c r="E4" s="15">
        <v>35</v>
      </c>
      <c r="F4" s="15">
        <v>136.6</v>
      </c>
      <c r="G4" s="16">
        <v>5650.4</v>
      </c>
      <c r="H4" s="152">
        <f>G4*(F4-E4)</f>
        <v>574080.6399999999</v>
      </c>
      <c r="I4" s="152">
        <v>574290.86637738603</v>
      </c>
      <c r="J4" s="17">
        <f t="shared" ref="J4:J20" si="0">(H4-I4)/I4*100</f>
        <v>-3.6606254721102814E-2</v>
      </c>
      <c r="K4" s="66">
        <f>H4/3600</f>
        <v>159.4668444444444</v>
      </c>
      <c r="M4" s="74">
        <v>1</v>
      </c>
      <c r="N4" s="74">
        <v>406.8</v>
      </c>
      <c r="O4" s="74">
        <v>406.5</v>
      </c>
      <c r="P4" s="107">
        <v>23063.68</v>
      </c>
      <c r="Q4" s="7">
        <f>+P4*(N4-O4)*10^-5</f>
        <v>6.9191040000002632E-2</v>
      </c>
    </row>
    <row r="5" spans="1:19" x14ac:dyDescent="0.25">
      <c r="A5" s="87"/>
      <c r="B5" s="52">
        <v>7</v>
      </c>
      <c r="C5" s="126" t="s">
        <v>12</v>
      </c>
      <c r="D5" s="138">
        <v>1</v>
      </c>
      <c r="E5" s="5">
        <v>201.9</v>
      </c>
      <c r="F5" s="5">
        <v>287</v>
      </c>
      <c r="G5" s="78">
        <v>28091.9</v>
      </c>
      <c r="H5" s="153">
        <f t="shared" ref="H5:H15" si="1">G5*(F5-E5)</f>
        <v>2390620.69</v>
      </c>
      <c r="I5" s="153">
        <v>2391062.0677705901</v>
      </c>
      <c r="J5" s="147">
        <f t="shared" si="0"/>
        <v>-1.8459486122903865E-2</v>
      </c>
      <c r="K5" s="66">
        <f t="shared" ref="K5:K19" si="2">H5/3600</f>
        <v>664.06130277777777</v>
      </c>
      <c r="M5" s="74">
        <v>2</v>
      </c>
      <c r="N5" s="74">
        <v>406.5</v>
      </c>
      <c r="O5" s="74">
        <v>360.8</v>
      </c>
      <c r="P5" s="107">
        <v>46103.877</v>
      </c>
      <c r="Q5" s="7">
        <f t="shared" ref="Q5:Q22" si="3">+P5*(N5-O5)*10^-5</f>
        <v>21.069471788999998</v>
      </c>
    </row>
    <row r="6" spans="1:19" x14ac:dyDescent="0.25">
      <c r="A6" s="87"/>
      <c r="B6" s="54">
        <v>9</v>
      </c>
      <c r="C6" s="127" t="s">
        <v>14</v>
      </c>
      <c r="D6" s="138">
        <v>1</v>
      </c>
      <c r="E6" s="5">
        <v>201.9</v>
      </c>
      <c r="F6" s="5">
        <v>287</v>
      </c>
      <c r="G6" s="78">
        <v>27598.5</v>
      </c>
      <c r="H6" s="153">
        <f t="shared" si="1"/>
        <v>2348632.3499999996</v>
      </c>
      <c r="I6" s="153">
        <v>2348211.6780188801</v>
      </c>
      <c r="J6" s="147">
        <f t="shared" si="0"/>
        <v>1.7914568139549489E-2</v>
      </c>
      <c r="K6" s="66">
        <f t="shared" si="2"/>
        <v>652.39787499999989</v>
      </c>
      <c r="M6" s="74">
        <v>3</v>
      </c>
      <c r="N6" s="74">
        <v>360.8</v>
      </c>
      <c r="O6" s="74">
        <v>292</v>
      </c>
      <c r="P6" s="107">
        <v>68476.675293234774</v>
      </c>
      <c r="Q6" s="7">
        <f t="shared" si="3"/>
        <v>47.111952601745536</v>
      </c>
    </row>
    <row r="7" spans="1:19" x14ac:dyDescent="0.25">
      <c r="A7" s="87"/>
      <c r="B7" s="82">
        <v>11</v>
      </c>
      <c r="C7" s="128" t="s">
        <v>16</v>
      </c>
      <c r="D7" s="139">
        <v>1</v>
      </c>
      <c r="E7" s="8">
        <v>40</v>
      </c>
      <c r="F7" s="8">
        <v>102</v>
      </c>
      <c r="G7" s="143">
        <v>55955.5</v>
      </c>
      <c r="H7" s="154">
        <f t="shared" si="1"/>
        <v>3469241</v>
      </c>
      <c r="I7" s="154">
        <v>3524807.1565554142</v>
      </c>
      <c r="J7" s="144">
        <f t="shared" si="0"/>
        <v>-1.5764311092047294</v>
      </c>
      <c r="K7" s="66">
        <f t="shared" si="2"/>
        <v>963.6780555555556</v>
      </c>
      <c r="M7" s="74">
        <v>4</v>
      </c>
      <c r="N7" s="74">
        <v>292</v>
      </c>
      <c r="O7" s="74">
        <v>287</v>
      </c>
      <c r="P7" s="107">
        <v>46663.473303234772</v>
      </c>
      <c r="Q7" s="7">
        <f t="shared" si="3"/>
        <v>2.333173665161739</v>
      </c>
    </row>
    <row r="8" spans="1:19" x14ac:dyDescent="0.25">
      <c r="A8" s="87"/>
      <c r="B8" s="83"/>
      <c r="C8" s="129"/>
      <c r="D8" s="140">
        <v>2</v>
      </c>
      <c r="E8" s="12">
        <v>102</v>
      </c>
      <c r="F8" s="12">
        <v>231.4</v>
      </c>
      <c r="G8" s="13">
        <v>27060.9</v>
      </c>
      <c r="H8" s="155">
        <f t="shared" si="1"/>
        <v>3501680.4600000004</v>
      </c>
      <c r="I8" s="155">
        <f>+'Calores Requeridos'!H6-Fcp!I7</f>
        <v>3540710.9277912257</v>
      </c>
      <c r="J8" s="27">
        <f t="shared" si="0"/>
        <v>-1.1023342087848265</v>
      </c>
      <c r="K8" s="66">
        <f t="shared" si="2"/>
        <v>972.68901666666682</v>
      </c>
      <c r="M8" s="74">
        <v>5</v>
      </c>
      <c r="N8" s="74">
        <v>287</v>
      </c>
      <c r="O8" s="74">
        <v>282</v>
      </c>
      <c r="P8" s="107">
        <v>102353.87330323477</v>
      </c>
      <c r="Q8" s="7">
        <f t="shared" si="3"/>
        <v>5.1176936651617382</v>
      </c>
    </row>
    <row r="9" spans="1:19" x14ac:dyDescent="0.25">
      <c r="A9" s="87"/>
      <c r="B9" s="54">
        <v>24</v>
      </c>
      <c r="C9" s="127" t="s">
        <v>21</v>
      </c>
      <c r="D9" s="138">
        <v>1</v>
      </c>
      <c r="E9" s="5">
        <v>35</v>
      </c>
      <c r="F9" s="5">
        <v>147.80000000000001</v>
      </c>
      <c r="G9" s="78">
        <v>18844.060000000001</v>
      </c>
      <c r="H9" s="153">
        <f t="shared" si="1"/>
        <v>2125609.9680000003</v>
      </c>
      <c r="I9" s="153">
        <v>2122623.2663119901</v>
      </c>
      <c r="J9" s="147">
        <f t="shared" si="0"/>
        <v>0.14070804440015267</v>
      </c>
      <c r="K9" s="66">
        <f t="shared" si="2"/>
        <v>590.44721333333348</v>
      </c>
      <c r="M9" s="74">
        <v>6</v>
      </c>
      <c r="N9" s="74">
        <v>282</v>
      </c>
      <c r="O9" s="74">
        <v>231.4</v>
      </c>
      <c r="P9" s="107">
        <v>56249.996303234773</v>
      </c>
      <c r="Q9" s="7">
        <f t="shared" si="3"/>
        <v>28.462498129436796</v>
      </c>
    </row>
    <row r="10" spans="1:19" x14ac:dyDescent="0.25">
      <c r="A10" s="87"/>
      <c r="B10" s="54">
        <v>26</v>
      </c>
      <c r="C10" s="127" t="s">
        <v>19</v>
      </c>
      <c r="D10" s="138">
        <v>1</v>
      </c>
      <c r="E10" s="5">
        <v>35</v>
      </c>
      <c r="F10" s="5">
        <v>150.1</v>
      </c>
      <c r="G10" s="78">
        <v>18883.646000000001</v>
      </c>
      <c r="H10" s="153">
        <f t="shared" si="1"/>
        <v>2173507.6546</v>
      </c>
      <c r="I10" s="153">
        <v>2171591.25428474</v>
      </c>
      <c r="J10" s="147">
        <f t="shared" si="0"/>
        <v>8.8248666109647628E-2</v>
      </c>
      <c r="K10" s="66">
        <f t="shared" si="2"/>
        <v>603.75212627777773</v>
      </c>
      <c r="M10" s="74">
        <v>7</v>
      </c>
      <c r="N10" s="74">
        <v>231.4</v>
      </c>
      <c r="O10" s="74">
        <v>211.9</v>
      </c>
      <c r="P10" s="107">
        <v>83310.896303234767</v>
      </c>
      <c r="Q10" s="7">
        <f t="shared" si="3"/>
        <v>16.245624779130779</v>
      </c>
    </row>
    <row r="11" spans="1:19" x14ac:dyDescent="0.25">
      <c r="A11" s="87"/>
      <c r="B11" s="54">
        <v>33</v>
      </c>
      <c r="C11" s="127" t="s">
        <v>25</v>
      </c>
      <c r="D11" s="138">
        <v>1</v>
      </c>
      <c r="E11" s="5">
        <v>282</v>
      </c>
      <c r="F11" s="5">
        <v>406.5</v>
      </c>
      <c r="G11" s="78">
        <v>23040.197</v>
      </c>
      <c r="H11" s="153">
        <f t="shared" si="1"/>
        <v>2868504.5265000002</v>
      </c>
      <c r="I11" s="153">
        <v>2867011.02250046</v>
      </c>
      <c r="J11" s="147">
        <f t="shared" si="0"/>
        <v>5.2092719135678762E-2</v>
      </c>
      <c r="K11" s="66">
        <f t="shared" si="2"/>
        <v>796.80681291666667</v>
      </c>
      <c r="M11" s="74">
        <v>8</v>
      </c>
      <c r="N11" s="74">
        <v>211.9</v>
      </c>
      <c r="O11" s="74">
        <v>201.9</v>
      </c>
      <c r="P11" s="107">
        <v>54935.996303234773</v>
      </c>
      <c r="Q11" s="7">
        <f t="shared" si="3"/>
        <v>5.4935996303234775</v>
      </c>
    </row>
    <row r="12" spans="1:19" x14ac:dyDescent="0.25">
      <c r="A12" s="87"/>
      <c r="B12" s="60">
        <v>35</v>
      </c>
      <c r="C12" s="130" t="s">
        <v>27</v>
      </c>
      <c r="D12" s="138">
        <v>1</v>
      </c>
      <c r="E12" s="5">
        <v>282</v>
      </c>
      <c r="F12" s="5">
        <v>406.8</v>
      </c>
      <c r="G12" s="78">
        <v>23063.68</v>
      </c>
      <c r="H12" s="153">
        <f t="shared" si="1"/>
        <v>2878347.2640000004</v>
      </c>
      <c r="I12" s="153">
        <v>2878217.9086702801</v>
      </c>
      <c r="J12" s="147">
        <f t="shared" si="0"/>
        <v>4.4942854858430383E-3</v>
      </c>
      <c r="K12" s="66">
        <f t="shared" si="2"/>
        <v>799.54090666666684</v>
      </c>
      <c r="M12" s="74">
        <v>9</v>
      </c>
      <c r="N12" s="74">
        <v>201.9</v>
      </c>
      <c r="O12" s="74">
        <v>150.1</v>
      </c>
      <c r="P12" s="107">
        <v>-754.40369676522823</v>
      </c>
      <c r="Q12" s="7">
        <f t="shared" si="3"/>
        <v>-0.39078111492438833</v>
      </c>
    </row>
    <row r="13" spans="1:19" x14ac:dyDescent="0.25">
      <c r="A13" s="87"/>
      <c r="B13" s="82">
        <v>37</v>
      </c>
      <c r="C13" s="128" t="s">
        <v>29</v>
      </c>
      <c r="D13" s="139">
        <v>1</v>
      </c>
      <c r="E13" s="8">
        <v>35</v>
      </c>
      <c r="F13" s="8">
        <v>55.5</v>
      </c>
      <c r="G13" s="143">
        <v>44985.308984507479</v>
      </c>
      <c r="H13" s="154">
        <f t="shared" si="1"/>
        <v>922198.83418240328</v>
      </c>
      <c r="I13" s="154">
        <v>928662.06754366308</v>
      </c>
      <c r="J13" s="144">
        <f t="shared" si="0"/>
        <v>-0.69597258110856541</v>
      </c>
      <c r="K13" s="66">
        <f t="shared" si="2"/>
        <v>256.16634282844535</v>
      </c>
      <c r="M13" s="74">
        <v>10</v>
      </c>
      <c r="N13" s="74">
        <v>150.1</v>
      </c>
      <c r="O13" s="74">
        <v>147.80000000000001</v>
      </c>
      <c r="P13" s="107">
        <v>18129.242303234765</v>
      </c>
      <c r="Q13" s="7">
        <f t="shared" si="3"/>
        <v>0.41697257297439655</v>
      </c>
    </row>
    <row r="14" spans="1:19" x14ac:dyDescent="0.25">
      <c r="A14" s="87"/>
      <c r="B14" s="89"/>
      <c r="C14" s="131"/>
      <c r="D14" s="141">
        <v>2</v>
      </c>
      <c r="E14" s="20">
        <v>55.5</v>
      </c>
      <c r="F14" s="20">
        <v>82</v>
      </c>
      <c r="G14" s="21">
        <v>85503.42</v>
      </c>
      <c r="H14" s="156">
        <f t="shared" si="1"/>
        <v>2265840.63</v>
      </c>
      <c r="I14" s="156">
        <v>2246266.8794076853</v>
      </c>
      <c r="J14" s="28">
        <f t="shared" si="0"/>
        <v>0.87139025072016429</v>
      </c>
      <c r="K14" s="66">
        <f t="shared" si="2"/>
        <v>629.40017499999999</v>
      </c>
      <c r="M14" s="74">
        <v>11</v>
      </c>
      <c r="N14" s="74">
        <v>147.80000000000001</v>
      </c>
      <c r="O14" s="74">
        <v>136.6</v>
      </c>
      <c r="P14" s="107">
        <v>36973.302303234777</v>
      </c>
      <c r="Q14" s="7">
        <f t="shared" si="3"/>
        <v>4.1410098579623016</v>
      </c>
    </row>
    <row r="15" spans="1:19" ht="15.75" thickBot="1" x14ac:dyDescent="0.3">
      <c r="A15" s="88"/>
      <c r="B15" s="90"/>
      <c r="C15" s="132"/>
      <c r="D15" s="122">
        <v>3</v>
      </c>
      <c r="E15" s="32">
        <v>82</v>
      </c>
      <c r="F15" s="32">
        <v>360.8</v>
      </c>
      <c r="G15" s="34">
        <v>22372.79829323477</v>
      </c>
      <c r="H15" s="157">
        <f t="shared" si="1"/>
        <v>6237536.1641538544</v>
      </c>
      <c r="I15" s="157">
        <f>+'Calores Requeridos'!H11-Fcp!I14-Fcp!I13</f>
        <v>6209582.9666099809</v>
      </c>
      <c r="J15" s="35">
        <f t="shared" si="0"/>
        <v>0.45016223624328255</v>
      </c>
      <c r="K15" s="66">
        <f t="shared" si="2"/>
        <v>1732.6489344871818</v>
      </c>
      <c r="M15" s="74">
        <v>12</v>
      </c>
      <c r="N15" s="74">
        <v>136.6</v>
      </c>
      <c r="O15" s="74">
        <v>102</v>
      </c>
      <c r="P15" s="107">
        <v>42623.702303234757</v>
      </c>
      <c r="Q15" s="7">
        <f t="shared" si="3"/>
        <v>14.747800996919224</v>
      </c>
    </row>
    <row r="16" spans="1:19" x14ac:dyDescent="0.25">
      <c r="A16" s="86" t="s">
        <v>46</v>
      </c>
      <c r="B16" s="50">
        <v>5</v>
      </c>
      <c r="C16" s="125" t="s">
        <v>9</v>
      </c>
      <c r="D16" s="137">
        <v>1</v>
      </c>
      <c r="E16" s="15">
        <v>69.22</v>
      </c>
      <c r="F16" s="15">
        <v>201.9</v>
      </c>
      <c r="G16" s="16">
        <v>28374.9</v>
      </c>
      <c r="H16" s="152">
        <f>G16*(E16-F16)</f>
        <v>-3764781.7320000003</v>
      </c>
      <c r="I16" s="152">
        <v>-3767185.3654153198</v>
      </c>
      <c r="J16" s="17">
        <f t="shared" si="0"/>
        <v>-6.3804490147633036E-2</v>
      </c>
      <c r="K16" s="66">
        <f>-H16/3600</f>
        <v>1045.7727033333333</v>
      </c>
      <c r="M16" s="74">
        <v>13</v>
      </c>
      <c r="N16" s="74">
        <v>102</v>
      </c>
      <c r="O16" s="74">
        <v>82</v>
      </c>
      <c r="P16" s="107">
        <v>71518.302303234756</v>
      </c>
      <c r="Q16" s="7">
        <f t="shared" si="3"/>
        <v>14.303660460646952</v>
      </c>
    </row>
    <row r="17" spans="1:17" x14ac:dyDescent="0.25">
      <c r="A17" s="87"/>
      <c r="B17" s="82">
        <v>31</v>
      </c>
      <c r="C17" s="128" t="s">
        <v>23</v>
      </c>
      <c r="D17" s="139">
        <v>1</v>
      </c>
      <c r="E17" s="8">
        <v>35</v>
      </c>
      <c r="F17" s="8">
        <v>45.5</v>
      </c>
      <c r="G17" s="143">
        <v>86503.356</v>
      </c>
      <c r="H17" s="154">
        <f t="shared" ref="H17:H19" si="4">G17*(E17-F17)</f>
        <v>-908285.23800000001</v>
      </c>
      <c r="I17" s="154">
        <v>-904947.05441234994</v>
      </c>
      <c r="J17" s="144">
        <f t="shared" si="0"/>
        <v>0.36888164576852545</v>
      </c>
      <c r="K17" s="66">
        <f t="shared" ref="K17:K19" si="5">-H17/3600</f>
        <v>252.301455</v>
      </c>
      <c r="M17" s="74">
        <v>14</v>
      </c>
      <c r="N17" s="74">
        <v>82</v>
      </c>
      <c r="O17" s="74">
        <v>79.2</v>
      </c>
      <c r="P17" s="107">
        <v>134648.92401000002</v>
      </c>
      <c r="Q17" s="7">
        <f t="shared" si="3"/>
        <v>3.7701698722799968</v>
      </c>
    </row>
    <row r="18" spans="1:17" x14ac:dyDescent="0.25">
      <c r="A18" s="87"/>
      <c r="B18" s="83"/>
      <c r="C18" s="129"/>
      <c r="D18" s="140">
        <v>2</v>
      </c>
      <c r="E18" s="12">
        <v>45.5</v>
      </c>
      <c r="F18" s="12">
        <v>282</v>
      </c>
      <c r="G18" s="13">
        <v>21813.201990000001</v>
      </c>
      <c r="H18" s="155">
        <f t="shared" si="4"/>
        <v>-5158822.2706350004</v>
      </c>
      <c r="I18" s="155">
        <v>-5189615.2300000004</v>
      </c>
      <c r="J18" s="27">
        <f t="shared" si="0"/>
        <v>-0.59335727217295098</v>
      </c>
      <c r="K18" s="66">
        <f t="shared" si="5"/>
        <v>1433.0061862875002</v>
      </c>
      <c r="M18" s="74">
        <v>15</v>
      </c>
      <c r="N18" s="74">
        <v>79.2</v>
      </c>
      <c r="O18" s="74">
        <v>55.5</v>
      </c>
      <c r="P18" s="107">
        <v>163023.82401000001</v>
      </c>
      <c r="Q18" s="7">
        <f t="shared" si="3"/>
        <v>38.63664629037001</v>
      </c>
    </row>
    <row r="19" spans="1:17" ht="15.75" thickBot="1" x14ac:dyDescent="0.3">
      <c r="A19" s="88"/>
      <c r="B19" s="64">
        <v>44</v>
      </c>
      <c r="C19" s="133" t="s">
        <v>31</v>
      </c>
      <c r="D19" s="142">
        <v>1</v>
      </c>
      <c r="E19" s="18">
        <v>-6.2</v>
      </c>
      <c r="F19" s="18">
        <v>25</v>
      </c>
      <c r="G19" s="145">
        <v>6109.3604999999998</v>
      </c>
      <c r="H19" s="158">
        <f t="shared" si="4"/>
        <v>-190612.04759999999</v>
      </c>
      <c r="I19" s="158">
        <v>-191102.49317041601</v>
      </c>
      <c r="J19" s="146">
        <f t="shared" si="0"/>
        <v>-0.25664006904329878</v>
      </c>
      <c r="K19" s="66">
        <f t="shared" si="5"/>
        <v>52.947790999999995</v>
      </c>
      <c r="M19" s="74">
        <v>16</v>
      </c>
      <c r="N19" s="74">
        <v>55.5</v>
      </c>
      <c r="O19" s="74">
        <v>45</v>
      </c>
      <c r="P19" s="107">
        <v>57815.558984507486</v>
      </c>
      <c r="Q19" s="7">
        <f t="shared" si="3"/>
        <v>6.0706336933732867</v>
      </c>
    </row>
    <row r="20" spans="1:17" ht="15.75" thickBot="1" x14ac:dyDescent="0.3">
      <c r="A20" s="150"/>
      <c r="B20" s="150"/>
      <c r="C20" s="150"/>
      <c r="D20" s="150"/>
      <c r="E20" s="150"/>
      <c r="F20" s="150"/>
      <c r="G20" s="134" t="s">
        <v>47</v>
      </c>
      <c r="H20" s="151">
        <f>SUM(H4:H19)</f>
        <v>21733298.893201258</v>
      </c>
      <c r="I20" s="151">
        <f>SUM(I4:I19)</f>
        <v>21750187.918844208</v>
      </c>
      <c r="J20" s="135">
        <f t="shared" si="0"/>
        <v>-7.7650021719203433E-2</v>
      </c>
      <c r="M20" s="74">
        <v>17</v>
      </c>
      <c r="N20" s="74">
        <v>45</v>
      </c>
      <c r="O20" s="74">
        <v>40</v>
      </c>
      <c r="P20" s="107">
        <v>144318.91498450749</v>
      </c>
      <c r="Q20" s="7">
        <f t="shared" si="3"/>
        <v>7.2159457492253747</v>
      </c>
    </row>
    <row r="21" spans="1:17" x14ac:dyDescent="0.25">
      <c r="M21" s="74">
        <v>18</v>
      </c>
      <c r="N21" s="74">
        <v>40</v>
      </c>
      <c r="O21" s="74">
        <v>35</v>
      </c>
      <c r="P21" s="107">
        <v>88363.414984507486</v>
      </c>
      <c r="Q21" s="7">
        <f t="shared" si="3"/>
        <v>4.418170749225375</v>
      </c>
    </row>
    <row r="22" spans="1:17" ht="15.75" thickBot="1" x14ac:dyDescent="0.3">
      <c r="H22" s="111">
        <f>H20*10^-5</f>
        <v>217.3329889320126</v>
      </c>
      <c r="M22" s="115">
        <v>19</v>
      </c>
      <c r="N22" s="115">
        <v>35</v>
      </c>
      <c r="O22" s="115">
        <v>3.8</v>
      </c>
      <c r="P22" s="116">
        <v>-6109.3604999999998</v>
      </c>
      <c r="Q22" s="9">
        <f t="shared" si="3"/>
        <v>-1.9061204760000001</v>
      </c>
    </row>
    <row r="23" spans="1:17" ht="15.75" thickBot="1" x14ac:dyDescent="0.3">
      <c r="M23" s="117"/>
      <c r="N23" s="118"/>
      <c r="O23" s="118"/>
      <c r="P23" s="119" t="s">
        <v>33</v>
      </c>
      <c r="Q23" s="11">
        <f>SUM(Q4:Q22)</f>
        <v>217.32731395201253</v>
      </c>
    </row>
    <row r="24" spans="1:17" x14ac:dyDescent="0.25">
      <c r="Q24" s="79"/>
    </row>
    <row r="25" spans="1:17" x14ac:dyDescent="0.25">
      <c r="Q25" s="79"/>
    </row>
    <row r="28" spans="1:17" x14ac:dyDescent="0.25">
      <c r="C28" t="s">
        <v>44</v>
      </c>
    </row>
  </sheetData>
  <mergeCells count="9">
    <mergeCell ref="B2:B3"/>
    <mergeCell ref="B17:B18"/>
    <mergeCell ref="C17:C18"/>
    <mergeCell ref="A4:A15"/>
    <mergeCell ref="A16:A19"/>
    <mergeCell ref="C7:C8"/>
    <mergeCell ref="B7:B8"/>
    <mergeCell ref="C13:C15"/>
    <mergeCell ref="B13:B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52A5-50DE-400A-8F7A-DD1EB08AAB61}">
  <sheetPr codeName="Hoja3"/>
  <dimension ref="B1:AN78"/>
  <sheetViews>
    <sheetView topLeftCell="B1" zoomScale="85" zoomScaleNormal="85" workbookViewId="0">
      <selection activeCell="AK37" sqref="AK37"/>
    </sheetView>
  </sheetViews>
  <sheetFormatPr baseColWidth="10" defaultRowHeight="15" x14ac:dyDescent="0.25"/>
  <cols>
    <col min="2" max="2" width="12.28515625" style="73" customWidth="1"/>
    <col min="3" max="3" width="11.42578125" style="71"/>
    <col min="4" max="21" width="5.7109375" customWidth="1"/>
    <col min="22" max="23" width="7.7109375" customWidth="1"/>
    <col min="24" max="29" width="5.7109375" customWidth="1"/>
    <col min="30" max="30" width="11.42578125" style="72"/>
    <col min="33" max="33" width="9.85546875" bestFit="1" customWidth="1"/>
    <col min="35" max="35" width="11.42578125" customWidth="1"/>
    <col min="38" max="38" width="12.140625" customWidth="1"/>
    <col min="39" max="39" width="8.7109375" customWidth="1"/>
    <col min="40" max="40" width="12.140625" customWidth="1"/>
  </cols>
  <sheetData>
    <row r="1" spans="2:40" x14ac:dyDescent="0.25">
      <c r="B1" s="180" t="s">
        <v>48</v>
      </c>
      <c r="C1" s="181"/>
      <c r="D1" s="182">
        <v>2</v>
      </c>
      <c r="E1" s="182"/>
      <c r="F1" s="182">
        <v>7</v>
      </c>
      <c r="G1" s="182"/>
      <c r="H1" s="182">
        <v>9</v>
      </c>
      <c r="I1" s="182"/>
      <c r="J1" s="182">
        <v>11</v>
      </c>
      <c r="K1" s="182"/>
      <c r="L1" s="182">
        <v>24</v>
      </c>
      <c r="M1" s="182"/>
      <c r="N1" s="182">
        <v>26</v>
      </c>
      <c r="O1" s="182"/>
      <c r="P1" s="182">
        <v>33</v>
      </c>
      <c r="Q1" s="182"/>
      <c r="R1" s="182">
        <v>35</v>
      </c>
      <c r="S1" s="182"/>
      <c r="T1" s="182">
        <v>37</v>
      </c>
      <c r="U1" s="182"/>
      <c r="V1" s="182" t="s">
        <v>49</v>
      </c>
      <c r="W1" s="182"/>
      <c r="X1" s="182">
        <v>5</v>
      </c>
      <c r="Y1" s="182"/>
      <c r="Z1" s="182">
        <v>31</v>
      </c>
      <c r="AA1" s="182"/>
      <c r="AB1" s="182">
        <v>44</v>
      </c>
      <c r="AC1" s="182"/>
      <c r="AD1" s="183"/>
    </row>
    <row r="2" spans="2:40" x14ac:dyDescent="0.25">
      <c r="B2" s="184"/>
      <c r="C2" s="161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3"/>
      <c r="W2" s="164"/>
      <c r="X2" s="165"/>
      <c r="Y2" s="165"/>
      <c r="Z2" s="165"/>
      <c r="AA2" s="165"/>
      <c r="AB2" s="165"/>
      <c r="AC2" s="165"/>
      <c r="AD2" s="185"/>
    </row>
    <row r="3" spans="2:40" ht="15.75" thickBot="1" x14ac:dyDescent="0.3">
      <c r="B3" s="186"/>
      <c r="C3" s="161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6">
        <v>420</v>
      </c>
      <c r="W3" s="167">
        <v>410</v>
      </c>
      <c r="X3" s="165"/>
      <c r="Y3" s="165"/>
      <c r="Z3" s="165"/>
      <c r="AA3" s="165"/>
      <c r="AB3" s="165"/>
      <c r="AC3" s="165"/>
      <c r="AD3" s="185"/>
    </row>
    <row r="4" spans="2:40" ht="11.25" customHeight="1" x14ac:dyDescent="0.25">
      <c r="B4" s="186"/>
      <c r="C4" s="161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8"/>
      <c r="W4" s="169"/>
      <c r="X4" s="165"/>
      <c r="Y4" s="165"/>
      <c r="Z4" s="165"/>
      <c r="AA4" s="165"/>
      <c r="AB4" s="165"/>
      <c r="AC4" s="165"/>
      <c r="AD4" s="185"/>
    </row>
    <row r="5" spans="2:40" ht="11.25" customHeight="1" thickBot="1" x14ac:dyDescent="0.3">
      <c r="B5" s="186"/>
      <c r="C5" s="170">
        <v>406.8</v>
      </c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2"/>
      <c r="W5" s="170"/>
      <c r="X5" s="171"/>
      <c r="Y5" s="171"/>
      <c r="Z5" s="171"/>
      <c r="AA5" s="171"/>
      <c r="AB5" s="171"/>
      <c r="AC5" s="171"/>
      <c r="AD5" s="187">
        <f>+C5-10</f>
        <v>396.8</v>
      </c>
    </row>
    <row r="6" spans="2:40" ht="11.25" customHeight="1" thickBot="1" x14ac:dyDescent="0.3">
      <c r="B6" s="188">
        <v>1</v>
      </c>
      <c r="C6" s="170">
        <v>406.5</v>
      </c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2"/>
      <c r="W6" s="170"/>
      <c r="X6" s="171"/>
      <c r="Y6" s="171"/>
      <c r="Z6" s="171"/>
      <c r="AA6" s="171"/>
      <c r="AB6" s="171"/>
      <c r="AC6" s="171"/>
      <c r="AD6" s="187">
        <f>+C6-10</f>
        <v>396.5</v>
      </c>
    </row>
    <row r="7" spans="2:40" ht="11.25" customHeight="1" thickBot="1" x14ac:dyDescent="0.3">
      <c r="B7" s="189">
        <v>2</v>
      </c>
      <c r="C7" s="161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6">
        <f>+V3-Intervalos!$AH$32</f>
        <v>400</v>
      </c>
      <c r="W7" s="173">
        <f>+V7-10</f>
        <v>390</v>
      </c>
      <c r="X7" s="165"/>
      <c r="Y7" s="165"/>
      <c r="Z7" s="165"/>
      <c r="AA7" s="165"/>
      <c r="AB7" s="165"/>
      <c r="AC7" s="165"/>
      <c r="AD7" s="185"/>
    </row>
    <row r="8" spans="2:40" ht="15" customHeight="1" x14ac:dyDescent="0.25">
      <c r="B8" s="190"/>
      <c r="C8" s="161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74"/>
      <c r="W8" s="175"/>
      <c r="X8" s="165"/>
      <c r="Y8" s="165"/>
      <c r="Z8" s="165"/>
      <c r="AA8" s="165"/>
      <c r="AB8" s="165"/>
      <c r="AC8" s="165"/>
      <c r="AD8" s="185"/>
      <c r="AG8" s="36" t="s">
        <v>1</v>
      </c>
      <c r="AH8" s="38" t="s">
        <v>0</v>
      </c>
      <c r="AI8" s="44" t="s">
        <v>34</v>
      </c>
      <c r="AJ8" s="37" t="s">
        <v>36</v>
      </c>
      <c r="AK8" s="37" t="s">
        <v>35</v>
      </c>
      <c r="AL8" s="92" t="s">
        <v>37</v>
      </c>
      <c r="AM8" s="99" t="s">
        <v>58</v>
      </c>
      <c r="AN8" s="99" t="s">
        <v>59</v>
      </c>
    </row>
    <row r="9" spans="2:40" ht="15" customHeight="1" thickBot="1" x14ac:dyDescent="0.3">
      <c r="B9" s="190"/>
      <c r="C9" s="161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8"/>
      <c r="W9" s="169"/>
      <c r="X9" s="165"/>
      <c r="Y9" s="165"/>
      <c r="Z9" s="165"/>
      <c r="AA9" s="165"/>
      <c r="AB9" s="165"/>
      <c r="AC9" s="165"/>
      <c r="AD9" s="185"/>
      <c r="AG9" s="39"/>
      <c r="AH9" s="49"/>
      <c r="AI9" s="45"/>
      <c r="AJ9" s="32" t="s">
        <v>43</v>
      </c>
      <c r="AK9" s="32" t="s">
        <v>43</v>
      </c>
      <c r="AL9" s="93" t="s">
        <v>40</v>
      </c>
      <c r="AM9" s="100"/>
      <c r="AN9" s="100"/>
    </row>
    <row r="10" spans="2:40" ht="15" customHeight="1" thickBot="1" x14ac:dyDescent="0.3">
      <c r="B10" s="190"/>
      <c r="C10" s="161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6">
        <f>+V7-Intervalos!$AH$32</f>
        <v>380</v>
      </c>
      <c r="W10" s="173">
        <f>+V10-10</f>
        <v>370</v>
      </c>
      <c r="X10" s="165"/>
      <c r="Y10" s="165"/>
      <c r="Z10" s="165"/>
      <c r="AA10" s="165"/>
      <c r="AB10" s="165"/>
      <c r="AC10" s="165"/>
      <c r="AD10" s="185"/>
      <c r="AF10" s="41" t="s">
        <v>45</v>
      </c>
      <c r="AG10" s="50">
        <v>2</v>
      </c>
      <c r="AH10" s="51" t="s">
        <v>22</v>
      </c>
      <c r="AI10" s="46">
        <v>1</v>
      </c>
      <c r="AJ10" s="15">
        <v>35</v>
      </c>
      <c r="AK10" s="15">
        <v>136.6</v>
      </c>
      <c r="AL10" s="94">
        <v>5650.4</v>
      </c>
      <c r="AM10" s="101">
        <v>0</v>
      </c>
      <c r="AN10" s="101">
        <f>AM10*AL10</f>
        <v>0</v>
      </c>
    </row>
    <row r="11" spans="2:40" ht="11.25" customHeight="1" x14ac:dyDescent="0.25">
      <c r="B11" s="190"/>
      <c r="C11" s="161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8"/>
      <c r="W11" s="169"/>
      <c r="X11" s="165"/>
      <c r="Y11" s="165"/>
      <c r="Z11" s="165"/>
      <c r="AA11" s="165"/>
      <c r="AB11" s="165"/>
      <c r="AC11" s="165"/>
      <c r="AD11" s="185"/>
      <c r="AF11" s="42"/>
      <c r="AG11" s="52">
        <v>7</v>
      </c>
      <c r="AH11" s="53" t="s">
        <v>12</v>
      </c>
      <c r="AI11" s="47">
        <v>1</v>
      </c>
      <c r="AJ11" s="12">
        <v>201.9</v>
      </c>
      <c r="AK11" s="12">
        <v>287</v>
      </c>
      <c r="AL11" s="95">
        <v>28091.9</v>
      </c>
      <c r="AM11" s="102">
        <v>1</v>
      </c>
      <c r="AN11" s="102">
        <f t="shared" ref="AN11:AN25" si="0">AM11*AL11</f>
        <v>28091.9</v>
      </c>
    </row>
    <row r="12" spans="2:40" ht="11.25" customHeight="1" x14ac:dyDescent="0.25">
      <c r="B12" s="190"/>
      <c r="C12" s="161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8"/>
      <c r="W12" s="169"/>
      <c r="X12" s="165"/>
      <c r="Y12" s="165"/>
      <c r="Z12" s="165"/>
      <c r="AA12" s="165"/>
      <c r="AB12" s="165"/>
      <c r="AC12" s="165"/>
      <c r="AD12" s="185"/>
      <c r="AF12" s="42"/>
      <c r="AG12" s="54">
        <v>9</v>
      </c>
      <c r="AH12" s="55" t="s">
        <v>14</v>
      </c>
      <c r="AI12" s="48">
        <v>1</v>
      </c>
      <c r="AJ12" s="20">
        <v>201.9</v>
      </c>
      <c r="AK12" s="20">
        <v>287</v>
      </c>
      <c r="AL12" s="96">
        <v>27598.5</v>
      </c>
      <c r="AM12" s="102">
        <v>1</v>
      </c>
      <c r="AN12" s="102">
        <f t="shared" si="0"/>
        <v>27598.5</v>
      </c>
    </row>
    <row r="13" spans="2:40" ht="11.25" customHeight="1" thickBot="1" x14ac:dyDescent="0.3">
      <c r="B13" s="191"/>
      <c r="C13" s="170">
        <v>360.8</v>
      </c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2"/>
      <c r="W13" s="170"/>
      <c r="X13" s="171"/>
      <c r="Y13" s="171"/>
      <c r="Z13" s="171"/>
      <c r="AA13" s="171"/>
      <c r="AB13" s="171"/>
      <c r="AC13" s="171"/>
      <c r="AD13" s="187">
        <f>+C13-10</f>
        <v>350.8</v>
      </c>
      <c r="AF13" s="42"/>
      <c r="AG13" s="82">
        <v>11</v>
      </c>
      <c r="AH13" s="84" t="s">
        <v>16</v>
      </c>
      <c r="AI13" s="24">
        <v>1</v>
      </c>
      <c r="AJ13" s="24">
        <v>40</v>
      </c>
      <c r="AK13" s="24">
        <v>102</v>
      </c>
      <c r="AL13" s="25">
        <v>55955.5</v>
      </c>
      <c r="AM13" s="102">
        <v>0</v>
      </c>
      <c r="AN13" s="102">
        <f t="shared" si="0"/>
        <v>0</v>
      </c>
    </row>
    <row r="14" spans="2:40" ht="11.25" customHeight="1" thickBot="1" x14ac:dyDescent="0.3">
      <c r="B14" s="189">
        <v>3</v>
      </c>
      <c r="C14" s="161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6">
        <f>+V10-Intervalos!$AH$32</f>
        <v>360</v>
      </c>
      <c r="W14" s="173">
        <f>+V14-10</f>
        <v>350</v>
      </c>
      <c r="X14" s="165"/>
      <c r="Y14" s="165"/>
      <c r="Z14" s="165"/>
      <c r="AA14" s="165"/>
      <c r="AB14" s="165"/>
      <c r="AC14" s="165"/>
      <c r="AD14" s="185"/>
      <c r="AF14" s="42"/>
      <c r="AG14" s="83"/>
      <c r="AH14" s="85"/>
      <c r="AI14" s="67">
        <v>2</v>
      </c>
      <c r="AJ14" s="67">
        <v>102</v>
      </c>
      <c r="AK14" s="67">
        <v>231.4</v>
      </c>
      <c r="AL14" s="26">
        <v>27060.9</v>
      </c>
      <c r="AM14" s="102">
        <v>0</v>
      </c>
      <c r="AN14" s="102">
        <f t="shared" si="0"/>
        <v>0</v>
      </c>
    </row>
    <row r="15" spans="2:40" x14ac:dyDescent="0.25">
      <c r="B15" s="190"/>
      <c r="C15" s="161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74"/>
      <c r="W15" s="175"/>
      <c r="X15" s="165"/>
      <c r="Y15" s="165"/>
      <c r="Z15" s="165"/>
      <c r="AA15" s="165"/>
      <c r="AB15" s="165"/>
      <c r="AC15" s="165"/>
      <c r="AD15" s="185"/>
      <c r="AF15" s="42"/>
      <c r="AG15" s="54">
        <v>24</v>
      </c>
      <c r="AH15" s="55" t="s">
        <v>21</v>
      </c>
      <c r="AI15" s="47">
        <v>1</v>
      </c>
      <c r="AJ15" s="12">
        <v>35</v>
      </c>
      <c r="AK15" s="12">
        <v>147.80000000000001</v>
      </c>
      <c r="AL15" s="95">
        <v>18844.060000000001</v>
      </c>
      <c r="AM15" s="102">
        <v>0</v>
      </c>
      <c r="AN15" s="102">
        <f t="shared" si="0"/>
        <v>0</v>
      </c>
    </row>
    <row r="16" spans="2:40" x14ac:dyDescent="0.25">
      <c r="B16" s="190"/>
      <c r="C16" s="161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8"/>
      <c r="W16" s="169"/>
      <c r="X16" s="165"/>
      <c r="Y16" s="165"/>
      <c r="Z16" s="165"/>
      <c r="AA16" s="165"/>
      <c r="AB16" s="165"/>
      <c r="AC16" s="165"/>
      <c r="AD16" s="185"/>
      <c r="AF16" s="42"/>
      <c r="AG16" s="54">
        <v>26</v>
      </c>
      <c r="AH16" s="55" t="s">
        <v>19</v>
      </c>
      <c r="AI16" s="47">
        <v>1</v>
      </c>
      <c r="AJ16" s="12">
        <v>35</v>
      </c>
      <c r="AK16" s="12">
        <v>150.1</v>
      </c>
      <c r="AL16" s="95">
        <v>18883.646000000001</v>
      </c>
      <c r="AM16" s="102">
        <v>0</v>
      </c>
      <c r="AN16" s="102">
        <f t="shared" si="0"/>
        <v>0</v>
      </c>
    </row>
    <row r="17" spans="2:40" ht="15.75" thickBot="1" x14ac:dyDescent="0.3">
      <c r="B17" s="190"/>
      <c r="C17" s="161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6">
        <f>+V14-Intervalos!$AH$32</f>
        <v>340</v>
      </c>
      <c r="W17" s="173">
        <f>+V17-10</f>
        <v>330</v>
      </c>
      <c r="X17" s="165"/>
      <c r="Y17" s="165"/>
      <c r="Z17" s="165"/>
      <c r="AA17" s="165"/>
      <c r="AB17" s="165"/>
      <c r="AC17" s="165"/>
      <c r="AD17" s="185"/>
      <c r="AF17" s="42"/>
      <c r="AG17" s="54">
        <v>33</v>
      </c>
      <c r="AH17" s="55" t="s">
        <v>25</v>
      </c>
      <c r="AI17" s="47">
        <v>1</v>
      </c>
      <c r="AJ17" s="12">
        <v>282</v>
      </c>
      <c r="AK17" s="12">
        <v>406.5</v>
      </c>
      <c r="AL17" s="95">
        <v>23040.197</v>
      </c>
      <c r="AM17" s="102">
        <v>0</v>
      </c>
      <c r="AN17" s="102">
        <f t="shared" si="0"/>
        <v>0</v>
      </c>
    </row>
    <row r="18" spans="2:40" x14ac:dyDescent="0.25">
      <c r="B18" s="190"/>
      <c r="C18" s="161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8"/>
      <c r="W18" s="169"/>
      <c r="X18" s="165"/>
      <c r="Y18" s="165"/>
      <c r="Z18" s="165"/>
      <c r="AA18" s="165"/>
      <c r="AB18" s="165"/>
      <c r="AC18" s="165"/>
      <c r="AD18" s="185"/>
      <c r="AF18" s="42"/>
      <c r="AG18" s="60">
        <v>35</v>
      </c>
      <c r="AH18" s="61" t="s">
        <v>27</v>
      </c>
      <c r="AI18" s="48">
        <v>1</v>
      </c>
      <c r="AJ18" s="20">
        <v>282</v>
      </c>
      <c r="AK18" s="20">
        <v>406.8</v>
      </c>
      <c r="AL18" s="96">
        <v>23063.68</v>
      </c>
      <c r="AM18" s="102">
        <v>0</v>
      </c>
      <c r="AN18" s="102">
        <f t="shared" si="0"/>
        <v>0</v>
      </c>
    </row>
    <row r="19" spans="2:40" x14ac:dyDescent="0.25">
      <c r="B19" s="190"/>
      <c r="C19" s="161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74"/>
      <c r="W19" s="175"/>
      <c r="X19" s="165"/>
      <c r="Y19" s="165"/>
      <c r="Z19" s="165"/>
      <c r="AA19" s="165"/>
      <c r="AB19" s="165"/>
      <c r="AC19" s="165"/>
      <c r="AD19" s="185"/>
      <c r="AF19" s="42"/>
      <c r="AG19" s="82">
        <v>37</v>
      </c>
      <c r="AH19" s="57" t="s">
        <v>29</v>
      </c>
      <c r="AI19" s="24">
        <v>1</v>
      </c>
      <c r="AJ19" s="24">
        <v>35</v>
      </c>
      <c r="AK19" s="24">
        <v>55.5</v>
      </c>
      <c r="AL19" s="25">
        <v>44985.308984507479</v>
      </c>
      <c r="AM19" s="102">
        <v>0</v>
      </c>
      <c r="AN19" s="102">
        <f t="shared" si="0"/>
        <v>0</v>
      </c>
    </row>
    <row r="20" spans="2:40" ht="15.75" thickBot="1" x14ac:dyDescent="0.3">
      <c r="B20" s="190"/>
      <c r="C20" s="161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6">
        <f>+V17-Intervalos!$AH$32</f>
        <v>320</v>
      </c>
      <c r="W20" s="173">
        <f>+V20-10</f>
        <v>310</v>
      </c>
      <c r="X20" s="165"/>
      <c r="Y20" s="165"/>
      <c r="Z20" s="165"/>
      <c r="AA20" s="165"/>
      <c r="AB20" s="165"/>
      <c r="AC20" s="165"/>
      <c r="AD20" s="185"/>
      <c r="AF20" s="42"/>
      <c r="AG20" s="89"/>
      <c r="AH20" s="62"/>
      <c r="AI20" s="22">
        <v>2</v>
      </c>
      <c r="AJ20" s="22">
        <v>55.5</v>
      </c>
      <c r="AK20" s="22">
        <v>82</v>
      </c>
      <c r="AL20" s="23">
        <v>85503.42</v>
      </c>
      <c r="AM20" s="102">
        <v>0</v>
      </c>
      <c r="AN20" s="102">
        <f t="shared" si="0"/>
        <v>0</v>
      </c>
    </row>
    <row r="21" spans="2:40" ht="15.75" thickBot="1" x14ac:dyDescent="0.3">
      <c r="B21" s="190"/>
      <c r="C21" s="161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8"/>
      <c r="W21" s="169"/>
      <c r="X21" s="165"/>
      <c r="Y21" s="165"/>
      <c r="Z21" s="165"/>
      <c r="AA21" s="165"/>
      <c r="AB21" s="165"/>
      <c r="AC21" s="165"/>
      <c r="AD21" s="185"/>
      <c r="AF21" s="43"/>
      <c r="AG21" s="90"/>
      <c r="AH21" s="63"/>
      <c r="AI21" s="29">
        <v>3</v>
      </c>
      <c r="AJ21" s="29">
        <v>82</v>
      </c>
      <c r="AK21" s="29">
        <v>360.8</v>
      </c>
      <c r="AL21" s="30">
        <v>22372.79829323477</v>
      </c>
      <c r="AM21" s="103">
        <v>1</v>
      </c>
      <c r="AN21" s="103">
        <f t="shared" si="0"/>
        <v>22372.79829323477</v>
      </c>
    </row>
    <row r="22" spans="2:40" x14ac:dyDescent="0.25">
      <c r="B22" s="190"/>
      <c r="C22" s="161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74"/>
      <c r="W22" s="175"/>
      <c r="X22" s="165"/>
      <c r="Y22" s="165"/>
      <c r="Z22" s="165"/>
      <c r="AA22" s="165"/>
      <c r="AB22" s="165"/>
      <c r="AC22" s="165"/>
      <c r="AD22" s="185"/>
      <c r="AF22" s="41" t="s">
        <v>46</v>
      </c>
      <c r="AG22" s="50">
        <v>5</v>
      </c>
      <c r="AH22" s="51" t="s">
        <v>9</v>
      </c>
      <c r="AI22" s="46">
        <v>1</v>
      </c>
      <c r="AJ22" s="31">
        <v>69.22</v>
      </c>
      <c r="AK22" s="15">
        <v>201.9</v>
      </c>
      <c r="AL22" s="94">
        <v>28374.9</v>
      </c>
      <c r="AM22" s="104">
        <v>0</v>
      </c>
      <c r="AN22" s="104">
        <f t="shared" si="0"/>
        <v>0</v>
      </c>
    </row>
    <row r="23" spans="2:40" ht="15.75" thickBot="1" x14ac:dyDescent="0.3">
      <c r="B23" s="190"/>
      <c r="C23" s="161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6">
        <f>+V20-Intervalos!$AH$32</f>
        <v>300</v>
      </c>
      <c r="W23" s="173">
        <f>+V23-10</f>
        <v>290</v>
      </c>
      <c r="X23" s="165"/>
      <c r="Y23" s="165"/>
      <c r="Z23" s="165"/>
      <c r="AA23" s="165"/>
      <c r="AB23" s="165"/>
      <c r="AC23" s="165"/>
      <c r="AD23" s="185"/>
      <c r="AF23" s="42"/>
      <c r="AG23" s="56">
        <v>31</v>
      </c>
      <c r="AH23" s="57" t="s">
        <v>23</v>
      </c>
      <c r="AI23" s="24">
        <v>1</v>
      </c>
      <c r="AJ23" s="24">
        <v>35</v>
      </c>
      <c r="AK23" s="24">
        <v>45.5</v>
      </c>
      <c r="AL23" s="25">
        <v>86503.356</v>
      </c>
      <c r="AM23" s="102">
        <v>0</v>
      </c>
      <c r="AN23" s="102">
        <f t="shared" si="0"/>
        <v>0</v>
      </c>
    </row>
    <row r="24" spans="2:40" ht="11.25" customHeight="1" thickBot="1" x14ac:dyDescent="0.3">
      <c r="B24" s="191"/>
      <c r="C24" s="170">
        <f>+AD24+10</f>
        <v>292</v>
      </c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2"/>
      <c r="W24" s="170"/>
      <c r="X24" s="171"/>
      <c r="Y24" s="171"/>
      <c r="Z24" s="171"/>
      <c r="AA24" s="171"/>
      <c r="AB24" s="171"/>
      <c r="AC24" s="171"/>
      <c r="AD24" s="187">
        <v>282</v>
      </c>
      <c r="AF24" s="42"/>
      <c r="AG24" s="58"/>
      <c r="AH24" s="59"/>
      <c r="AI24" s="67">
        <v>2</v>
      </c>
      <c r="AJ24" s="67">
        <v>45.5</v>
      </c>
      <c r="AK24" s="67">
        <v>282</v>
      </c>
      <c r="AL24" s="26">
        <v>21813.201990000001</v>
      </c>
      <c r="AM24" s="102">
        <v>-1</v>
      </c>
      <c r="AN24" s="102">
        <f t="shared" si="0"/>
        <v>-21813.201990000001</v>
      </c>
    </row>
    <row r="25" spans="2:40" ht="11.25" customHeight="1" thickBot="1" x14ac:dyDescent="0.3">
      <c r="B25" s="192">
        <v>4</v>
      </c>
      <c r="C25" s="170">
        <v>287</v>
      </c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2"/>
      <c r="W25" s="170"/>
      <c r="X25" s="171"/>
      <c r="Y25" s="171"/>
      <c r="Z25" s="171"/>
      <c r="AA25" s="171"/>
      <c r="AB25" s="171"/>
      <c r="AC25" s="171"/>
      <c r="AD25" s="187">
        <f>+C25-10</f>
        <v>277</v>
      </c>
      <c r="AF25" s="43"/>
      <c r="AG25" s="64">
        <v>44</v>
      </c>
      <c r="AH25" s="65" t="s">
        <v>31</v>
      </c>
      <c r="AI25" s="45">
        <v>1</v>
      </c>
      <c r="AJ25" s="33">
        <v>-6.2</v>
      </c>
      <c r="AK25" s="18">
        <v>25</v>
      </c>
      <c r="AL25" s="97">
        <v>6109.3604999999998</v>
      </c>
      <c r="AM25" s="105">
        <v>0</v>
      </c>
      <c r="AN25" s="105">
        <f t="shared" si="0"/>
        <v>0</v>
      </c>
    </row>
    <row r="26" spans="2:40" ht="11.25" customHeight="1" thickBot="1" x14ac:dyDescent="0.3">
      <c r="B26" s="188">
        <v>5</v>
      </c>
      <c r="C26" s="170">
        <v>282</v>
      </c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2"/>
      <c r="W26" s="170"/>
      <c r="X26" s="171"/>
      <c r="Y26" s="171"/>
      <c r="Z26" s="171"/>
      <c r="AA26" s="171"/>
      <c r="AB26" s="171"/>
      <c r="AC26" s="171"/>
      <c r="AD26" s="187">
        <f>+C26-10</f>
        <v>272</v>
      </c>
      <c r="AN26" s="106">
        <f>SUM(AN10:AN25)</f>
        <v>56249.996303234773</v>
      </c>
    </row>
    <row r="27" spans="2:40" ht="11.25" customHeight="1" thickBot="1" x14ac:dyDescent="0.3">
      <c r="B27" s="193">
        <v>6</v>
      </c>
      <c r="C27" s="161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6">
        <f>+V23-Intervalos!$AH$32</f>
        <v>280</v>
      </c>
      <c r="W27" s="173">
        <f>+V27-10</f>
        <v>270</v>
      </c>
      <c r="X27" s="165"/>
      <c r="Y27" s="165"/>
      <c r="Z27" s="165"/>
      <c r="AA27" s="165"/>
      <c r="AB27" s="165"/>
      <c r="AC27" s="165"/>
      <c r="AD27" s="185"/>
    </row>
    <row r="28" spans="2:40" ht="15.75" thickBot="1" x14ac:dyDescent="0.3">
      <c r="B28" s="193"/>
      <c r="C28" s="161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8"/>
      <c r="W28" s="169"/>
      <c r="X28" s="165"/>
      <c r="Y28" s="165"/>
      <c r="Z28" s="165"/>
      <c r="AA28" s="165"/>
      <c r="AB28" s="165"/>
      <c r="AC28" s="165"/>
      <c r="AD28" s="185"/>
    </row>
    <row r="29" spans="2:40" ht="15.75" thickBot="1" x14ac:dyDescent="0.3">
      <c r="B29" s="193"/>
      <c r="C29" s="161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74"/>
      <c r="W29" s="175"/>
      <c r="X29" s="165"/>
      <c r="Y29" s="165"/>
      <c r="Z29" s="165"/>
      <c r="AA29" s="165"/>
      <c r="AB29" s="165"/>
      <c r="AC29" s="165"/>
      <c r="AD29" s="185"/>
    </row>
    <row r="30" spans="2:40" ht="15.75" thickBot="1" x14ac:dyDescent="0.3">
      <c r="B30" s="193"/>
      <c r="C30" s="161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6">
        <f>+V27-Intervalos!$AH$32</f>
        <v>260</v>
      </c>
      <c r="W30" s="173">
        <f>+V30-10</f>
        <v>250</v>
      </c>
      <c r="X30" s="165"/>
      <c r="Y30" s="165"/>
      <c r="Z30" s="165"/>
      <c r="AA30" s="165"/>
      <c r="AB30" s="165"/>
      <c r="AC30" s="165"/>
      <c r="AD30" s="185"/>
    </row>
    <row r="31" spans="2:40" ht="15.75" thickBot="1" x14ac:dyDescent="0.3">
      <c r="B31" s="193"/>
      <c r="C31" s="161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74"/>
      <c r="W31" s="175"/>
      <c r="X31" s="165"/>
      <c r="Y31" s="165"/>
      <c r="Z31" s="165"/>
      <c r="AA31" s="165"/>
      <c r="AB31" s="165"/>
      <c r="AC31" s="165"/>
      <c r="AD31" s="185"/>
    </row>
    <row r="32" spans="2:40" ht="15.75" thickBot="1" x14ac:dyDescent="0.3">
      <c r="B32" s="193"/>
      <c r="C32" s="161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8"/>
      <c r="W32" s="169"/>
      <c r="X32" s="165"/>
      <c r="Y32" s="165"/>
      <c r="Z32" s="165"/>
      <c r="AA32" s="165"/>
      <c r="AB32" s="165"/>
      <c r="AC32" s="165"/>
      <c r="AD32" s="185"/>
      <c r="AG32" s="68" t="s">
        <v>50</v>
      </c>
      <c r="AH32" s="69">
        <v>20</v>
      </c>
      <c r="AI32" s="70" t="s">
        <v>51</v>
      </c>
    </row>
    <row r="33" spans="2:39" ht="15.75" thickBot="1" x14ac:dyDescent="0.3">
      <c r="B33" s="193"/>
      <c r="C33" s="161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6">
        <f>+V30-Intervalos!$AH$32</f>
        <v>240</v>
      </c>
      <c r="W33" s="173">
        <f>+V33-10</f>
        <v>230</v>
      </c>
      <c r="X33" s="165"/>
      <c r="Y33" s="165"/>
      <c r="Z33" s="165"/>
      <c r="AA33" s="165"/>
      <c r="AB33" s="165"/>
      <c r="AC33" s="165"/>
      <c r="AD33" s="185"/>
    </row>
    <row r="34" spans="2:39" ht="11.25" customHeight="1" thickBot="1" x14ac:dyDescent="0.3">
      <c r="B34" s="193"/>
      <c r="C34" s="161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8"/>
      <c r="W34" s="169"/>
      <c r="X34" s="165"/>
      <c r="Y34" s="165"/>
      <c r="Z34" s="165"/>
      <c r="AA34" s="165"/>
      <c r="AB34" s="165"/>
      <c r="AC34" s="165"/>
      <c r="AD34" s="185"/>
      <c r="AG34" t="s">
        <v>44</v>
      </c>
    </row>
    <row r="35" spans="2:39" ht="11.25" customHeight="1" thickBot="1" x14ac:dyDescent="0.3">
      <c r="B35" s="193"/>
      <c r="C35" s="170">
        <v>231.4</v>
      </c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2"/>
      <c r="W35" s="170"/>
      <c r="X35" s="171"/>
      <c r="Y35" s="171"/>
      <c r="Z35" s="171"/>
      <c r="AA35" s="171"/>
      <c r="AB35" s="171"/>
      <c r="AC35" s="171"/>
      <c r="AD35" s="187">
        <f>+C35-10</f>
        <v>221.4</v>
      </c>
      <c r="AH35" s="75" t="s">
        <v>52</v>
      </c>
      <c r="AI35" s="75" t="s">
        <v>53</v>
      </c>
      <c r="AJ35" s="75" t="s">
        <v>54</v>
      </c>
      <c r="AK35" s="75" t="s">
        <v>37</v>
      </c>
      <c r="AL35" s="75" t="s">
        <v>55</v>
      </c>
      <c r="AM35" s="113" t="s">
        <v>55</v>
      </c>
    </row>
    <row r="36" spans="2:39" ht="11.25" customHeight="1" thickBot="1" x14ac:dyDescent="0.3">
      <c r="B36" s="193">
        <v>7</v>
      </c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76"/>
      <c r="W36" s="177"/>
      <c r="X36" s="165"/>
      <c r="Y36" s="165"/>
      <c r="Z36" s="165"/>
      <c r="AA36" s="165"/>
      <c r="AB36" s="165"/>
      <c r="AC36" s="165"/>
      <c r="AD36" s="194"/>
      <c r="AH36" s="76" t="s">
        <v>56</v>
      </c>
      <c r="AI36" s="76" t="s">
        <v>43</v>
      </c>
      <c r="AJ36" s="76" t="s">
        <v>43</v>
      </c>
      <c r="AK36" s="76" t="s">
        <v>40</v>
      </c>
      <c r="AL36" s="76" t="s">
        <v>41</v>
      </c>
      <c r="AM36" s="113" t="s">
        <v>60</v>
      </c>
    </row>
    <row r="37" spans="2:39" ht="11.25" customHeight="1" thickBot="1" x14ac:dyDescent="0.3">
      <c r="B37" s="193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6">
        <f>+V33-Intervalos!$AH$32</f>
        <v>220</v>
      </c>
      <c r="W37" s="173">
        <f>+V37-10</f>
        <v>210</v>
      </c>
      <c r="X37" s="165"/>
      <c r="Y37" s="165"/>
      <c r="Z37" s="165"/>
      <c r="AA37" s="165"/>
      <c r="AB37" s="165"/>
      <c r="AC37" s="165"/>
      <c r="AD37" s="194"/>
      <c r="AH37" s="74">
        <v>1</v>
      </c>
      <c r="AI37" s="74">
        <v>406.8</v>
      </c>
      <c r="AJ37" s="74">
        <v>406.5</v>
      </c>
      <c r="AK37" s="107">
        <v>23063.68</v>
      </c>
      <c r="AL37" s="108">
        <f>+AK37*(AI37-AJ37)</f>
        <v>6919.1040000002622</v>
      </c>
      <c r="AM37" s="114">
        <f>AL37*10^-5</f>
        <v>6.9191040000002632E-2</v>
      </c>
    </row>
    <row r="38" spans="2:39" ht="11.25" customHeight="1" thickBot="1" x14ac:dyDescent="0.3">
      <c r="B38" s="193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76"/>
      <c r="W38" s="177"/>
      <c r="X38" s="165"/>
      <c r="Y38" s="165"/>
      <c r="Z38" s="165"/>
      <c r="AA38" s="165"/>
      <c r="AB38" s="165"/>
      <c r="AC38" s="165"/>
      <c r="AD38" s="194"/>
      <c r="AH38" s="74">
        <v>2</v>
      </c>
      <c r="AI38" s="74">
        <v>406.5</v>
      </c>
      <c r="AJ38" s="74">
        <v>360.8</v>
      </c>
      <c r="AK38" s="107">
        <v>46103.877</v>
      </c>
      <c r="AL38" s="108">
        <f t="shared" ref="AL38:AL56" si="1">+AK38*(AI38-AJ38)</f>
        <v>2106947.1788999997</v>
      </c>
      <c r="AM38" s="114">
        <f t="shared" ref="AM38:AM56" si="2">AL38*10^-5</f>
        <v>21.069471788999998</v>
      </c>
    </row>
    <row r="39" spans="2:39" ht="11.25" customHeight="1" thickBot="1" x14ac:dyDescent="0.3">
      <c r="B39" s="193"/>
      <c r="C39" s="170">
        <f>+AD39+10</f>
        <v>211.9</v>
      </c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2"/>
      <c r="W39" s="170"/>
      <c r="X39" s="171"/>
      <c r="Y39" s="171"/>
      <c r="Z39" s="171"/>
      <c r="AA39" s="171"/>
      <c r="AB39" s="171"/>
      <c r="AC39" s="171"/>
      <c r="AD39" s="187">
        <v>201.9</v>
      </c>
      <c r="AH39" s="74">
        <v>3</v>
      </c>
      <c r="AI39" s="74">
        <v>360.8</v>
      </c>
      <c r="AJ39" s="74">
        <v>292</v>
      </c>
      <c r="AK39" s="107">
        <v>68476.675293234774</v>
      </c>
      <c r="AL39" s="108">
        <f t="shared" si="1"/>
        <v>4711195.2601745529</v>
      </c>
      <c r="AM39" s="114">
        <f t="shared" si="2"/>
        <v>47.111952601745536</v>
      </c>
    </row>
    <row r="40" spans="2:39" ht="11.25" customHeight="1" thickBot="1" x14ac:dyDescent="0.3">
      <c r="B40" s="188">
        <v>8</v>
      </c>
      <c r="C40" s="170">
        <v>201.9</v>
      </c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2"/>
      <c r="W40" s="170"/>
      <c r="X40" s="171"/>
      <c r="Y40" s="171"/>
      <c r="Z40" s="171"/>
      <c r="AA40" s="171"/>
      <c r="AB40" s="171"/>
      <c r="AC40" s="171"/>
      <c r="AD40" s="187">
        <f>+C40-10</f>
        <v>191.9</v>
      </c>
      <c r="AH40" s="74">
        <v>4</v>
      </c>
      <c r="AI40" s="74">
        <v>292</v>
      </c>
      <c r="AJ40" s="74">
        <v>287</v>
      </c>
      <c r="AK40" s="107">
        <v>46663.473303234772</v>
      </c>
      <c r="AL40" s="108">
        <f t="shared" si="1"/>
        <v>233317.36651617388</v>
      </c>
      <c r="AM40" s="114">
        <f t="shared" si="2"/>
        <v>2.333173665161739</v>
      </c>
    </row>
    <row r="41" spans="2:39" ht="11.25" customHeight="1" thickBot="1" x14ac:dyDescent="0.3">
      <c r="B41" s="193">
        <v>9</v>
      </c>
      <c r="C41" s="161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6">
        <f>+V37-Intervalos!$AH$32</f>
        <v>200</v>
      </c>
      <c r="W41" s="173">
        <f>+V41-10</f>
        <v>190</v>
      </c>
      <c r="X41" s="165"/>
      <c r="Y41" s="165"/>
      <c r="Z41" s="165"/>
      <c r="AA41" s="165"/>
      <c r="AB41" s="165"/>
      <c r="AC41" s="165"/>
      <c r="AD41" s="185"/>
      <c r="AH41" s="74">
        <v>5</v>
      </c>
      <c r="AI41" s="74">
        <v>287</v>
      </c>
      <c r="AJ41" s="74">
        <v>282</v>
      </c>
      <c r="AK41" s="107">
        <v>102353.87330323477</v>
      </c>
      <c r="AL41" s="108">
        <f t="shared" si="1"/>
        <v>511769.36651617382</v>
      </c>
      <c r="AM41" s="114">
        <f t="shared" si="2"/>
        <v>5.1176936651617382</v>
      </c>
    </row>
    <row r="42" spans="2:39" ht="15.75" thickBot="1" x14ac:dyDescent="0.3">
      <c r="B42" s="193"/>
      <c r="C42" s="161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8"/>
      <c r="W42" s="169"/>
      <c r="X42" s="165"/>
      <c r="Y42" s="165"/>
      <c r="Z42" s="165"/>
      <c r="AA42" s="165"/>
      <c r="AB42" s="165"/>
      <c r="AC42" s="165"/>
      <c r="AD42" s="185"/>
      <c r="AH42" s="74">
        <v>6</v>
      </c>
      <c r="AI42" s="74">
        <v>282</v>
      </c>
      <c r="AJ42" s="74">
        <v>231.4</v>
      </c>
      <c r="AK42" s="107">
        <v>56249.996303234773</v>
      </c>
      <c r="AL42" s="108">
        <f t="shared" si="1"/>
        <v>2846249.8129436793</v>
      </c>
      <c r="AM42" s="114">
        <f t="shared" si="2"/>
        <v>28.462498129436796</v>
      </c>
    </row>
    <row r="43" spans="2:39" ht="15.75" thickBot="1" x14ac:dyDescent="0.3">
      <c r="B43" s="193"/>
      <c r="C43" s="161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74"/>
      <c r="W43" s="175"/>
      <c r="X43" s="165"/>
      <c r="Y43" s="165"/>
      <c r="Z43" s="165"/>
      <c r="AA43" s="165"/>
      <c r="AB43" s="165"/>
      <c r="AC43" s="165"/>
      <c r="AD43" s="185"/>
      <c r="AH43" s="74">
        <v>7</v>
      </c>
      <c r="AI43" s="74">
        <v>231.4</v>
      </c>
      <c r="AJ43" s="74">
        <v>211.9</v>
      </c>
      <c r="AK43" s="107">
        <v>83310.896303234767</v>
      </c>
      <c r="AL43" s="108">
        <f t="shared" si="1"/>
        <v>1624562.4779130779</v>
      </c>
      <c r="AM43" s="114">
        <f t="shared" si="2"/>
        <v>16.245624779130779</v>
      </c>
    </row>
    <row r="44" spans="2:39" ht="15.75" thickBot="1" x14ac:dyDescent="0.3">
      <c r="B44" s="193"/>
      <c r="C44" s="161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6">
        <f>+V41-Intervalos!$AH$32</f>
        <v>180</v>
      </c>
      <c r="W44" s="173">
        <f>+V44-10</f>
        <v>170</v>
      </c>
      <c r="X44" s="165"/>
      <c r="Y44" s="165"/>
      <c r="Z44" s="165"/>
      <c r="AA44" s="165"/>
      <c r="AB44" s="165"/>
      <c r="AC44" s="165"/>
      <c r="AD44" s="185"/>
      <c r="AH44" s="74">
        <v>8</v>
      </c>
      <c r="AI44" s="74">
        <v>211.9</v>
      </c>
      <c r="AJ44" s="74">
        <v>201.9</v>
      </c>
      <c r="AK44" s="107">
        <v>54935.996303234773</v>
      </c>
      <c r="AL44" s="108">
        <f t="shared" si="1"/>
        <v>549359.96303234773</v>
      </c>
      <c r="AM44" s="114">
        <f t="shared" si="2"/>
        <v>5.4935996303234775</v>
      </c>
    </row>
    <row r="45" spans="2:39" ht="15.75" thickBot="1" x14ac:dyDescent="0.3">
      <c r="B45" s="193"/>
      <c r="C45" s="161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8"/>
      <c r="W45" s="169"/>
      <c r="X45" s="165"/>
      <c r="Y45" s="165"/>
      <c r="Z45" s="165"/>
      <c r="AA45" s="165"/>
      <c r="AB45" s="165"/>
      <c r="AC45" s="165"/>
      <c r="AD45" s="185"/>
      <c r="AH45" s="74">
        <v>9</v>
      </c>
      <c r="AI45" s="74">
        <v>201.9</v>
      </c>
      <c r="AJ45" s="74">
        <v>150.1</v>
      </c>
      <c r="AK45" s="107">
        <v>-754.40369676522823</v>
      </c>
      <c r="AL45" s="108">
        <f t="shared" si="1"/>
        <v>-39078.111492438831</v>
      </c>
      <c r="AM45" s="114">
        <f t="shared" si="2"/>
        <v>-0.39078111492438833</v>
      </c>
    </row>
    <row r="46" spans="2:39" ht="15.75" thickBot="1" x14ac:dyDescent="0.3">
      <c r="B46" s="193"/>
      <c r="C46" s="161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74"/>
      <c r="W46" s="175"/>
      <c r="X46" s="165"/>
      <c r="Y46" s="165"/>
      <c r="Z46" s="165"/>
      <c r="AA46" s="165"/>
      <c r="AB46" s="165"/>
      <c r="AC46" s="165"/>
      <c r="AD46" s="185"/>
      <c r="AH46" s="74">
        <v>10</v>
      </c>
      <c r="AI46" s="74">
        <v>150.1</v>
      </c>
      <c r="AJ46" s="74">
        <v>147.80000000000001</v>
      </c>
      <c r="AK46" s="107">
        <v>18129.242303234765</v>
      </c>
      <c r="AL46" s="108">
        <f t="shared" si="1"/>
        <v>41697.257297439653</v>
      </c>
      <c r="AM46" s="114">
        <f t="shared" si="2"/>
        <v>0.41697257297439655</v>
      </c>
    </row>
    <row r="47" spans="2:39" ht="15.75" thickBot="1" x14ac:dyDescent="0.3">
      <c r="B47" s="193"/>
      <c r="C47" s="161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6">
        <f>+V44-Intervalos!$AH$32</f>
        <v>160</v>
      </c>
      <c r="W47" s="173">
        <f>+V47-10</f>
        <v>150</v>
      </c>
      <c r="X47" s="165"/>
      <c r="Y47" s="165"/>
      <c r="Z47" s="165"/>
      <c r="AA47" s="165"/>
      <c r="AB47" s="165"/>
      <c r="AC47" s="165"/>
      <c r="AD47" s="185"/>
      <c r="AH47" s="74">
        <v>11</v>
      </c>
      <c r="AI47" s="74">
        <v>147.80000000000001</v>
      </c>
      <c r="AJ47" s="74">
        <v>136.6</v>
      </c>
      <c r="AK47" s="107">
        <v>36973.302303234777</v>
      </c>
      <c r="AL47" s="108">
        <f t="shared" si="1"/>
        <v>414100.98579623015</v>
      </c>
      <c r="AM47" s="114">
        <f t="shared" si="2"/>
        <v>4.1410098579623016</v>
      </c>
    </row>
    <row r="48" spans="2:39" ht="11.25" customHeight="1" thickBot="1" x14ac:dyDescent="0.3">
      <c r="B48" s="193"/>
      <c r="C48" s="161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8"/>
      <c r="W48" s="169"/>
      <c r="X48" s="165"/>
      <c r="Y48" s="165"/>
      <c r="Z48" s="165"/>
      <c r="AA48" s="165"/>
      <c r="AB48" s="165"/>
      <c r="AC48" s="165"/>
      <c r="AD48" s="185"/>
      <c r="AH48" s="74">
        <v>12</v>
      </c>
      <c r="AI48" s="74">
        <v>136.6</v>
      </c>
      <c r="AJ48" s="74">
        <v>102</v>
      </c>
      <c r="AK48" s="107">
        <v>42623.702303234757</v>
      </c>
      <c r="AL48" s="108">
        <f t="shared" si="1"/>
        <v>1474780.0996919223</v>
      </c>
      <c r="AM48" s="114">
        <f t="shared" si="2"/>
        <v>14.747800996919224</v>
      </c>
    </row>
    <row r="49" spans="2:39" ht="11.25" customHeight="1" thickBot="1" x14ac:dyDescent="0.3">
      <c r="B49" s="193"/>
      <c r="C49" s="170">
        <v>150.1</v>
      </c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2"/>
      <c r="W49" s="170"/>
      <c r="X49" s="171"/>
      <c r="Y49" s="171"/>
      <c r="Z49" s="171"/>
      <c r="AA49" s="171"/>
      <c r="AB49" s="171"/>
      <c r="AC49" s="171"/>
      <c r="AD49" s="187">
        <f>+C49-10</f>
        <v>140.1</v>
      </c>
      <c r="AH49" s="74">
        <v>13</v>
      </c>
      <c r="AI49" s="74">
        <v>102</v>
      </c>
      <c r="AJ49" s="74">
        <v>82</v>
      </c>
      <c r="AK49" s="107">
        <v>71518.302303234756</v>
      </c>
      <c r="AL49" s="108">
        <f t="shared" si="1"/>
        <v>1430366.0460646951</v>
      </c>
      <c r="AM49" s="114">
        <f t="shared" si="2"/>
        <v>14.303660460646952</v>
      </c>
    </row>
    <row r="50" spans="2:39" ht="11.25" customHeight="1" thickBot="1" x14ac:dyDescent="0.3">
      <c r="B50" s="188">
        <v>10</v>
      </c>
      <c r="C50" s="170">
        <v>147.80000000000001</v>
      </c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2"/>
      <c r="W50" s="170"/>
      <c r="X50" s="171"/>
      <c r="Y50" s="171"/>
      <c r="Z50" s="171"/>
      <c r="AA50" s="171"/>
      <c r="AB50" s="171"/>
      <c r="AC50" s="171"/>
      <c r="AD50" s="187">
        <f>+C50-10</f>
        <v>137.80000000000001</v>
      </c>
      <c r="AH50" s="74">
        <v>14</v>
      </c>
      <c r="AI50" s="74">
        <v>82</v>
      </c>
      <c r="AJ50" s="74">
        <v>79.2</v>
      </c>
      <c r="AK50" s="107">
        <v>134648.92401000002</v>
      </c>
      <c r="AL50" s="108">
        <f t="shared" si="1"/>
        <v>377016.98722799966</v>
      </c>
      <c r="AM50" s="114">
        <f t="shared" si="2"/>
        <v>3.7701698722799968</v>
      </c>
    </row>
    <row r="51" spans="2:39" ht="11.25" customHeight="1" thickBot="1" x14ac:dyDescent="0.3">
      <c r="B51" s="193">
        <v>11</v>
      </c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6">
        <f>+V47-Intervalos!$AH$32</f>
        <v>140</v>
      </c>
      <c r="W51" s="173">
        <f>+V51-10</f>
        <v>130</v>
      </c>
      <c r="X51" s="165"/>
      <c r="Y51" s="165"/>
      <c r="Z51" s="165"/>
      <c r="AA51" s="165"/>
      <c r="AB51" s="165"/>
      <c r="AC51" s="165"/>
      <c r="AD51" s="194"/>
      <c r="AH51" s="74">
        <v>15</v>
      </c>
      <c r="AI51" s="74">
        <v>79.2</v>
      </c>
      <c r="AJ51" s="74">
        <v>55.5</v>
      </c>
      <c r="AK51" s="107">
        <v>163023.82401000001</v>
      </c>
      <c r="AL51" s="108">
        <f t="shared" si="1"/>
        <v>3863664.6290370007</v>
      </c>
      <c r="AM51" s="114">
        <f t="shared" si="2"/>
        <v>38.63664629037001</v>
      </c>
    </row>
    <row r="52" spans="2:39" ht="11.25" customHeight="1" thickBot="1" x14ac:dyDescent="0.3">
      <c r="B52" s="193"/>
      <c r="C52" s="170">
        <v>136.6</v>
      </c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2"/>
      <c r="W52" s="170"/>
      <c r="X52" s="171"/>
      <c r="Y52" s="171"/>
      <c r="Z52" s="171"/>
      <c r="AA52" s="171"/>
      <c r="AB52" s="171"/>
      <c r="AC52" s="171"/>
      <c r="AD52" s="187">
        <f>+C52-10</f>
        <v>126.6</v>
      </c>
      <c r="AH52" s="74">
        <v>16</v>
      </c>
      <c r="AI52" s="74">
        <v>55.5</v>
      </c>
      <c r="AJ52" s="74">
        <v>45</v>
      </c>
      <c r="AK52" s="107">
        <v>57815.558984507486</v>
      </c>
      <c r="AL52" s="108">
        <f t="shared" si="1"/>
        <v>607063.36933732859</v>
      </c>
      <c r="AM52" s="114">
        <f t="shared" si="2"/>
        <v>6.0706336933732867</v>
      </c>
    </row>
    <row r="53" spans="2:39" ht="11.25" customHeight="1" thickBot="1" x14ac:dyDescent="0.3">
      <c r="B53" s="193">
        <v>12</v>
      </c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76"/>
      <c r="W53" s="177"/>
      <c r="X53" s="165"/>
      <c r="Y53" s="165"/>
      <c r="Z53" s="165"/>
      <c r="AA53" s="165"/>
      <c r="AB53" s="165"/>
      <c r="AC53" s="165"/>
      <c r="AD53" s="194"/>
      <c r="AH53" s="74">
        <v>17</v>
      </c>
      <c r="AI53" s="74">
        <v>45</v>
      </c>
      <c r="AJ53" s="74">
        <v>40</v>
      </c>
      <c r="AK53" s="107">
        <v>144318.91498450749</v>
      </c>
      <c r="AL53" s="108">
        <f t="shared" si="1"/>
        <v>721594.57492253743</v>
      </c>
      <c r="AM53" s="114">
        <f t="shared" si="2"/>
        <v>7.2159457492253747</v>
      </c>
    </row>
    <row r="54" spans="2:39" ht="11.25" customHeight="1" thickBot="1" x14ac:dyDescent="0.3">
      <c r="B54" s="193"/>
      <c r="C54" s="165"/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8"/>
      <c r="W54" s="169"/>
      <c r="X54" s="165"/>
      <c r="Y54" s="165"/>
      <c r="Z54" s="165"/>
      <c r="AA54" s="165"/>
      <c r="AB54" s="165"/>
      <c r="AC54" s="165"/>
      <c r="AD54" s="194"/>
      <c r="AH54" s="74">
        <v>18</v>
      </c>
      <c r="AI54" s="74">
        <v>40</v>
      </c>
      <c r="AJ54" s="74">
        <v>35</v>
      </c>
      <c r="AK54" s="107">
        <v>88363.414984507486</v>
      </c>
      <c r="AL54" s="108">
        <f t="shared" si="1"/>
        <v>441817.07492253743</v>
      </c>
      <c r="AM54" s="114">
        <f t="shared" si="2"/>
        <v>4.418170749225375</v>
      </c>
    </row>
    <row r="55" spans="2:39" ht="11.25" customHeight="1" thickBot="1" x14ac:dyDescent="0.3">
      <c r="B55" s="193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6">
        <f>+V51-Intervalos!$AH$32</f>
        <v>120</v>
      </c>
      <c r="W55" s="173">
        <f>+V55-10</f>
        <v>110</v>
      </c>
      <c r="X55" s="165"/>
      <c r="Y55" s="165"/>
      <c r="Z55" s="165"/>
      <c r="AA55" s="165"/>
      <c r="AB55" s="165"/>
      <c r="AC55" s="165"/>
      <c r="AD55" s="194"/>
      <c r="AH55" s="74">
        <v>19</v>
      </c>
      <c r="AI55" s="74">
        <v>35</v>
      </c>
      <c r="AJ55" s="74">
        <v>3.8</v>
      </c>
      <c r="AK55" s="107">
        <v>-6109.3604999999998</v>
      </c>
      <c r="AL55" s="108">
        <f t="shared" si="1"/>
        <v>-190612.04759999999</v>
      </c>
      <c r="AM55" s="114">
        <f t="shared" si="2"/>
        <v>-1.9061204760000001</v>
      </c>
    </row>
    <row r="56" spans="2:39" ht="15.75" thickBot="1" x14ac:dyDescent="0.3">
      <c r="B56" s="193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8"/>
      <c r="W56" s="169"/>
      <c r="X56" s="165"/>
      <c r="Y56" s="165"/>
      <c r="Z56" s="165"/>
      <c r="AA56" s="165"/>
      <c r="AB56" s="165"/>
      <c r="AC56" s="165"/>
      <c r="AD56" s="194"/>
      <c r="AL56" s="110">
        <f>SUM(AL37:AL55)</f>
        <v>21732731.395201258</v>
      </c>
      <c r="AM56" s="112">
        <f t="shared" si="2"/>
        <v>217.32731395201259</v>
      </c>
    </row>
    <row r="57" spans="2:39" ht="15.75" thickBot="1" x14ac:dyDescent="0.3">
      <c r="B57" s="193"/>
      <c r="C57" s="170">
        <v>102</v>
      </c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2"/>
      <c r="W57" s="170"/>
      <c r="X57" s="171"/>
      <c r="Y57" s="171"/>
      <c r="Z57" s="171"/>
      <c r="AA57" s="171"/>
      <c r="AB57" s="171"/>
      <c r="AC57" s="171"/>
      <c r="AD57" s="187">
        <f>+C57-10</f>
        <v>92</v>
      </c>
      <c r="AL57" s="109">
        <f>ABS(AL56-Fcp!H20)</f>
        <v>567.49799999967217</v>
      </c>
    </row>
    <row r="58" spans="2:39" ht="15.75" thickBot="1" x14ac:dyDescent="0.3">
      <c r="B58" s="193">
        <v>13</v>
      </c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6">
        <f>+V55-Intervalos!$AH$32</f>
        <v>100</v>
      </c>
      <c r="W58" s="173">
        <f>+V58-10</f>
        <v>90</v>
      </c>
      <c r="X58" s="165"/>
      <c r="Y58" s="165"/>
      <c r="Z58" s="165"/>
      <c r="AA58" s="165"/>
      <c r="AB58" s="165"/>
      <c r="AC58" s="165"/>
      <c r="AD58" s="194"/>
    </row>
    <row r="59" spans="2:39" ht="15.75" thickBot="1" x14ac:dyDescent="0.3">
      <c r="B59" s="193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8"/>
      <c r="W59" s="169"/>
      <c r="X59" s="165"/>
      <c r="Y59" s="165"/>
      <c r="Z59" s="165"/>
      <c r="AA59" s="165"/>
      <c r="AB59" s="165"/>
      <c r="AC59" s="165"/>
      <c r="AD59" s="194"/>
    </row>
    <row r="60" spans="2:39" ht="15.75" thickBot="1" x14ac:dyDescent="0.3">
      <c r="B60" s="193"/>
      <c r="C60" s="170">
        <v>82</v>
      </c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2"/>
      <c r="W60" s="170"/>
      <c r="X60" s="171"/>
      <c r="Y60" s="171"/>
      <c r="Z60" s="171"/>
      <c r="AA60" s="171"/>
      <c r="AB60" s="171"/>
      <c r="AC60" s="171"/>
      <c r="AD60" s="187">
        <f>+C60-10</f>
        <v>72</v>
      </c>
    </row>
    <row r="61" spans="2:39" ht="15.75" thickBot="1" x14ac:dyDescent="0.3">
      <c r="B61" s="193">
        <v>14</v>
      </c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6">
        <f>+V58-Intervalos!$AH$32</f>
        <v>80</v>
      </c>
      <c r="W61" s="173">
        <f>+V61-10</f>
        <v>70</v>
      </c>
      <c r="X61" s="165"/>
      <c r="Y61" s="165"/>
      <c r="Z61" s="165"/>
      <c r="AA61" s="165"/>
      <c r="AB61" s="165"/>
      <c r="AC61" s="165"/>
      <c r="AD61" s="194"/>
    </row>
    <row r="62" spans="2:39" ht="11.25" customHeight="1" thickBot="1" x14ac:dyDescent="0.3">
      <c r="B62" s="193"/>
      <c r="C62" s="170">
        <f>+AD62+10</f>
        <v>79.2</v>
      </c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2"/>
      <c r="W62" s="170"/>
      <c r="X62" s="171"/>
      <c r="Y62" s="171"/>
      <c r="Z62" s="171"/>
      <c r="AA62" s="171"/>
      <c r="AB62" s="171"/>
      <c r="AC62" s="171"/>
      <c r="AD62" s="187">
        <v>69.2</v>
      </c>
    </row>
    <row r="63" spans="2:39" ht="11.25" customHeight="1" thickBot="1" x14ac:dyDescent="0.3">
      <c r="B63" s="193">
        <v>15</v>
      </c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8"/>
      <c r="W63" s="169"/>
      <c r="X63" s="165"/>
      <c r="Y63" s="165"/>
      <c r="Z63" s="165"/>
      <c r="AA63" s="165"/>
      <c r="AB63" s="165"/>
      <c r="AC63" s="165"/>
      <c r="AD63" s="194"/>
    </row>
    <row r="64" spans="2:39" ht="11.25" customHeight="1" thickBot="1" x14ac:dyDescent="0.3">
      <c r="B64" s="193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76"/>
      <c r="W64" s="169"/>
      <c r="X64" s="165"/>
      <c r="Y64" s="165"/>
      <c r="Z64" s="165"/>
      <c r="AA64" s="165"/>
      <c r="AB64" s="165"/>
      <c r="AC64" s="165"/>
      <c r="AD64" s="194"/>
    </row>
    <row r="65" spans="2:30" ht="11.25" customHeight="1" thickBot="1" x14ac:dyDescent="0.3">
      <c r="B65" s="193"/>
      <c r="C65" s="161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6">
        <f>+V61-Intervalos!$AH$32</f>
        <v>60</v>
      </c>
      <c r="W65" s="173">
        <f>+V65-10</f>
        <v>50</v>
      </c>
      <c r="X65" s="165"/>
      <c r="Y65" s="165"/>
      <c r="Z65" s="165"/>
      <c r="AA65" s="165"/>
      <c r="AB65" s="165"/>
      <c r="AC65" s="165"/>
      <c r="AD65" s="185"/>
    </row>
    <row r="66" spans="2:30" ht="11.25" customHeight="1" thickBot="1" x14ac:dyDescent="0.3">
      <c r="B66" s="193"/>
      <c r="C66" s="170">
        <v>55.5</v>
      </c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2"/>
      <c r="W66" s="170"/>
      <c r="X66" s="171"/>
      <c r="Y66" s="171"/>
      <c r="Z66" s="171"/>
      <c r="AA66" s="171"/>
      <c r="AB66" s="171"/>
      <c r="AC66" s="171"/>
      <c r="AD66" s="187">
        <v>45.5</v>
      </c>
    </row>
    <row r="67" spans="2:30" ht="11.25" customHeight="1" x14ac:dyDescent="0.25">
      <c r="B67" s="189">
        <v>16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9"/>
      <c r="X67" s="165"/>
      <c r="Y67" s="165"/>
      <c r="Z67" s="165"/>
      <c r="AA67" s="165"/>
      <c r="AB67" s="165"/>
      <c r="AC67" s="165"/>
      <c r="AD67" s="194"/>
    </row>
    <row r="68" spans="2:30" ht="11.25" customHeight="1" thickBot="1" x14ac:dyDescent="0.3">
      <c r="B68" s="191"/>
      <c r="C68" s="170">
        <f>+AD68+10</f>
        <v>45</v>
      </c>
      <c r="D68" s="171"/>
      <c r="E68" s="171"/>
      <c r="F68" s="171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2"/>
      <c r="W68" s="170"/>
      <c r="X68" s="171"/>
      <c r="Y68" s="171"/>
      <c r="Z68" s="171"/>
      <c r="AA68" s="171"/>
      <c r="AB68" s="171"/>
      <c r="AC68" s="171"/>
      <c r="AD68" s="187">
        <v>35</v>
      </c>
    </row>
    <row r="69" spans="2:30" ht="11.25" customHeight="1" thickBot="1" x14ac:dyDescent="0.3">
      <c r="B69" s="188">
        <v>17</v>
      </c>
      <c r="C69" s="170">
        <v>40</v>
      </c>
      <c r="D69" s="171"/>
      <c r="E69" s="171"/>
      <c r="F69" s="171"/>
      <c r="G69" s="171"/>
      <c r="H69" s="171"/>
      <c r="I69" s="171"/>
      <c r="J69" s="171"/>
      <c r="K69" s="171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66">
        <f>+V65-Intervalos!$AH$32</f>
        <v>40</v>
      </c>
      <c r="W69" s="173">
        <f>+V69-10</f>
        <v>30</v>
      </c>
      <c r="X69" s="178"/>
      <c r="Y69" s="171"/>
      <c r="Z69" s="171"/>
      <c r="AA69" s="171"/>
      <c r="AB69" s="171"/>
      <c r="AC69" s="171"/>
      <c r="AD69" s="187">
        <f>+W69</f>
        <v>30</v>
      </c>
    </row>
    <row r="70" spans="2:30" ht="11.25" customHeight="1" thickBot="1" x14ac:dyDescent="0.3">
      <c r="B70" s="188">
        <v>18</v>
      </c>
      <c r="C70" s="170">
        <v>35</v>
      </c>
      <c r="D70" s="171"/>
      <c r="E70" s="171"/>
      <c r="F70" s="171"/>
      <c r="G70" s="171"/>
      <c r="H70" s="171"/>
      <c r="I70" s="171"/>
      <c r="J70" s="171"/>
      <c r="K70" s="171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2"/>
      <c r="W70" s="170"/>
      <c r="X70" s="171"/>
      <c r="Y70" s="171"/>
      <c r="Z70" s="171"/>
      <c r="AA70" s="171"/>
      <c r="AB70" s="171"/>
      <c r="AC70" s="171"/>
      <c r="AD70" s="187">
        <f>+C70-10</f>
        <v>25</v>
      </c>
    </row>
    <row r="71" spans="2:30" ht="11.25" customHeight="1" thickBot="1" x14ac:dyDescent="0.3">
      <c r="B71" s="193">
        <v>19</v>
      </c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76"/>
      <c r="W71" s="177"/>
      <c r="X71" s="165"/>
      <c r="Y71" s="165"/>
      <c r="Z71" s="165"/>
      <c r="AA71" s="165"/>
      <c r="AB71" s="165"/>
      <c r="AC71" s="165"/>
      <c r="AD71" s="194"/>
    </row>
    <row r="72" spans="2:30" ht="11.25" customHeight="1" thickBot="1" x14ac:dyDescent="0.3">
      <c r="B72" s="193"/>
      <c r="C72" s="161"/>
      <c r="D72" s="165"/>
      <c r="E72" s="165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74"/>
      <c r="W72" s="175"/>
      <c r="X72" s="165"/>
      <c r="Y72" s="165"/>
      <c r="Z72" s="165"/>
      <c r="AA72" s="165"/>
      <c r="AB72" s="165"/>
      <c r="AC72" s="165"/>
      <c r="AD72" s="185"/>
    </row>
    <row r="73" spans="2:30" ht="11.25" customHeight="1" thickBot="1" x14ac:dyDescent="0.3">
      <c r="B73" s="193"/>
      <c r="C73" s="161"/>
      <c r="D73" s="165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6">
        <f>+V69-Intervalos!$AH$32</f>
        <v>20</v>
      </c>
      <c r="W73" s="173">
        <f>+V73-10</f>
        <v>10</v>
      </c>
      <c r="X73" s="165"/>
      <c r="Y73" s="165"/>
      <c r="Z73" s="165"/>
      <c r="AA73" s="165"/>
      <c r="AB73" s="165"/>
      <c r="AC73" s="165"/>
      <c r="AD73" s="185"/>
    </row>
    <row r="74" spans="2:30" ht="15.75" thickBot="1" x14ac:dyDescent="0.3">
      <c r="B74" s="193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76"/>
      <c r="W74" s="175"/>
      <c r="X74" s="165"/>
      <c r="Y74" s="165"/>
      <c r="Z74" s="165"/>
      <c r="AA74" s="165"/>
      <c r="AB74" s="165"/>
      <c r="AC74" s="165"/>
      <c r="AD74" s="194"/>
    </row>
    <row r="75" spans="2:30" ht="15.75" thickBot="1" x14ac:dyDescent="0.3">
      <c r="B75" s="193"/>
      <c r="C75" s="170">
        <f>+AD75+10</f>
        <v>3.8</v>
      </c>
      <c r="D75" s="171"/>
      <c r="E75" s="171"/>
      <c r="F75" s="171"/>
      <c r="G75" s="171"/>
      <c r="H75" s="171"/>
      <c r="I75" s="171"/>
      <c r="J75" s="171"/>
      <c r="K75" s="171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2"/>
      <c r="W75" s="170"/>
      <c r="X75" s="171"/>
      <c r="Y75" s="171"/>
      <c r="Z75" s="171"/>
      <c r="AA75" s="171"/>
      <c r="AB75" s="171"/>
      <c r="AC75" s="171"/>
      <c r="AD75" s="187">
        <v>-6.2</v>
      </c>
    </row>
    <row r="76" spans="2:30" ht="15.75" thickBot="1" x14ac:dyDescent="0.3">
      <c r="B76" s="195"/>
      <c r="C76" s="161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6">
        <f>+V73-Intervalos!$AH$32</f>
        <v>0</v>
      </c>
      <c r="W76" s="173">
        <f>+V76-10</f>
        <v>-10</v>
      </c>
      <c r="X76" s="165"/>
      <c r="Y76" s="165"/>
      <c r="Z76" s="165"/>
      <c r="AA76" s="165"/>
      <c r="AB76" s="165"/>
      <c r="AC76" s="165"/>
      <c r="AD76" s="185"/>
    </row>
    <row r="77" spans="2:30" x14ac:dyDescent="0.25">
      <c r="B77" s="195"/>
      <c r="C77" s="161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8"/>
      <c r="W77" s="169"/>
      <c r="X77" s="165"/>
      <c r="Y77" s="165"/>
      <c r="Z77" s="165"/>
      <c r="AA77" s="165"/>
      <c r="AB77" s="165"/>
      <c r="AC77" s="165"/>
      <c r="AD77" s="185"/>
    </row>
    <row r="78" spans="2:30" x14ac:dyDescent="0.25">
      <c r="B78" s="196"/>
      <c r="C78" s="159"/>
      <c r="D78" s="160">
        <v>2</v>
      </c>
      <c r="E78" s="160"/>
      <c r="F78" s="160">
        <v>7</v>
      </c>
      <c r="G78" s="160"/>
      <c r="H78" s="160">
        <v>9</v>
      </c>
      <c r="I78" s="160"/>
      <c r="J78" s="160">
        <v>11</v>
      </c>
      <c r="K78" s="160"/>
      <c r="L78" s="160">
        <v>24</v>
      </c>
      <c r="M78" s="160"/>
      <c r="N78" s="160">
        <v>26</v>
      </c>
      <c r="O78" s="160"/>
      <c r="P78" s="160">
        <v>33</v>
      </c>
      <c r="Q78" s="160"/>
      <c r="R78" s="160">
        <v>35</v>
      </c>
      <c r="S78" s="160"/>
      <c r="T78" s="160">
        <v>37</v>
      </c>
      <c r="U78" s="160"/>
      <c r="V78" s="160" t="s">
        <v>49</v>
      </c>
      <c r="W78" s="160"/>
      <c r="X78" s="160">
        <v>5</v>
      </c>
      <c r="Y78" s="160"/>
      <c r="Z78" s="160">
        <v>31</v>
      </c>
      <c r="AA78" s="160"/>
      <c r="AB78" s="160">
        <v>44</v>
      </c>
      <c r="AC78" s="160"/>
      <c r="AD78" s="197"/>
    </row>
  </sheetData>
  <mergeCells count="41">
    <mergeCell ref="B67:B68"/>
    <mergeCell ref="V78:W78"/>
    <mergeCell ref="B7:B13"/>
    <mergeCell ref="B14:B24"/>
    <mergeCell ref="AG19:AG21"/>
    <mergeCell ref="AG13:AG14"/>
    <mergeCell ref="AH13:AH14"/>
    <mergeCell ref="B27:B35"/>
    <mergeCell ref="B53:B57"/>
    <mergeCell ref="B58:B60"/>
    <mergeCell ref="B61:B62"/>
    <mergeCell ref="B63:B66"/>
    <mergeCell ref="B71:B75"/>
    <mergeCell ref="AB1:AC1"/>
    <mergeCell ref="R1:S1"/>
    <mergeCell ref="T1:U1"/>
    <mergeCell ref="V1:W1"/>
    <mergeCell ref="X1:Y1"/>
    <mergeCell ref="Z1:AA1"/>
    <mergeCell ref="P1:Q1"/>
    <mergeCell ref="D1:E1"/>
    <mergeCell ref="F1:G1"/>
    <mergeCell ref="H1:I1"/>
    <mergeCell ref="J1:K1"/>
    <mergeCell ref="L1:M1"/>
    <mergeCell ref="N1:O1"/>
    <mergeCell ref="B36:B39"/>
    <mergeCell ref="B41:B49"/>
    <mergeCell ref="B51:B52"/>
    <mergeCell ref="AB78:AC78"/>
    <mergeCell ref="P78:Q78"/>
    <mergeCell ref="R78:S78"/>
    <mergeCell ref="T78:U78"/>
    <mergeCell ref="X78:Y78"/>
    <mergeCell ref="Z78:AA78"/>
    <mergeCell ref="D78:E78"/>
    <mergeCell ref="F78:G78"/>
    <mergeCell ref="H78:I78"/>
    <mergeCell ref="J78:K78"/>
    <mergeCell ref="L78:M78"/>
    <mergeCell ref="N78:O7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159D-6184-4F2D-AC97-A017F3E6E46F}">
  <dimension ref="A1:V70"/>
  <sheetViews>
    <sheetView tabSelected="1" topLeftCell="A38" zoomScale="85" zoomScaleNormal="85" workbookViewId="0">
      <selection activeCell="Q65" sqref="Q65"/>
    </sheetView>
  </sheetViews>
  <sheetFormatPr baseColWidth="10" defaultRowHeight="15" x14ac:dyDescent="0.25"/>
  <cols>
    <col min="2" max="2" width="19" customWidth="1"/>
    <col min="3" max="3" width="16.28515625" customWidth="1"/>
    <col min="5" max="5" width="15.7109375" bestFit="1" customWidth="1"/>
    <col min="7" max="7" width="15.7109375" bestFit="1" customWidth="1"/>
    <col min="9" max="9" width="15.42578125" customWidth="1"/>
    <col min="11" max="11" width="15.7109375" bestFit="1" customWidth="1"/>
    <col min="17" max="17" width="10.140625" customWidth="1"/>
  </cols>
  <sheetData>
    <row r="1" spans="1:21" ht="18" x14ac:dyDescent="0.25">
      <c r="A1" s="123" t="s">
        <v>1</v>
      </c>
      <c r="B1" s="284" t="s">
        <v>0</v>
      </c>
      <c r="C1" s="282" t="s">
        <v>34</v>
      </c>
      <c r="D1" s="283" t="s">
        <v>36</v>
      </c>
      <c r="E1" s="283" t="s">
        <v>35</v>
      </c>
      <c r="F1" s="306" t="s">
        <v>37</v>
      </c>
      <c r="G1" s="307"/>
      <c r="H1" s="284" t="s">
        <v>38</v>
      </c>
      <c r="I1" s="308" t="s">
        <v>133</v>
      </c>
      <c r="J1" s="333" t="s">
        <v>140</v>
      </c>
      <c r="K1" s="308" t="s">
        <v>139</v>
      </c>
      <c r="L1" s="348" t="s">
        <v>132</v>
      </c>
    </row>
    <row r="2" spans="1:21" ht="18" thickBot="1" x14ac:dyDescent="0.3">
      <c r="A2" s="124"/>
      <c r="B2" s="49"/>
      <c r="C2" s="149"/>
      <c r="D2" s="32" t="s">
        <v>43</v>
      </c>
      <c r="E2" s="32" t="s">
        <v>43</v>
      </c>
      <c r="F2" s="32" t="s">
        <v>40</v>
      </c>
      <c r="G2" s="32" t="s">
        <v>130</v>
      </c>
      <c r="H2" s="40" t="s">
        <v>117</v>
      </c>
      <c r="I2" s="309" t="s">
        <v>117</v>
      </c>
      <c r="J2" s="334" t="s">
        <v>117</v>
      </c>
      <c r="K2" s="309" t="s">
        <v>117</v>
      </c>
      <c r="L2" s="349" t="s">
        <v>117</v>
      </c>
    </row>
    <row r="3" spans="1:21" x14ac:dyDescent="0.25">
      <c r="A3" s="50">
        <v>2</v>
      </c>
      <c r="B3" s="125" t="s">
        <v>22</v>
      </c>
      <c r="C3" s="137">
        <v>1</v>
      </c>
      <c r="D3" s="15">
        <v>35</v>
      </c>
      <c r="E3" s="15">
        <v>136.6</v>
      </c>
      <c r="F3" s="16">
        <v>5650.4</v>
      </c>
      <c r="G3" s="341">
        <f>F3*10^-5</f>
        <v>5.6503999999999999E-2</v>
      </c>
      <c r="H3" s="290">
        <f>G3*(E3-D3)</f>
        <v>5.7408063999999994</v>
      </c>
      <c r="I3" s="310">
        <f>+D60</f>
        <v>1.9061204760000001</v>
      </c>
      <c r="J3" s="335">
        <f>H3-I3</f>
        <v>3.8346859239999995</v>
      </c>
      <c r="K3" s="310">
        <f>+Q12</f>
        <v>3.8346859239999991</v>
      </c>
      <c r="L3" s="350">
        <f>J3-K3</f>
        <v>0</v>
      </c>
    </row>
    <row r="4" spans="1:21" x14ac:dyDescent="0.25">
      <c r="A4" s="52">
        <v>7</v>
      </c>
      <c r="B4" s="126" t="s">
        <v>12</v>
      </c>
      <c r="C4" s="138">
        <v>1</v>
      </c>
      <c r="D4" s="5">
        <v>201.9</v>
      </c>
      <c r="E4" s="5">
        <v>287</v>
      </c>
      <c r="F4" s="78">
        <v>28091.9</v>
      </c>
      <c r="G4" s="342">
        <f t="shared" ref="G4:G18" si="0">F4*10^-5</f>
        <v>0.28091900000000003</v>
      </c>
      <c r="H4" s="291">
        <f t="shared" ref="H4:H18" si="1">G4*(E4-D4)</f>
        <v>23.906206900000001</v>
      </c>
      <c r="I4" s="311"/>
      <c r="J4" s="336">
        <f t="shared" ref="J4:J14" si="2">H4-I4</f>
        <v>23.906206900000001</v>
      </c>
      <c r="K4" s="311">
        <f>+Q19</f>
        <v>23.906206900000001</v>
      </c>
      <c r="L4" s="351">
        <f t="shared" ref="L4:L14" si="3">J4-K4</f>
        <v>0</v>
      </c>
    </row>
    <row r="5" spans="1:21" x14ac:dyDescent="0.25">
      <c r="A5" s="54">
        <v>9</v>
      </c>
      <c r="B5" s="127" t="s">
        <v>14</v>
      </c>
      <c r="C5" s="138">
        <v>1</v>
      </c>
      <c r="D5" s="5">
        <v>201.9</v>
      </c>
      <c r="E5" s="5">
        <v>287</v>
      </c>
      <c r="F5" s="78">
        <v>27598.5</v>
      </c>
      <c r="G5" s="342">
        <f t="shared" si="0"/>
        <v>0.27598500000000004</v>
      </c>
      <c r="H5" s="291">
        <f t="shared" si="1"/>
        <v>23.486323500000001</v>
      </c>
      <c r="I5" s="311"/>
      <c r="J5" s="336">
        <f t="shared" si="2"/>
        <v>23.486323500000001</v>
      </c>
      <c r="K5" s="311">
        <f>+Q26</f>
        <v>23.486323500000001</v>
      </c>
      <c r="L5" s="351">
        <f t="shared" si="3"/>
        <v>0</v>
      </c>
    </row>
    <row r="6" spans="1:21" ht="15.75" thickBot="1" x14ac:dyDescent="0.3">
      <c r="A6" s="82">
        <v>11</v>
      </c>
      <c r="B6" s="128" t="s">
        <v>16</v>
      </c>
      <c r="C6" s="139">
        <v>1</v>
      </c>
      <c r="D6" s="8">
        <v>40</v>
      </c>
      <c r="E6" s="8">
        <v>102</v>
      </c>
      <c r="F6" s="143">
        <v>55955.5</v>
      </c>
      <c r="G6" s="343">
        <f t="shared" si="0"/>
        <v>0.55955500000000002</v>
      </c>
      <c r="H6" s="292">
        <f t="shared" si="1"/>
        <v>34.692410000000002</v>
      </c>
      <c r="I6" s="312">
        <f>+D44</f>
        <v>2.631012719999998</v>
      </c>
      <c r="J6" s="337">
        <f t="shared" si="2"/>
        <v>32.061397280000001</v>
      </c>
      <c r="K6" s="312">
        <f>+Q33</f>
        <v>32.061397280000001</v>
      </c>
      <c r="L6" s="352">
        <f t="shared" si="3"/>
        <v>0</v>
      </c>
    </row>
    <row r="7" spans="1:21" ht="15.75" thickBot="1" x14ac:dyDescent="0.3">
      <c r="A7" s="83"/>
      <c r="B7" s="129"/>
      <c r="C7" s="140">
        <v>2</v>
      </c>
      <c r="D7" s="12">
        <v>102</v>
      </c>
      <c r="E7" s="12">
        <v>231.4</v>
      </c>
      <c r="F7" s="13">
        <v>27060.9</v>
      </c>
      <c r="G7" s="344">
        <f t="shared" si="0"/>
        <v>0.27060900000000004</v>
      </c>
      <c r="H7" s="293">
        <f t="shared" si="1"/>
        <v>35.016804600000007</v>
      </c>
      <c r="I7" s="313">
        <f>+D43</f>
        <v>35.016804600000007</v>
      </c>
      <c r="J7" s="338">
        <f t="shared" si="2"/>
        <v>0</v>
      </c>
      <c r="K7" s="313"/>
      <c r="L7" s="353">
        <f t="shared" si="3"/>
        <v>0</v>
      </c>
      <c r="P7" s="329" t="s">
        <v>137</v>
      </c>
      <c r="Q7" s="330"/>
    </row>
    <row r="8" spans="1:21" x14ac:dyDescent="0.25">
      <c r="A8" s="54">
        <v>24</v>
      </c>
      <c r="B8" s="127" t="s">
        <v>21</v>
      </c>
      <c r="C8" s="138">
        <v>1</v>
      </c>
      <c r="D8" s="5">
        <v>35</v>
      </c>
      <c r="E8" s="5">
        <v>147.80000000000001</v>
      </c>
      <c r="F8" s="78">
        <v>18844.060000000001</v>
      </c>
      <c r="G8" s="342">
        <f t="shared" si="0"/>
        <v>0.18844060000000004</v>
      </c>
      <c r="H8" s="291">
        <f t="shared" si="1"/>
        <v>21.256099680000005</v>
      </c>
      <c r="I8" s="311"/>
      <c r="J8" s="336">
        <f t="shared" si="2"/>
        <v>21.256099680000005</v>
      </c>
      <c r="K8" s="311">
        <f>+Q40</f>
        <v>21.256099680000005</v>
      </c>
      <c r="L8" s="351">
        <f t="shared" si="3"/>
        <v>0</v>
      </c>
      <c r="P8" s="325" t="s">
        <v>125</v>
      </c>
      <c r="Q8" s="326">
        <v>4</v>
      </c>
      <c r="R8" s="287" t="s">
        <v>127</v>
      </c>
      <c r="S8" s="288">
        <f>N16</f>
        <v>0</v>
      </c>
      <c r="T8" s="287" t="s">
        <v>128</v>
      </c>
      <c r="U8" s="288">
        <v>2</v>
      </c>
    </row>
    <row r="9" spans="1:21" ht="15.75" thickBot="1" x14ac:dyDescent="0.3">
      <c r="A9" s="54">
        <v>26</v>
      </c>
      <c r="B9" s="127" t="s">
        <v>19</v>
      </c>
      <c r="C9" s="138">
        <v>1</v>
      </c>
      <c r="D9" s="5">
        <v>35</v>
      </c>
      <c r="E9" s="5">
        <v>150.1</v>
      </c>
      <c r="F9" s="78">
        <v>18883.646000000001</v>
      </c>
      <c r="G9" s="342">
        <f t="shared" si="0"/>
        <v>0.18883646000000001</v>
      </c>
      <c r="H9" s="291">
        <f t="shared" si="1"/>
        <v>21.735076546000002</v>
      </c>
      <c r="I9" s="311"/>
      <c r="J9" s="336">
        <f t="shared" si="2"/>
        <v>21.735076546000002</v>
      </c>
      <c r="K9" s="311">
        <f>+Q47</f>
        <v>21.735076546000002</v>
      </c>
      <c r="L9" s="351">
        <f t="shared" si="3"/>
        <v>0</v>
      </c>
      <c r="P9" s="327"/>
      <c r="Q9" s="328"/>
      <c r="R9" s="301" t="s">
        <v>131</v>
      </c>
      <c r="S9" s="199" t="e">
        <f>INDEX($A$3:$H$18, MATCH(S8,$A$3:$A$18,0),7)</f>
        <v>#N/A</v>
      </c>
      <c r="T9" s="301" t="s">
        <v>131</v>
      </c>
      <c r="U9" s="199">
        <f>INDEX($A$3:$H$18, MATCH(U8,$A$3:$A$18,0),7)</f>
        <v>5.6503999999999999E-2</v>
      </c>
    </row>
    <row r="10" spans="1:21" x14ac:dyDescent="0.25">
      <c r="A10" s="54">
        <v>33</v>
      </c>
      <c r="B10" s="127" t="s">
        <v>25</v>
      </c>
      <c r="C10" s="138">
        <v>1</v>
      </c>
      <c r="D10" s="5">
        <v>282</v>
      </c>
      <c r="E10" s="5">
        <v>406.5</v>
      </c>
      <c r="F10" s="78">
        <v>23040.197</v>
      </c>
      <c r="G10" s="342">
        <f t="shared" si="0"/>
        <v>0.23040197000000001</v>
      </c>
      <c r="H10" s="291">
        <f t="shared" si="1"/>
        <v>28.685045265000003</v>
      </c>
      <c r="I10" s="311"/>
      <c r="J10" s="336">
        <f t="shared" si="2"/>
        <v>28.685045265000003</v>
      </c>
      <c r="K10" s="311">
        <f>+Q54</f>
        <v>28.685045265000003</v>
      </c>
      <c r="L10" s="351">
        <f t="shared" si="3"/>
        <v>0</v>
      </c>
      <c r="P10" s="286" t="s">
        <v>126</v>
      </c>
      <c r="Q10" s="283" t="s">
        <v>124</v>
      </c>
      <c r="R10" s="283" t="s">
        <v>122</v>
      </c>
      <c r="S10" s="283" t="s">
        <v>123</v>
      </c>
      <c r="T10" s="283" t="s">
        <v>120</v>
      </c>
      <c r="U10" s="284" t="s">
        <v>121</v>
      </c>
    </row>
    <row r="11" spans="1:21" ht="17.25" x14ac:dyDescent="0.25">
      <c r="A11" s="60">
        <v>35</v>
      </c>
      <c r="B11" s="130" t="s">
        <v>27</v>
      </c>
      <c r="C11" s="138">
        <v>1</v>
      </c>
      <c r="D11" s="5">
        <v>282</v>
      </c>
      <c r="E11" s="5">
        <v>406.8</v>
      </c>
      <c r="F11" s="78">
        <v>23063.68</v>
      </c>
      <c r="G11" s="342">
        <f t="shared" si="0"/>
        <v>0.23063680000000003</v>
      </c>
      <c r="H11" s="291">
        <f t="shared" si="1"/>
        <v>28.783472640000006</v>
      </c>
      <c r="I11" s="311"/>
      <c r="J11" s="336">
        <f t="shared" si="2"/>
        <v>28.783472640000006</v>
      </c>
      <c r="K11" s="311">
        <f>+Q61</f>
        <v>28.783472640000006</v>
      </c>
      <c r="L11" s="351">
        <f t="shared" si="3"/>
        <v>0</v>
      </c>
      <c r="P11" s="303" t="s">
        <v>56</v>
      </c>
      <c r="Q11" s="304" t="s">
        <v>129</v>
      </c>
      <c r="R11" s="304" t="s">
        <v>43</v>
      </c>
      <c r="S11" s="304" t="s">
        <v>43</v>
      </c>
      <c r="T11" s="304" t="s">
        <v>43</v>
      </c>
      <c r="U11" s="305" t="s">
        <v>43</v>
      </c>
    </row>
    <row r="12" spans="1:21" ht="15.75" thickBot="1" x14ac:dyDescent="0.3">
      <c r="A12" s="82">
        <v>37</v>
      </c>
      <c r="B12" s="128" t="s">
        <v>29</v>
      </c>
      <c r="C12" s="139">
        <v>1</v>
      </c>
      <c r="D12" s="8">
        <v>35</v>
      </c>
      <c r="E12" s="8">
        <v>55.5</v>
      </c>
      <c r="F12" s="143">
        <v>44985.308984507479</v>
      </c>
      <c r="G12" s="343">
        <f t="shared" si="0"/>
        <v>0.44985308984507483</v>
      </c>
      <c r="H12" s="292">
        <f t="shared" si="1"/>
        <v>9.2219883418240336</v>
      </c>
      <c r="I12" s="312"/>
      <c r="J12" s="337">
        <f t="shared" si="2"/>
        <v>9.2219883418240336</v>
      </c>
      <c r="K12" s="312"/>
      <c r="L12" s="352">
        <f t="shared" si="3"/>
        <v>9.2219883418240336</v>
      </c>
      <c r="P12" s="64">
        <v>1</v>
      </c>
      <c r="Q12" s="19">
        <f>U9*(T12-U12)</f>
        <v>3.8346859239999991</v>
      </c>
      <c r="R12" s="33"/>
      <c r="S12" s="18"/>
      <c r="T12" s="289">
        <f>H60</f>
        <v>102.86574267308508</v>
      </c>
      <c r="U12" s="321">
        <f>D3</f>
        <v>35</v>
      </c>
    </row>
    <row r="13" spans="1:21" ht="15.75" thickBot="1" x14ac:dyDescent="0.3">
      <c r="A13" s="89"/>
      <c r="B13" s="131"/>
      <c r="C13" s="141">
        <v>2</v>
      </c>
      <c r="D13" s="20">
        <v>55.5</v>
      </c>
      <c r="E13" s="20">
        <v>82</v>
      </c>
      <c r="F13" s="21">
        <v>85503.42</v>
      </c>
      <c r="G13" s="345">
        <f t="shared" si="0"/>
        <v>0.85503420000000008</v>
      </c>
      <c r="H13" s="294">
        <f t="shared" si="1"/>
        <v>22.658406300000003</v>
      </c>
      <c r="I13" s="314"/>
      <c r="J13" s="339">
        <f t="shared" si="2"/>
        <v>22.658406300000003</v>
      </c>
      <c r="K13" s="314">
        <f>+Q69</f>
        <v>22.658406300000003</v>
      </c>
      <c r="L13" s="354">
        <f t="shared" si="3"/>
        <v>0</v>
      </c>
    </row>
    <row r="14" spans="1:21" ht="15.75" thickBot="1" x14ac:dyDescent="0.3">
      <c r="A14" s="90"/>
      <c r="B14" s="132"/>
      <c r="C14" s="122">
        <v>3</v>
      </c>
      <c r="D14" s="32">
        <v>82</v>
      </c>
      <c r="E14" s="32">
        <v>360.8</v>
      </c>
      <c r="F14" s="34">
        <v>22372.79829323477</v>
      </c>
      <c r="G14" s="346">
        <f t="shared" si="0"/>
        <v>0.22372798293234772</v>
      </c>
      <c r="H14" s="295">
        <f t="shared" si="1"/>
        <v>62.375361641538547</v>
      </c>
      <c r="I14" s="315">
        <f>+D30+D31</f>
        <v>60.671075086350008</v>
      </c>
      <c r="J14" s="340">
        <f t="shared" si="2"/>
        <v>1.7042865551885384</v>
      </c>
      <c r="K14" s="315">
        <f>+Q68</f>
        <v>1.7042865551885376</v>
      </c>
      <c r="L14" s="355">
        <f t="shared" si="3"/>
        <v>0</v>
      </c>
      <c r="P14" s="329" t="s">
        <v>137</v>
      </c>
      <c r="Q14" s="330"/>
    </row>
    <row r="15" spans="1:21" x14ac:dyDescent="0.25">
      <c r="A15" s="50">
        <v>5</v>
      </c>
      <c r="B15" s="125" t="s">
        <v>9</v>
      </c>
      <c r="C15" s="137">
        <v>1</v>
      </c>
      <c r="D15" s="15">
        <v>69.22</v>
      </c>
      <c r="E15" s="15">
        <v>201.9</v>
      </c>
      <c r="F15" s="16">
        <v>28374.9</v>
      </c>
      <c r="G15" s="341">
        <f t="shared" si="0"/>
        <v>0.28374900000000003</v>
      </c>
      <c r="H15" s="290">
        <f t="shared" si="1"/>
        <v>37.647817320000009</v>
      </c>
      <c r="I15" s="310">
        <f>+D43+D44</f>
        <v>37.647817320000009</v>
      </c>
      <c r="J15" s="335">
        <f>-ABS(H15-I15)</f>
        <v>0</v>
      </c>
      <c r="K15" s="310"/>
      <c r="L15" s="350">
        <f>-ABS(J15-K15)</f>
        <v>0</v>
      </c>
      <c r="P15" s="325" t="s">
        <v>125</v>
      </c>
      <c r="Q15" s="326">
        <v>5</v>
      </c>
      <c r="R15" s="287" t="s">
        <v>127</v>
      </c>
      <c r="S15" s="288">
        <f>N24</f>
        <v>0</v>
      </c>
      <c r="T15" s="287" t="s">
        <v>128</v>
      </c>
      <c r="U15" s="288">
        <v>7</v>
      </c>
    </row>
    <row r="16" spans="1:21" ht="15.75" thickBot="1" x14ac:dyDescent="0.3">
      <c r="A16" s="82">
        <v>31</v>
      </c>
      <c r="B16" s="128" t="s">
        <v>23</v>
      </c>
      <c r="C16" s="139">
        <v>1</v>
      </c>
      <c r="D16" s="8">
        <v>35</v>
      </c>
      <c r="E16" s="8">
        <v>45.5</v>
      </c>
      <c r="F16" s="143">
        <v>86503.356</v>
      </c>
      <c r="G16" s="343">
        <f t="shared" si="0"/>
        <v>0.86503356000000009</v>
      </c>
      <c r="H16" s="292">
        <f t="shared" si="1"/>
        <v>9.0828523800000003</v>
      </c>
      <c r="I16" s="312">
        <f>+D31</f>
        <v>9.0828523800000003</v>
      </c>
      <c r="J16" s="337">
        <f t="shared" ref="J16:J18" si="4">-ABS(H16-I16)</f>
        <v>0</v>
      </c>
      <c r="K16" s="312"/>
      <c r="L16" s="352">
        <f t="shared" ref="L16:L18" si="5">-ABS(J16-K16)</f>
        <v>0</v>
      </c>
      <c r="P16" s="327"/>
      <c r="Q16" s="328"/>
      <c r="R16" s="301" t="s">
        <v>131</v>
      </c>
      <c r="S16" s="199" t="e">
        <f>INDEX($A$3:$H$18, MATCH(S15,$A$3:$A$18,0),7)</f>
        <v>#N/A</v>
      </c>
      <c r="T16" s="301" t="s">
        <v>131</v>
      </c>
      <c r="U16" s="199">
        <f>INDEX($A$3:$H$18, MATCH(U15,$A$3:$A$18,0),7)</f>
        <v>0.28091900000000003</v>
      </c>
    </row>
    <row r="17" spans="1:22" ht="15.75" thickBot="1" x14ac:dyDescent="0.3">
      <c r="A17" s="83"/>
      <c r="B17" s="129"/>
      <c r="C17" s="140">
        <v>2</v>
      </c>
      <c r="D17" s="12">
        <v>45.5</v>
      </c>
      <c r="E17" s="12">
        <v>282</v>
      </c>
      <c r="F17" s="13">
        <v>21813.201990000001</v>
      </c>
      <c r="G17" s="344">
        <f t="shared" si="0"/>
        <v>0.21813201990000003</v>
      </c>
      <c r="H17" s="293">
        <f t="shared" si="1"/>
        <v>51.58822270635001</v>
      </c>
      <c r="I17" s="313">
        <f>+D30</f>
        <v>51.58822270635001</v>
      </c>
      <c r="J17" s="338">
        <f t="shared" si="4"/>
        <v>0</v>
      </c>
      <c r="K17" s="313"/>
      <c r="L17" s="353">
        <f t="shared" si="5"/>
        <v>0</v>
      </c>
      <c r="P17" s="286" t="s">
        <v>126</v>
      </c>
      <c r="Q17" s="283" t="s">
        <v>124</v>
      </c>
      <c r="R17" s="283" t="s">
        <v>122</v>
      </c>
      <c r="S17" s="283" t="s">
        <v>123</v>
      </c>
      <c r="T17" s="283" t="s">
        <v>120</v>
      </c>
      <c r="U17" s="284" t="s">
        <v>121</v>
      </c>
    </row>
    <row r="18" spans="1:22" ht="30.75" thickBot="1" x14ac:dyDescent="0.3">
      <c r="A18" s="64">
        <v>44</v>
      </c>
      <c r="B18" s="133" t="s">
        <v>31</v>
      </c>
      <c r="C18" s="142">
        <v>1</v>
      </c>
      <c r="D18" s="18">
        <v>-6.2</v>
      </c>
      <c r="E18" s="18">
        <v>25</v>
      </c>
      <c r="F18" s="145">
        <v>6109.3604999999998</v>
      </c>
      <c r="G18" s="347">
        <f t="shared" si="0"/>
        <v>6.1093605000000002E-2</v>
      </c>
      <c r="H18" s="296">
        <f t="shared" si="1"/>
        <v>1.9061204760000001</v>
      </c>
      <c r="I18" s="316">
        <f>+D60</f>
        <v>1.9061204760000001</v>
      </c>
      <c r="J18" s="337">
        <f t="shared" si="4"/>
        <v>0</v>
      </c>
      <c r="K18" s="316"/>
      <c r="L18" s="356">
        <f t="shared" si="5"/>
        <v>0</v>
      </c>
      <c r="P18" s="303" t="s">
        <v>56</v>
      </c>
      <c r="Q18" s="304" t="s">
        <v>129</v>
      </c>
      <c r="R18" s="304" t="s">
        <v>43</v>
      </c>
      <c r="S18" s="304" t="s">
        <v>43</v>
      </c>
      <c r="T18" s="304" t="s">
        <v>43</v>
      </c>
      <c r="U18" s="305" t="s">
        <v>43</v>
      </c>
      <c r="V18" s="357" t="s">
        <v>141</v>
      </c>
    </row>
    <row r="19" spans="1:22" ht="15.75" thickBot="1" x14ac:dyDescent="0.3">
      <c r="J19" s="322">
        <f>SUM(J3:J18)</f>
        <v>217.3329889320126</v>
      </c>
      <c r="P19" s="64">
        <v>1</v>
      </c>
      <c r="Q19" s="19">
        <f>U16*(T19-U19)</f>
        <v>23.906206900000001</v>
      </c>
      <c r="R19" s="33"/>
      <c r="S19" s="18"/>
      <c r="T19" s="289">
        <f>E4</f>
        <v>287</v>
      </c>
      <c r="U19" s="321">
        <f>D4</f>
        <v>201.9</v>
      </c>
      <c r="V19" s="358"/>
    </row>
    <row r="20" spans="1:22" ht="15.75" thickBot="1" x14ac:dyDescent="0.3"/>
    <row r="21" spans="1:22" ht="15.75" thickBot="1" x14ac:dyDescent="0.3">
      <c r="P21" s="329" t="s">
        <v>137</v>
      </c>
      <c r="Q21" s="330"/>
    </row>
    <row r="22" spans="1:22" x14ac:dyDescent="0.25">
      <c r="B22" s="198" t="s">
        <v>136</v>
      </c>
      <c r="C22" t="s">
        <v>119</v>
      </c>
      <c r="P22" s="325" t="s">
        <v>125</v>
      </c>
      <c r="Q22" s="326">
        <v>6</v>
      </c>
      <c r="R22" s="287" t="s">
        <v>127</v>
      </c>
      <c r="S22" s="288">
        <f>N32</f>
        <v>0</v>
      </c>
      <c r="T22" s="287" t="s">
        <v>128</v>
      </c>
      <c r="U22" s="288">
        <v>9</v>
      </c>
    </row>
    <row r="23" spans="1:22" ht="15.75" thickBot="1" x14ac:dyDescent="0.3">
      <c r="B23" t="s">
        <v>118</v>
      </c>
      <c r="P23" s="327"/>
      <c r="Q23" s="328"/>
      <c r="R23" s="301" t="s">
        <v>131</v>
      </c>
      <c r="S23" s="199" t="e">
        <f>INDEX($A$3:$H$18, MATCH(S22,$A$3:$A$18,0),7)</f>
        <v>#N/A</v>
      </c>
      <c r="T23" s="301" t="s">
        <v>131</v>
      </c>
      <c r="U23" s="199">
        <f>INDEX($A$3:$H$18, MATCH(U22,$A$3:$A$18,0),7)</f>
        <v>0.27598500000000004</v>
      </c>
    </row>
    <row r="24" spans="1:22" ht="15.75" thickBot="1" x14ac:dyDescent="0.3">
      <c r="P24" s="286" t="s">
        <v>126</v>
      </c>
      <c r="Q24" s="283" t="s">
        <v>124</v>
      </c>
      <c r="R24" s="283" t="s">
        <v>122</v>
      </c>
      <c r="S24" s="283" t="s">
        <v>123</v>
      </c>
      <c r="T24" s="283" t="s">
        <v>120</v>
      </c>
      <c r="U24" s="284" t="s">
        <v>121</v>
      </c>
    </row>
    <row r="25" spans="1:22" ht="18" customHeight="1" thickBot="1" x14ac:dyDescent="0.3">
      <c r="B25" s="285"/>
      <c r="C25" s="331" t="s">
        <v>138</v>
      </c>
      <c r="D25" s="332"/>
      <c r="P25" s="303" t="s">
        <v>56</v>
      </c>
      <c r="Q25" s="304" t="s">
        <v>129</v>
      </c>
      <c r="R25" s="304" t="s">
        <v>43</v>
      </c>
      <c r="S25" s="304" t="s">
        <v>43</v>
      </c>
      <c r="T25" s="304" t="s">
        <v>43</v>
      </c>
      <c r="U25" s="305" t="s">
        <v>43</v>
      </c>
      <c r="V25" s="357" t="s">
        <v>141</v>
      </c>
    </row>
    <row r="26" spans="1:22" ht="15.75" thickBot="1" x14ac:dyDescent="0.3">
      <c r="C26" s="297" t="s">
        <v>125</v>
      </c>
      <c r="D26" s="298">
        <v>1</v>
      </c>
      <c r="E26" s="287" t="s">
        <v>127</v>
      </c>
      <c r="F26" s="288">
        <f>A16</f>
        <v>31</v>
      </c>
      <c r="G26" s="287" t="s">
        <v>128</v>
      </c>
      <c r="H26" s="288">
        <v>37</v>
      </c>
      <c r="P26" s="64">
        <v>1</v>
      </c>
      <c r="Q26" s="19">
        <f>U23*(T26-U26)</f>
        <v>23.486323500000001</v>
      </c>
      <c r="R26" s="33"/>
      <c r="S26" s="18"/>
      <c r="T26" s="289">
        <f>E5</f>
        <v>287</v>
      </c>
      <c r="U26" s="321">
        <f>D5</f>
        <v>201.9</v>
      </c>
      <c r="V26" s="358"/>
    </row>
    <row r="27" spans="1:22" ht="15.75" thickBot="1" x14ac:dyDescent="0.3">
      <c r="C27" s="299"/>
      <c r="D27" s="300"/>
      <c r="E27" s="301" t="s">
        <v>131</v>
      </c>
      <c r="F27" s="199">
        <f>INDEX($A$3:$H$18, MATCH(F26,$A$3:$A$18,0),7)</f>
        <v>0.86503356000000009</v>
      </c>
      <c r="G27" s="301" t="s">
        <v>131</v>
      </c>
      <c r="H27" s="199">
        <f>INDEX($A$3:$H$18, MATCH(H26,$A$3:$A$18,0),7)</f>
        <v>0.44985308984507483</v>
      </c>
    </row>
    <row r="28" spans="1:22" ht="15.75" thickBot="1" x14ac:dyDescent="0.3">
      <c r="C28" s="286" t="s">
        <v>126</v>
      </c>
      <c r="D28" s="283" t="s">
        <v>124</v>
      </c>
      <c r="E28" s="283" t="s">
        <v>122</v>
      </c>
      <c r="F28" s="283" t="s">
        <v>123</v>
      </c>
      <c r="G28" s="283" t="s">
        <v>120</v>
      </c>
      <c r="H28" s="284" t="s">
        <v>121</v>
      </c>
      <c r="P28" s="329" t="s">
        <v>137</v>
      </c>
      <c r="Q28" s="330"/>
    </row>
    <row r="29" spans="1:22" ht="17.25" x14ac:dyDescent="0.25">
      <c r="C29" s="303" t="s">
        <v>56</v>
      </c>
      <c r="D29" s="304" t="s">
        <v>129</v>
      </c>
      <c r="E29" s="304" t="s">
        <v>43</v>
      </c>
      <c r="F29" s="304" t="s">
        <v>43</v>
      </c>
      <c r="G29" s="304" t="s">
        <v>43</v>
      </c>
      <c r="H29" s="305" t="s">
        <v>43</v>
      </c>
      <c r="P29" s="325" t="s">
        <v>125</v>
      </c>
      <c r="Q29" s="326">
        <v>7</v>
      </c>
      <c r="R29" s="287" t="s">
        <v>127</v>
      </c>
      <c r="S29" s="288">
        <f>N40</f>
        <v>0</v>
      </c>
      <c r="T29" s="287" t="s">
        <v>128</v>
      </c>
      <c r="U29" s="288">
        <v>11</v>
      </c>
    </row>
    <row r="30" spans="1:22" ht="15.75" thickBot="1" x14ac:dyDescent="0.3">
      <c r="C30" s="54">
        <v>0.5</v>
      </c>
      <c r="D30" s="7">
        <f>H17</f>
        <v>51.58822270635001</v>
      </c>
      <c r="E30" s="6">
        <v>45.5</v>
      </c>
      <c r="F30" s="5">
        <v>282</v>
      </c>
      <c r="G30" s="5">
        <f>E14</f>
        <v>360.8</v>
      </c>
      <c r="H30" s="323">
        <f>ABS(G30-D30/G14)</f>
        <v>130.21542121733793</v>
      </c>
      <c r="P30" s="327"/>
      <c r="Q30" s="328"/>
      <c r="R30" s="301" t="s">
        <v>131</v>
      </c>
      <c r="S30" s="199" t="e">
        <f>INDEX($A$3:$H$18, MATCH(S29,$A$3:$A$18,0),7)</f>
        <v>#N/A</v>
      </c>
      <c r="T30" s="301" t="s">
        <v>131</v>
      </c>
      <c r="U30" s="199">
        <f>INDEX($A$3:$H$18, MATCH(U29,$A$3:$A$18,0),7)</f>
        <v>0.55955500000000002</v>
      </c>
    </row>
    <row r="31" spans="1:22" ht="15.75" thickBot="1" x14ac:dyDescent="0.3">
      <c r="C31" s="64">
        <v>1</v>
      </c>
      <c r="D31" s="19">
        <f>H16</f>
        <v>9.0828523800000003</v>
      </c>
      <c r="E31" s="33">
        <f>D16</f>
        <v>35</v>
      </c>
      <c r="F31" s="33">
        <f>E30</f>
        <v>45.5</v>
      </c>
      <c r="G31" s="289">
        <f>H30</f>
        <v>130.21542121733793</v>
      </c>
      <c r="H31" s="324">
        <f>ABS(G31-D31/G14)</f>
        <v>89.617672732980793</v>
      </c>
      <c r="P31" s="286" t="s">
        <v>126</v>
      </c>
      <c r="Q31" s="283" t="s">
        <v>124</v>
      </c>
      <c r="R31" s="283" t="s">
        <v>122</v>
      </c>
      <c r="S31" s="283" t="s">
        <v>123</v>
      </c>
      <c r="T31" s="283" t="s">
        <v>120</v>
      </c>
      <c r="U31" s="284" t="s">
        <v>121</v>
      </c>
    </row>
    <row r="32" spans="1:22" ht="17.25" x14ac:dyDescent="0.25">
      <c r="G32" s="1"/>
      <c r="H32" s="1"/>
      <c r="P32" s="303" t="s">
        <v>56</v>
      </c>
      <c r="Q32" s="304" t="s">
        <v>129</v>
      </c>
      <c r="R32" s="304" t="s">
        <v>43</v>
      </c>
      <c r="S32" s="304" t="s">
        <v>43</v>
      </c>
      <c r="T32" s="304" t="s">
        <v>43</v>
      </c>
      <c r="U32" s="305" t="s">
        <v>43</v>
      </c>
    </row>
    <row r="33" spans="3:21" ht="15.75" thickBot="1" x14ac:dyDescent="0.3">
      <c r="C33" s="5" t="s">
        <v>135</v>
      </c>
      <c r="D33" s="228" t="s">
        <v>68</v>
      </c>
      <c r="E33" s="228" t="s">
        <v>69</v>
      </c>
      <c r="F33" s="113" t="s">
        <v>134</v>
      </c>
      <c r="G33" s="1"/>
      <c r="H33" s="1"/>
      <c r="P33" s="64">
        <v>1</v>
      </c>
      <c r="Q33" s="19">
        <f>U30*(T33-U33)</f>
        <v>32.061397280000001</v>
      </c>
      <c r="R33" s="33"/>
      <c r="S33" s="18"/>
      <c r="T33" s="289">
        <f>H44</f>
        <v>97.298026610431506</v>
      </c>
      <c r="U33" s="321">
        <f>D6</f>
        <v>40</v>
      </c>
    </row>
    <row r="34" spans="3:21" ht="15.75" thickBot="1" x14ac:dyDescent="0.3">
      <c r="C34" s="302">
        <v>0</v>
      </c>
      <c r="D34" s="6">
        <f>G30</f>
        <v>360.8</v>
      </c>
      <c r="E34" s="6">
        <f>F30</f>
        <v>282</v>
      </c>
      <c r="F34" s="319">
        <f>D34-E34</f>
        <v>78.800000000000011</v>
      </c>
      <c r="G34" s="1"/>
      <c r="H34" s="1"/>
    </row>
    <row r="35" spans="3:21" ht="15.75" thickBot="1" x14ac:dyDescent="0.3">
      <c r="C35" s="302">
        <v>0.5</v>
      </c>
      <c r="D35" s="6">
        <f>H30</f>
        <v>130.21542121733793</v>
      </c>
      <c r="E35" s="6">
        <f>E30</f>
        <v>45.5</v>
      </c>
      <c r="F35" s="319">
        <f>D35-E35</f>
        <v>84.715421217337934</v>
      </c>
      <c r="G35" s="1"/>
      <c r="H35" s="1"/>
      <c r="P35" s="329" t="s">
        <v>137</v>
      </c>
      <c r="Q35" s="330"/>
    </row>
    <row r="36" spans="3:21" x14ac:dyDescent="0.25">
      <c r="C36" s="302">
        <v>1</v>
      </c>
      <c r="D36" s="6">
        <f>H31</f>
        <v>89.617672732980793</v>
      </c>
      <c r="E36" s="6">
        <f>E31</f>
        <v>35</v>
      </c>
      <c r="F36" s="319">
        <f>D36-E36</f>
        <v>54.617672732980793</v>
      </c>
      <c r="G36" s="1"/>
      <c r="H36" s="1"/>
      <c r="P36" s="325" t="s">
        <v>125</v>
      </c>
      <c r="Q36" s="326">
        <v>8</v>
      </c>
      <c r="R36" s="287" t="s">
        <v>127</v>
      </c>
      <c r="S36" s="288">
        <f>N48</f>
        <v>0</v>
      </c>
      <c r="T36" s="287" t="s">
        <v>128</v>
      </c>
      <c r="U36" s="288">
        <v>24</v>
      </c>
    </row>
    <row r="37" spans="3:21" ht="18" customHeight="1" thickBot="1" x14ac:dyDescent="0.3">
      <c r="P37" s="327"/>
      <c r="Q37" s="328"/>
      <c r="R37" s="301" t="s">
        <v>131</v>
      </c>
      <c r="S37" s="199" t="e">
        <f>INDEX($A$3:$H$18, MATCH(S36,$A$3:$A$18,0),7)</f>
        <v>#N/A</v>
      </c>
      <c r="T37" s="301" t="s">
        <v>131</v>
      </c>
      <c r="U37" s="199">
        <f>INDEX($A$3:$H$18, MATCH(U36,$A$3:$A$18,0),7)</f>
        <v>0.18844060000000004</v>
      </c>
    </row>
    <row r="38" spans="3:21" ht="15.75" thickBot="1" x14ac:dyDescent="0.3">
      <c r="C38" s="331" t="s">
        <v>138</v>
      </c>
      <c r="D38" s="332"/>
      <c r="P38" s="286" t="s">
        <v>126</v>
      </c>
      <c r="Q38" s="283" t="s">
        <v>124</v>
      </c>
      <c r="R38" s="283" t="s">
        <v>122</v>
      </c>
      <c r="S38" s="283" t="s">
        <v>123</v>
      </c>
      <c r="T38" s="283" t="s">
        <v>120</v>
      </c>
      <c r="U38" s="284" t="s">
        <v>121</v>
      </c>
    </row>
    <row r="39" spans="3:21" ht="17.25" x14ac:dyDescent="0.25">
      <c r="C39" s="297" t="s">
        <v>125</v>
      </c>
      <c r="D39" s="298">
        <v>2</v>
      </c>
      <c r="E39" s="287" t="s">
        <v>127</v>
      </c>
      <c r="F39" s="288">
        <v>5</v>
      </c>
      <c r="G39" s="287" t="s">
        <v>128</v>
      </c>
      <c r="H39" s="288">
        <v>11</v>
      </c>
      <c r="P39" s="303" t="s">
        <v>56</v>
      </c>
      <c r="Q39" s="304" t="s">
        <v>129</v>
      </c>
      <c r="R39" s="304" t="s">
        <v>43</v>
      </c>
      <c r="S39" s="304" t="s">
        <v>43</v>
      </c>
      <c r="T39" s="304" t="s">
        <v>43</v>
      </c>
      <c r="U39" s="305" t="s">
        <v>43</v>
      </c>
    </row>
    <row r="40" spans="3:21" ht="15.75" thickBot="1" x14ac:dyDescent="0.3">
      <c r="C40" s="299"/>
      <c r="D40" s="300"/>
      <c r="E40" s="301" t="s">
        <v>131</v>
      </c>
      <c r="F40" s="199">
        <f>INDEX($A$3:$H$18, MATCH(F39,$A$3:$A$18,0),7)</f>
        <v>0.28374900000000003</v>
      </c>
      <c r="G40" s="301" t="s">
        <v>131</v>
      </c>
      <c r="H40" s="199">
        <f>INDEX($A$3:$H$18, MATCH(H39,$A$3:$A$18,0),7)</f>
        <v>0.55955500000000002</v>
      </c>
      <c r="P40" s="64">
        <v>1</v>
      </c>
      <c r="Q40" s="19">
        <f>U37*(T40-U40)</f>
        <v>21.256099680000005</v>
      </c>
      <c r="R40" s="33"/>
      <c r="S40" s="18"/>
      <c r="T40" s="289">
        <f>INDEX($A$3:$E$18,MATCH(U36,$A$3:$A$18),5)</f>
        <v>147.80000000000001</v>
      </c>
      <c r="U40" s="321">
        <f>INDEX($A$3:$E$18,MATCH(U36,$A$3:$A$18),4)</f>
        <v>35</v>
      </c>
    </row>
    <row r="41" spans="3:21" ht="15.75" thickBot="1" x14ac:dyDescent="0.3">
      <c r="C41" s="286" t="s">
        <v>126</v>
      </c>
      <c r="D41" s="283" t="s">
        <v>124</v>
      </c>
      <c r="E41" s="283" t="s">
        <v>122</v>
      </c>
      <c r="F41" s="283" t="s">
        <v>123</v>
      </c>
      <c r="G41" s="283" t="s">
        <v>120</v>
      </c>
      <c r="H41" s="284" t="s">
        <v>121</v>
      </c>
    </row>
    <row r="42" spans="3:21" ht="18" thickBot="1" x14ac:dyDescent="0.3">
      <c r="C42" s="303" t="s">
        <v>56</v>
      </c>
      <c r="D42" s="304" t="s">
        <v>129</v>
      </c>
      <c r="E42" s="304" t="s">
        <v>43</v>
      </c>
      <c r="F42" s="304" t="s">
        <v>43</v>
      </c>
      <c r="G42" s="304" t="s">
        <v>43</v>
      </c>
      <c r="H42" s="305" t="s">
        <v>43</v>
      </c>
      <c r="P42" s="329" t="s">
        <v>137</v>
      </c>
      <c r="Q42" s="330"/>
    </row>
    <row r="43" spans="3:21" x14ac:dyDescent="0.25">
      <c r="C43" s="54">
        <v>0.5</v>
      </c>
      <c r="D43" s="7">
        <f>H7</f>
        <v>35.016804600000007</v>
      </c>
      <c r="E43" s="6">
        <f>+ABS(D43/F40-F43)</f>
        <v>78.49232420202361</v>
      </c>
      <c r="F43" s="6">
        <f>+E15</f>
        <v>201.9</v>
      </c>
      <c r="G43" s="5">
        <f>E7</f>
        <v>231.4</v>
      </c>
      <c r="H43" s="317">
        <f>D7</f>
        <v>102</v>
      </c>
      <c r="P43" s="325" t="s">
        <v>125</v>
      </c>
      <c r="Q43" s="326">
        <v>9</v>
      </c>
      <c r="R43" s="287" t="s">
        <v>127</v>
      </c>
      <c r="S43" s="288">
        <f>N56</f>
        <v>0</v>
      </c>
      <c r="T43" s="287" t="s">
        <v>128</v>
      </c>
      <c r="U43" s="288">
        <v>26</v>
      </c>
    </row>
    <row r="44" spans="3:21" ht="15.75" thickBot="1" x14ac:dyDescent="0.3">
      <c r="C44" s="64">
        <v>1</v>
      </c>
      <c r="D44" s="19">
        <f>F40*(F44-E44)</f>
        <v>2.631012719999998</v>
      </c>
      <c r="E44" s="18">
        <f>D15</f>
        <v>69.22</v>
      </c>
      <c r="F44" s="33">
        <f>E43</f>
        <v>78.49232420202361</v>
      </c>
      <c r="G44" s="33">
        <f>H43</f>
        <v>102</v>
      </c>
      <c r="H44" s="320">
        <f>ABS(D44/G6-G44)</f>
        <v>97.298026610431506</v>
      </c>
      <c r="P44" s="327"/>
      <c r="Q44" s="328"/>
      <c r="R44" s="301" t="s">
        <v>131</v>
      </c>
      <c r="S44" s="199" t="e">
        <f>INDEX($A$3:$H$18, MATCH(S43,$A$3:$A$18,0),7)</f>
        <v>#N/A</v>
      </c>
      <c r="T44" s="301" t="s">
        <v>131</v>
      </c>
      <c r="U44" s="199">
        <f>INDEX($A$3:$H$18, MATCH(U43,$A$3:$A$18,0),7)</f>
        <v>0.18883646000000001</v>
      </c>
    </row>
    <row r="45" spans="3:21" ht="17.25" customHeight="1" x14ac:dyDescent="0.25">
      <c r="P45" s="286" t="s">
        <v>126</v>
      </c>
      <c r="Q45" s="283" t="s">
        <v>124</v>
      </c>
      <c r="R45" s="283" t="s">
        <v>122</v>
      </c>
      <c r="S45" s="283" t="s">
        <v>123</v>
      </c>
      <c r="T45" s="283" t="s">
        <v>120</v>
      </c>
      <c r="U45" s="284" t="s">
        <v>121</v>
      </c>
    </row>
    <row r="46" spans="3:21" ht="17.25" x14ac:dyDescent="0.25">
      <c r="C46" s="5" t="s">
        <v>135</v>
      </c>
      <c r="D46" s="228" t="s">
        <v>68</v>
      </c>
      <c r="E46" s="228" t="s">
        <v>69</v>
      </c>
      <c r="F46" s="113" t="s">
        <v>134</v>
      </c>
      <c r="P46" s="303" t="s">
        <v>56</v>
      </c>
      <c r="Q46" s="304" t="s">
        <v>129</v>
      </c>
      <c r="R46" s="304" t="s">
        <v>43</v>
      </c>
      <c r="S46" s="304" t="s">
        <v>43</v>
      </c>
      <c r="T46" s="304" t="s">
        <v>43</v>
      </c>
      <c r="U46" s="305" t="s">
        <v>43</v>
      </c>
    </row>
    <row r="47" spans="3:21" ht="15.75" thickBot="1" x14ac:dyDescent="0.3">
      <c r="C47" s="302">
        <v>0</v>
      </c>
      <c r="D47" s="5">
        <f>G43</f>
        <v>231.4</v>
      </c>
      <c r="E47" s="6">
        <f>F43</f>
        <v>201.9</v>
      </c>
      <c r="F47" s="319">
        <f>D47-E47</f>
        <v>29.5</v>
      </c>
      <c r="P47" s="64">
        <v>1</v>
      </c>
      <c r="Q47" s="19">
        <f>U44*(T47-U47)</f>
        <v>21.735076546000002</v>
      </c>
      <c r="R47" s="33"/>
      <c r="S47" s="18"/>
      <c r="T47" s="289">
        <f>INDEX($A$3:$E$18,MATCH(U43,$A$3:$A$18),5)</f>
        <v>150.1</v>
      </c>
      <c r="U47" s="321">
        <f>INDEX($A$3:$E$18,MATCH(U43,$A$3:$A$18),4)</f>
        <v>35</v>
      </c>
    </row>
    <row r="48" spans="3:21" ht="15.75" thickBot="1" x14ac:dyDescent="0.3">
      <c r="C48" s="302">
        <v>0.5</v>
      </c>
      <c r="D48" s="6">
        <f>H43</f>
        <v>102</v>
      </c>
      <c r="E48" s="5">
        <f>E43</f>
        <v>78.49232420202361</v>
      </c>
      <c r="F48" s="319">
        <f>D48-E48</f>
        <v>23.50767579797639</v>
      </c>
    </row>
    <row r="49" spans="3:21" ht="15.75" thickBot="1" x14ac:dyDescent="0.3">
      <c r="C49" s="5">
        <v>1</v>
      </c>
      <c r="D49" s="6">
        <f>H44</f>
        <v>97.298026610431506</v>
      </c>
      <c r="E49" s="5">
        <f>E44</f>
        <v>69.22</v>
      </c>
      <c r="F49" s="319">
        <f>D49-E49</f>
        <v>28.078026610431507</v>
      </c>
      <c r="P49" s="329" t="s">
        <v>137</v>
      </c>
      <c r="Q49" s="330"/>
    </row>
    <row r="50" spans="3:21" x14ac:dyDescent="0.25">
      <c r="P50" s="325" t="s">
        <v>125</v>
      </c>
      <c r="Q50" s="326">
        <v>10</v>
      </c>
      <c r="R50" s="287" t="s">
        <v>127</v>
      </c>
      <c r="S50" s="288">
        <f>N63</f>
        <v>0</v>
      </c>
      <c r="T50" s="287" t="s">
        <v>128</v>
      </c>
      <c r="U50" s="288">
        <v>33</v>
      </c>
    </row>
    <row r="51" spans="3:21" ht="15.75" thickBot="1" x14ac:dyDescent="0.3">
      <c r="P51" s="327"/>
      <c r="Q51" s="328"/>
      <c r="R51" s="301" t="s">
        <v>131</v>
      </c>
      <c r="S51" s="199" t="e">
        <f>INDEX($A$3:$H$18, MATCH(S50,$A$3:$A$18,0),7)</f>
        <v>#N/A</v>
      </c>
      <c r="T51" s="301" t="s">
        <v>131</v>
      </c>
      <c r="U51" s="199">
        <f>INDEX($A$3:$H$18, MATCH(U50,$A$3:$A$18,0),7)</f>
        <v>0.23040197000000001</v>
      </c>
    </row>
    <row r="52" spans="3:21" x14ac:dyDescent="0.25">
      <c r="P52" s="286" t="s">
        <v>126</v>
      </c>
      <c r="Q52" s="283" t="s">
        <v>124</v>
      </c>
      <c r="R52" s="283" t="s">
        <v>122</v>
      </c>
      <c r="S52" s="283" t="s">
        <v>123</v>
      </c>
      <c r="T52" s="283" t="s">
        <v>120</v>
      </c>
      <c r="U52" s="284" t="s">
        <v>121</v>
      </c>
    </row>
    <row r="53" spans="3:21" ht="17.25" x14ac:dyDescent="0.25">
      <c r="P53" s="303" t="s">
        <v>56</v>
      </c>
      <c r="Q53" s="304" t="s">
        <v>129</v>
      </c>
      <c r="R53" s="304" t="s">
        <v>43</v>
      </c>
      <c r="S53" s="304" t="s">
        <v>43</v>
      </c>
      <c r="T53" s="304" t="s">
        <v>43</v>
      </c>
      <c r="U53" s="305" t="s">
        <v>43</v>
      </c>
    </row>
    <row r="54" spans="3:21" ht="15.75" thickBot="1" x14ac:dyDescent="0.3">
      <c r="P54" s="64">
        <v>1</v>
      </c>
      <c r="Q54" s="19">
        <f>U51*(T54-U54)</f>
        <v>28.685045265000003</v>
      </c>
      <c r="R54" s="33"/>
      <c r="S54" s="18"/>
      <c r="T54" s="289">
        <f>INDEX($A$3:$E$18,MATCH(U50,$A$3:$A$18),5)</f>
        <v>406.5</v>
      </c>
      <c r="U54" s="321">
        <f>INDEX($A$3:$E$18,MATCH(U50,$A$3:$A$18),4)</f>
        <v>282</v>
      </c>
    </row>
    <row r="55" spans="3:21" ht="15.75" thickBot="1" x14ac:dyDescent="0.3">
      <c r="C55" s="331" t="s">
        <v>138</v>
      </c>
      <c r="D55" s="332"/>
    </row>
    <row r="56" spans="3:21" ht="15.75" thickBot="1" x14ac:dyDescent="0.3">
      <c r="C56" s="297" t="s">
        <v>125</v>
      </c>
      <c r="D56" s="298">
        <v>3</v>
      </c>
      <c r="E56" s="287" t="s">
        <v>127</v>
      </c>
      <c r="F56" s="288">
        <v>44</v>
      </c>
      <c r="G56" s="287" t="s">
        <v>128</v>
      </c>
      <c r="H56" s="318">
        <v>2</v>
      </c>
      <c r="P56" s="329" t="s">
        <v>137</v>
      </c>
      <c r="Q56" s="330"/>
    </row>
    <row r="57" spans="3:21" ht="15.75" thickBot="1" x14ac:dyDescent="0.3">
      <c r="C57" s="299"/>
      <c r="D57" s="300"/>
      <c r="E57" s="301" t="s">
        <v>131</v>
      </c>
      <c r="F57" s="199">
        <f>INDEX($A$3:$H$18, MATCH(F56,$A$3:$A$18,0),7)</f>
        <v>6.1093605000000002E-2</v>
      </c>
      <c r="G57" s="301" t="s">
        <v>131</v>
      </c>
      <c r="H57" s="199">
        <f>INDEX($A$3:$H$18, MATCH(H56,$A$3:$A$18,0),7)</f>
        <v>5.6503999999999999E-2</v>
      </c>
      <c r="P57" s="325" t="s">
        <v>125</v>
      </c>
      <c r="Q57" s="326">
        <v>11</v>
      </c>
      <c r="R57" s="287" t="s">
        <v>127</v>
      </c>
      <c r="S57" s="288">
        <f>N70</f>
        <v>0</v>
      </c>
      <c r="T57" s="287" t="s">
        <v>128</v>
      </c>
      <c r="U57" s="288">
        <v>35</v>
      </c>
    </row>
    <row r="58" spans="3:21" ht="15.75" thickBot="1" x14ac:dyDescent="0.3">
      <c r="C58" s="286" t="s">
        <v>126</v>
      </c>
      <c r="D58" s="283" t="s">
        <v>124</v>
      </c>
      <c r="E58" s="283" t="s">
        <v>122</v>
      </c>
      <c r="F58" s="283" t="s">
        <v>123</v>
      </c>
      <c r="G58" s="283" t="s">
        <v>120</v>
      </c>
      <c r="H58" s="284" t="s">
        <v>121</v>
      </c>
      <c r="P58" s="327"/>
      <c r="Q58" s="328"/>
      <c r="R58" s="301" t="s">
        <v>131</v>
      </c>
      <c r="S58" s="199" t="e">
        <f>INDEX($A$3:$H$18, MATCH(S57,$A$3:$A$18,0),7)</f>
        <v>#N/A</v>
      </c>
      <c r="T58" s="301" t="s">
        <v>131</v>
      </c>
      <c r="U58" s="199">
        <f>INDEX($A$3:$H$18, MATCH(U57,$A$3:$A$18,0),7)</f>
        <v>0.23063680000000003</v>
      </c>
    </row>
    <row r="59" spans="3:21" ht="17.25" x14ac:dyDescent="0.25">
      <c r="C59" s="303" t="s">
        <v>56</v>
      </c>
      <c r="D59" s="304" t="s">
        <v>129</v>
      </c>
      <c r="E59" s="304" t="s">
        <v>43</v>
      </c>
      <c r="F59" s="304" t="s">
        <v>43</v>
      </c>
      <c r="G59" s="304" t="s">
        <v>43</v>
      </c>
      <c r="H59" s="305" t="s">
        <v>43</v>
      </c>
      <c r="P59" s="286" t="s">
        <v>126</v>
      </c>
      <c r="Q59" s="283" t="s">
        <v>124</v>
      </c>
      <c r="R59" s="283" t="s">
        <v>122</v>
      </c>
      <c r="S59" s="283" t="s">
        <v>123</v>
      </c>
      <c r="T59" s="283" t="s">
        <v>120</v>
      </c>
      <c r="U59" s="284" t="s">
        <v>121</v>
      </c>
    </row>
    <row r="60" spans="3:21" ht="18" thickBot="1" x14ac:dyDescent="0.3">
      <c r="C60" s="64">
        <v>1</v>
      </c>
      <c r="D60" s="19">
        <f>H18</f>
        <v>1.9061204760000001</v>
      </c>
      <c r="E60" s="33">
        <f>D18</f>
        <v>-6.2</v>
      </c>
      <c r="F60" s="33">
        <f>E18</f>
        <v>25</v>
      </c>
      <c r="G60" s="18">
        <f>E3</f>
        <v>136.6</v>
      </c>
      <c r="H60" s="324">
        <f>ABS(D60/H57-G60)</f>
        <v>102.86574267308508</v>
      </c>
      <c r="P60" s="303" t="s">
        <v>56</v>
      </c>
      <c r="Q60" s="304" t="s">
        <v>129</v>
      </c>
      <c r="R60" s="304" t="s">
        <v>43</v>
      </c>
      <c r="S60" s="304" t="s">
        <v>43</v>
      </c>
      <c r="T60" s="304" t="s">
        <v>43</v>
      </c>
      <c r="U60" s="305" t="s">
        <v>43</v>
      </c>
    </row>
    <row r="61" spans="3:21" ht="15.75" thickBot="1" x14ac:dyDescent="0.3">
      <c r="P61" s="64">
        <v>1</v>
      </c>
      <c r="Q61" s="19">
        <f>U58*(T61-U61)</f>
        <v>28.783472640000006</v>
      </c>
      <c r="R61" s="33"/>
      <c r="S61" s="18"/>
      <c r="T61" s="289">
        <f>INDEX($A$3:$E$18,MATCH(U57,$A$3:$A$18,0),5)</f>
        <v>406.8</v>
      </c>
      <c r="U61" s="321">
        <f>INDEX($A$3:$E$18,MATCH(U57,$A$3:$A$18,0),4)</f>
        <v>282</v>
      </c>
    </row>
    <row r="62" spans="3:21" ht="15.75" thickBot="1" x14ac:dyDescent="0.3">
      <c r="C62" s="5" t="s">
        <v>135</v>
      </c>
      <c r="D62" s="228" t="s">
        <v>68</v>
      </c>
      <c r="E62" s="228" t="s">
        <v>69</v>
      </c>
      <c r="F62" s="113" t="s">
        <v>134</v>
      </c>
    </row>
    <row r="63" spans="3:21" ht="15.75" thickBot="1" x14ac:dyDescent="0.3">
      <c r="C63" s="302">
        <v>0</v>
      </c>
      <c r="D63" s="5">
        <f>G60</f>
        <v>136.6</v>
      </c>
      <c r="E63" s="6">
        <f>F60</f>
        <v>25</v>
      </c>
      <c r="F63" s="319">
        <f>D63-E63</f>
        <v>111.6</v>
      </c>
      <c r="P63" s="329" t="s">
        <v>137</v>
      </c>
      <c r="Q63" s="330"/>
    </row>
    <row r="64" spans="3:21" x14ac:dyDescent="0.25">
      <c r="C64" s="302">
        <v>1</v>
      </c>
      <c r="D64" s="5">
        <f>H60</f>
        <v>102.86574267308508</v>
      </c>
      <c r="E64" s="6">
        <f>+E60</f>
        <v>-6.2</v>
      </c>
      <c r="F64" s="319">
        <f>D64-E64</f>
        <v>109.06574267308508</v>
      </c>
      <c r="P64" s="325" t="s">
        <v>125</v>
      </c>
      <c r="Q64" s="326">
        <v>12</v>
      </c>
      <c r="R64" s="287" t="s">
        <v>127</v>
      </c>
      <c r="S64" s="288">
        <f>N77</f>
        <v>0</v>
      </c>
      <c r="T64" s="287" t="s">
        <v>128</v>
      </c>
      <c r="U64" s="288">
        <v>37</v>
      </c>
    </row>
    <row r="65" spans="16:21" ht="15.75" thickBot="1" x14ac:dyDescent="0.3">
      <c r="P65" s="327"/>
      <c r="Q65" s="328"/>
      <c r="R65" s="301" t="s">
        <v>131</v>
      </c>
      <c r="S65" s="199" t="e">
        <f>INDEX($A$3:$H$18, MATCH(S64,$A$3:$A$18,0),7)</f>
        <v>#N/A</v>
      </c>
      <c r="T65" s="301" t="s">
        <v>131</v>
      </c>
      <c r="U65" s="199">
        <f>INDEX($A$3:$H$18, MATCH(U64,$A$3:$A$18,0),7)</f>
        <v>0.44985308984507483</v>
      </c>
    </row>
    <row r="66" spans="16:21" x14ac:dyDescent="0.25">
      <c r="P66" s="286" t="s">
        <v>126</v>
      </c>
      <c r="Q66" s="283" t="s">
        <v>124</v>
      </c>
      <c r="R66" s="283" t="s">
        <v>122</v>
      </c>
      <c r="S66" s="283" t="s">
        <v>123</v>
      </c>
      <c r="T66" s="283" t="s">
        <v>120</v>
      </c>
      <c r="U66" s="284" t="s">
        <v>121</v>
      </c>
    </row>
    <row r="67" spans="16:21" ht="17.25" x14ac:dyDescent="0.25">
      <c r="P67" s="303" t="s">
        <v>56</v>
      </c>
      <c r="Q67" s="304" t="s">
        <v>129</v>
      </c>
      <c r="R67" s="304" t="s">
        <v>43</v>
      </c>
      <c r="S67" s="304" t="s">
        <v>43</v>
      </c>
      <c r="T67" s="304" t="s">
        <v>43</v>
      </c>
      <c r="U67" s="305" t="s">
        <v>43</v>
      </c>
    </row>
    <row r="68" spans="16:21" x14ac:dyDescent="0.25">
      <c r="P68" s="54">
        <v>0.33</v>
      </c>
      <c r="Q68" s="136">
        <f>G14*(T68-U68)</f>
        <v>1.7042865551885376</v>
      </c>
      <c r="R68" s="98"/>
      <c r="S68" s="98"/>
      <c r="T68" s="6">
        <f>H31</f>
        <v>89.617672732980793</v>
      </c>
      <c r="U68" s="55">
        <f>D14</f>
        <v>82</v>
      </c>
    </row>
    <row r="69" spans="16:21" x14ac:dyDescent="0.25">
      <c r="P69" s="54">
        <v>0.66</v>
      </c>
      <c r="Q69" s="136">
        <f>G13*(T69-U69)</f>
        <v>22.658406300000003</v>
      </c>
      <c r="R69" s="5"/>
      <c r="S69" s="5"/>
      <c r="T69" s="5">
        <f>E13</f>
        <v>82</v>
      </c>
      <c r="U69" s="147">
        <f>T70</f>
        <v>55.5</v>
      </c>
    </row>
    <row r="70" spans="16:21" ht="15.75" thickBot="1" x14ac:dyDescent="0.3">
      <c r="P70" s="64">
        <v>1</v>
      </c>
      <c r="Q70" s="289">
        <f>U65*(T70-U70)</f>
        <v>9.2219883418240336</v>
      </c>
      <c r="R70" s="33"/>
      <c r="S70" s="18"/>
      <c r="T70" s="289">
        <f>INDEX($A$3:$E$18,MATCH(U64,$A$3:$A$18,0),5)</f>
        <v>55.5</v>
      </c>
      <c r="U70" s="321">
        <f>INDEX($A$3:$E$18,MATCH(U64,$A$3:$A$18,0),4)</f>
        <v>35</v>
      </c>
    </row>
  </sheetData>
  <mergeCells count="26">
    <mergeCell ref="P14:Q14"/>
    <mergeCell ref="P21:Q21"/>
    <mergeCell ref="P28:Q28"/>
    <mergeCell ref="P35:Q35"/>
    <mergeCell ref="P42:Q42"/>
    <mergeCell ref="P56:Q56"/>
    <mergeCell ref="P63:Q63"/>
    <mergeCell ref="P7:Q7"/>
    <mergeCell ref="P49:Q49"/>
    <mergeCell ref="C25:D25"/>
    <mergeCell ref="C38:D38"/>
    <mergeCell ref="C56:C57"/>
    <mergeCell ref="D56:D57"/>
    <mergeCell ref="C55:D55"/>
    <mergeCell ref="F1:G1"/>
    <mergeCell ref="C26:C27"/>
    <mergeCell ref="D26:D27"/>
    <mergeCell ref="C39:C40"/>
    <mergeCell ref="D39:D40"/>
    <mergeCell ref="A1:A2"/>
    <mergeCell ref="A6:A7"/>
    <mergeCell ref="B6:B7"/>
    <mergeCell ref="A12:A14"/>
    <mergeCell ref="B12:B14"/>
    <mergeCell ref="A16:A17"/>
    <mergeCell ref="B16:B17"/>
  </mergeCells>
  <pageMargins left="0.7" right="0.7" top="0.75" bottom="0.75" header="0.3" footer="0.3"/>
  <ignoredErrors>
    <ignoredError sqref="K3:K5 K7 K15:K18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BED6-2324-4E5F-A96B-E82DC74EFF36}">
  <sheetPr codeName="Hoja4"/>
  <dimension ref="A1:Q24"/>
  <sheetViews>
    <sheetView topLeftCell="H1" workbookViewId="0">
      <selection activeCell="K26" sqref="K26"/>
    </sheetView>
  </sheetViews>
  <sheetFormatPr baseColWidth="10" defaultRowHeight="15" x14ac:dyDescent="0.25"/>
  <cols>
    <col min="1" max="1" width="7.28515625" customWidth="1"/>
    <col min="2" max="2" width="10.85546875" customWidth="1"/>
    <col min="7" max="7" width="12.5703125" customWidth="1"/>
    <col min="8" max="8" width="13.140625" bestFit="1" customWidth="1"/>
    <col min="9" max="9" width="11.42578125" style="1"/>
    <col min="11" max="11" width="9.7109375" customWidth="1"/>
    <col min="12" max="13" width="8.7109375" customWidth="1"/>
    <col min="15" max="15" width="9.7109375" customWidth="1"/>
    <col min="16" max="17" width="8.7109375" customWidth="1"/>
    <col min="19" max="19" width="11.5703125" customWidth="1"/>
  </cols>
  <sheetData>
    <row r="1" spans="1:17" ht="30" x14ac:dyDescent="0.25">
      <c r="A1" s="123" t="s">
        <v>1</v>
      </c>
      <c r="B1" s="38" t="s">
        <v>0</v>
      </c>
      <c r="C1" s="148" t="s">
        <v>34</v>
      </c>
      <c r="D1" s="37" t="s">
        <v>36</v>
      </c>
      <c r="E1" s="37" t="s">
        <v>35</v>
      </c>
      <c r="F1" s="37" t="s">
        <v>37</v>
      </c>
      <c r="G1" s="37" t="s">
        <v>38</v>
      </c>
      <c r="H1" s="37" t="s">
        <v>39</v>
      </c>
      <c r="I1" s="38" t="s">
        <v>63</v>
      </c>
      <c r="K1" s="236" t="s">
        <v>70</v>
      </c>
      <c r="L1" s="91" t="s">
        <v>67</v>
      </c>
      <c r="M1" s="236" t="s">
        <v>66</v>
      </c>
      <c r="O1" s="236" t="s">
        <v>70</v>
      </c>
      <c r="P1" s="91" t="s">
        <v>67</v>
      </c>
      <c r="Q1" s="236" t="s">
        <v>66</v>
      </c>
    </row>
    <row r="2" spans="1:17" ht="18" thickBot="1" x14ac:dyDescent="0.3">
      <c r="A2" s="124"/>
      <c r="B2" s="49"/>
      <c r="C2" s="149"/>
      <c r="D2" s="32" t="s">
        <v>43</v>
      </c>
      <c r="E2" s="32" t="s">
        <v>43</v>
      </c>
      <c r="F2" s="32" t="s">
        <v>40</v>
      </c>
      <c r="G2" s="32" t="s">
        <v>62</v>
      </c>
      <c r="H2" s="32" t="s">
        <v>41</v>
      </c>
      <c r="I2" s="40" t="s">
        <v>42</v>
      </c>
      <c r="K2" s="76" t="s">
        <v>43</v>
      </c>
      <c r="L2" s="76" t="s">
        <v>61</v>
      </c>
      <c r="M2" s="76" t="s">
        <v>61</v>
      </c>
      <c r="O2" s="76" t="s">
        <v>43</v>
      </c>
      <c r="P2" s="76" t="s">
        <v>61</v>
      </c>
      <c r="Q2" s="76" t="s">
        <v>61</v>
      </c>
    </row>
    <row r="3" spans="1:17" x14ac:dyDescent="0.25">
      <c r="A3" s="50">
        <v>2</v>
      </c>
      <c r="B3" s="125" t="s">
        <v>22</v>
      </c>
      <c r="C3" s="137">
        <v>1</v>
      </c>
      <c r="D3" s="15">
        <v>35</v>
      </c>
      <c r="E3" s="15">
        <v>136.6</v>
      </c>
      <c r="F3" s="229">
        <v>5650.4</v>
      </c>
      <c r="G3" s="152">
        <f>F3*(E3-D3)</f>
        <v>574080.6399999999</v>
      </c>
      <c r="H3" s="152">
        <v>574290.86637738603</v>
      </c>
      <c r="I3" s="17">
        <f t="shared" ref="I3:I19" si="0">(G3-H3)/H3*100</f>
        <v>-3.6606254721102814E-2</v>
      </c>
      <c r="K3" s="74">
        <v>3.8</v>
      </c>
      <c r="L3" s="74" t="s">
        <v>73</v>
      </c>
      <c r="M3" s="74">
        <v>0</v>
      </c>
      <c r="O3" s="5">
        <v>3.8</v>
      </c>
      <c r="P3" s="6" t="s">
        <v>56</v>
      </c>
      <c r="Q3" s="6">
        <v>217.33</v>
      </c>
    </row>
    <row r="4" spans="1:17" x14ac:dyDescent="0.25">
      <c r="A4" s="52">
        <v>7</v>
      </c>
      <c r="B4" s="126" t="s">
        <v>12</v>
      </c>
      <c r="C4" s="138">
        <v>1</v>
      </c>
      <c r="D4" s="5">
        <v>201.9</v>
      </c>
      <c r="E4" s="5">
        <v>287</v>
      </c>
      <c r="F4" s="230">
        <v>28091.9</v>
      </c>
      <c r="G4" s="153">
        <f t="shared" ref="G4:G14" si="1">F4*(E4-D4)</f>
        <v>2390620.69</v>
      </c>
      <c r="H4" s="153">
        <v>2391062.0677705901</v>
      </c>
      <c r="I4" s="147">
        <f t="shared" si="0"/>
        <v>-1.8459486122903865E-2</v>
      </c>
      <c r="K4" s="5">
        <v>35</v>
      </c>
      <c r="L4" s="6" t="s">
        <v>56</v>
      </c>
      <c r="M4" s="6">
        <f>0</f>
        <v>0</v>
      </c>
      <c r="O4" s="5">
        <f>25+10</f>
        <v>35</v>
      </c>
      <c r="P4" s="6">
        <f>(F18)*(O4-O3)*10^-5</f>
        <v>1.9061204760000001</v>
      </c>
      <c r="Q4" s="6">
        <f>Q3+P4</f>
        <v>219.23612047600002</v>
      </c>
    </row>
    <row r="5" spans="1:17" x14ac:dyDescent="0.25">
      <c r="A5" s="54">
        <v>9</v>
      </c>
      <c r="B5" s="127" t="s">
        <v>14</v>
      </c>
      <c r="C5" s="138">
        <v>1</v>
      </c>
      <c r="D5" s="5">
        <v>201.9</v>
      </c>
      <c r="E5" s="5">
        <v>287</v>
      </c>
      <c r="F5" s="230">
        <v>27598.5</v>
      </c>
      <c r="G5" s="153">
        <f t="shared" si="1"/>
        <v>2348632.3499999996</v>
      </c>
      <c r="H5" s="153">
        <v>2348211.6780188801</v>
      </c>
      <c r="I5" s="147">
        <f t="shared" si="0"/>
        <v>1.7914568139549489E-2</v>
      </c>
      <c r="K5" s="5">
        <v>40</v>
      </c>
      <c r="L5" s="6">
        <f>(F3+F8+F9+F12)*(K5-K4)*10^-5</f>
        <v>4.418170749225375</v>
      </c>
      <c r="M5" s="6">
        <f>+L5</f>
        <v>4.418170749225375</v>
      </c>
      <c r="O5" s="5">
        <v>45</v>
      </c>
      <c r="P5" s="6">
        <f>(0)</f>
        <v>0</v>
      </c>
      <c r="Q5" s="6">
        <f>+P5+Q4</f>
        <v>219.23612047600002</v>
      </c>
    </row>
    <row r="6" spans="1:17" x14ac:dyDescent="0.25">
      <c r="A6" s="82">
        <v>11</v>
      </c>
      <c r="B6" s="128" t="s">
        <v>16</v>
      </c>
      <c r="C6" s="139">
        <v>1</v>
      </c>
      <c r="D6" s="8">
        <v>40</v>
      </c>
      <c r="E6" s="8">
        <v>102</v>
      </c>
      <c r="F6" s="231">
        <v>55955.5</v>
      </c>
      <c r="G6" s="154">
        <f t="shared" si="1"/>
        <v>3469241</v>
      </c>
      <c r="H6" s="154">
        <v>3524807.1565554142</v>
      </c>
      <c r="I6" s="144">
        <f t="shared" si="0"/>
        <v>-1.5764311092047294</v>
      </c>
      <c r="K6" s="5">
        <v>45</v>
      </c>
      <c r="L6" s="6">
        <f>(F3+F6+F8+F9+F12)*(K6-K5)*10^-5</f>
        <v>7.2159457492253747</v>
      </c>
      <c r="M6" s="6">
        <f>+L6+M5</f>
        <v>11.63411649845075</v>
      </c>
      <c r="O6" s="5">
        <v>55.5</v>
      </c>
      <c r="P6" s="6">
        <f>(F16)*(O6-O5)*10^-5</f>
        <v>9.0828523800000003</v>
      </c>
      <c r="Q6" s="6">
        <f>Q5+P6</f>
        <v>228.31897285600002</v>
      </c>
    </row>
    <row r="7" spans="1:17" x14ac:dyDescent="0.25">
      <c r="A7" s="83"/>
      <c r="B7" s="129"/>
      <c r="C7" s="140">
        <v>2</v>
      </c>
      <c r="D7" s="12">
        <v>102</v>
      </c>
      <c r="E7" s="12">
        <v>231.4</v>
      </c>
      <c r="F7" s="232">
        <v>27060.9</v>
      </c>
      <c r="G7" s="155">
        <f t="shared" si="1"/>
        <v>3501680.4600000004</v>
      </c>
      <c r="H7" s="155">
        <f>+'Calores Requeridos'!G5-Fcp!H6</f>
        <v>-2348430.4499999997</v>
      </c>
      <c r="I7" s="27">
        <f t="shared" si="0"/>
        <v>-249.10726694077744</v>
      </c>
      <c r="K7" s="5">
        <v>55.5</v>
      </c>
      <c r="L7" s="6">
        <f>(F3+F6+F8+F9+F12)*(K7-K6)*10^-5</f>
        <v>15.153486073373287</v>
      </c>
      <c r="M7" s="6">
        <f t="shared" ref="M7:M22" si="2">+L7+M6</f>
        <v>26.787602571824038</v>
      </c>
      <c r="O7" s="5">
        <v>79.2</v>
      </c>
      <c r="P7" s="6">
        <f>F17*(O7-O6)*10^-5</f>
        <v>5.1697288716300021</v>
      </c>
      <c r="Q7" s="6">
        <f>Q6+P7</f>
        <v>233.48870172763003</v>
      </c>
    </row>
    <row r="8" spans="1:17" x14ac:dyDescent="0.25">
      <c r="A8" s="54">
        <v>24</v>
      </c>
      <c r="B8" s="127" t="s">
        <v>21</v>
      </c>
      <c r="C8" s="138">
        <v>1</v>
      </c>
      <c r="D8" s="5">
        <v>35</v>
      </c>
      <c r="E8" s="5">
        <v>147.80000000000001</v>
      </c>
      <c r="F8" s="230">
        <v>18844.060000000001</v>
      </c>
      <c r="G8" s="153">
        <f t="shared" si="1"/>
        <v>2125609.9680000003</v>
      </c>
      <c r="H8" s="153">
        <v>2122623.2663119901</v>
      </c>
      <c r="I8" s="147">
        <f t="shared" si="0"/>
        <v>0.14070804440015267</v>
      </c>
      <c r="K8" s="5">
        <v>79.2</v>
      </c>
      <c r="L8" s="6">
        <f>(F3+F6+F8+F9+F13)*(K8-K7)*10^-5</f>
        <v>43.806375162000009</v>
      </c>
      <c r="M8" s="6">
        <f t="shared" si="2"/>
        <v>70.593977733824048</v>
      </c>
      <c r="O8" s="5">
        <v>211.9</v>
      </c>
      <c r="P8" s="6">
        <f>(F15+F17)*(O8-O7)*10^-5</f>
        <v>66.599611340730007</v>
      </c>
      <c r="Q8" s="6">
        <f>Q7+P8</f>
        <v>300.08831306836004</v>
      </c>
    </row>
    <row r="9" spans="1:17" x14ac:dyDescent="0.25">
      <c r="A9" s="54">
        <v>26</v>
      </c>
      <c r="B9" s="127" t="s">
        <v>19</v>
      </c>
      <c r="C9" s="138">
        <v>1</v>
      </c>
      <c r="D9" s="5">
        <v>35</v>
      </c>
      <c r="E9" s="5">
        <v>150.1</v>
      </c>
      <c r="F9" s="230">
        <v>18883.646000000001</v>
      </c>
      <c r="G9" s="153">
        <f t="shared" si="1"/>
        <v>2173507.6546</v>
      </c>
      <c r="H9" s="153">
        <v>2171591.25428474</v>
      </c>
      <c r="I9" s="147">
        <f t="shared" si="0"/>
        <v>8.8248666109647628E-2</v>
      </c>
      <c r="K9" s="5">
        <v>82</v>
      </c>
      <c r="L9" s="6">
        <f>(F3+F6+F8+F9+F13)*(K9-K8)*10^-5</f>
        <v>5.1754367279999958</v>
      </c>
      <c r="M9" s="6">
        <f t="shared" si="2"/>
        <v>75.769414461824041</v>
      </c>
      <c r="O9" s="5">
        <v>292</v>
      </c>
      <c r="P9" s="6">
        <f>F17*(O9-O8)*10^-5</f>
        <v>17.472374793990003</v>
      </c>
      <c r="Q9" s="6">
        <f>Q8+P9</f>
        <v>317.56068786235005</v>
      </c>
    </row>
    <row r="10" spans="1:17" x14ac:dyDescent="0.25">
      <c r="A10" s="54">
        <v>33</v>
      </c>
      <c r="B10" s="127" t="s">
        <v>25</v>
      </c>
      <c r="C10" s="138">
        <v>1</v>
      </c>
      <c r="D10" s="5">
        <v>282</v>
      </c>
      <c r="E10" s="5">
        <v>406.5</v>
      </c>
      <c r="F10" s="230">
        <v>23040.197</v>
      </c>
      <c r="G10" s="153">
        <f t="shared" si="1"/>
        <v>2868504.5265000002</v>
      </c>
      <c r="H10" s="153">
        <v>2867011.02250046</v>
      </c>
      <c r="I10" s="147">
        <f t="shared" si="0"/>
        <v>5.2092719135678762E-2</v>
      </c>
      <c r="K10" s="5">
        <v>102</v>
      </c>
      <c r="L10" s="6">
        <f>(F3+F6+F8+F9+F14)*(K10-K9)*10^-5</f>
        <v>24.341280858646954</v>
      </c>
      <c r="M10" s="6">
        <f t="shared" si="2"/>
        <v>100.110695320471</v>
      </c>
    </row>
    <row r="11" spans="1:17" x14ac:dyDescent="0.25">
      <c r="A11" s="60">
        <v>35</v>
      </c>
      <c r="B11" s="130" t="s">
        <v>27</v>
      </c>
      <c r="C11" s="138">
        <v>1</v>
      </c>
      <c r="D11" s="5">
        <v>282</v>
      </c>
      <c r="E11" s="5">
        <v>406.8</v>
      </c>
      <c r="F11" s="230">
        <v>23063.68</v>
      </c>
      <c r="G11" s="153">
        <f t="shared" si="1"/>
        <v>2878347.2640000004</v>
      </c>
      <c r="H11" s="153">
        <v>2878217.9086702801</v>
      </c>
      <c r="I11" s="147">
        <f t="shared" si="0"/>
        <v>4.4942854858430383E-3</v>
      </c>
      <c r="K11" s="5">
        <v>136.6</v>
      </c>
      <c r="L11" s="6">
        <f>(F3+F7+F8+F9+F14)*(K11-K10)*10^-5</f>
        <v>32.112884285459224</v>
      </c>
      <c r="M11" s="6">
        <f t="shared" si="2"/>
        <v>132.22357960593021</v>
      </c>
    </row>
    <row r="12" spans="1:17" x14ac:dyDescent="0.25">
      <c r="A12" s="82">
        <v>37</v>
      </c>
      <c r="B12" s="128" t="s">
        <v>29</v>
      </c>
      <c r="C12" s="139">
        <v>1</v>
      </c>
      <c r="D12" s="8">
        <v>35</v>
      </c>
      <c r="E12" s="8">
        <v>55.5</v>
      </c>
      <c r="F12" s="231">
        <v>44985.308984507479</v>
      </c>
      <c r="G12" s="154">
        <f t="shared" si="1"/>
        <v>922198.83418240328</v>
      </c>
      <c r="H12" s="154">
        <v>928662.06754366308</v>
      </c>
      <c r="I12" s="144">
        <f t="shared" si="0"/>
        <v>-0.69597258110856541</v>
      </c>
      <c r="K12" s="5">
        <v>147.80000000000001</v>
      </c>
      <c r="L12" s="6">
        <f>(F7+F8+F9+F14)*(K12-K11)*10^-5</f>
        <v>9.7620772808423109</v>
      </c>
      <c r="M12" s="6">
        <f t="shared" si="2"/>
        <v>141.98565688677252</v>
      </c>
    </row>
    <row r="13" spans="1:17" x14ac:dyDescent="0.25">
      <c r="A13" s="89"/>
      <c r="B13" s="131"/>
      <c r="C13" s="141">
        <v>2</v>
      </c>
      <c r="D13" s="20">
        <v>55.5</v>
      </c>
      <c r="E13" s="20">
        <v>82</v>
      </c>
      <c r="F13" s="233">
        <v>85503.42</v>
      </c>
      <c r="G13" s="156">
        <f t="shared" si="1"/>
        <v>2265840.63</v>
      </c>
      <c r="H13" s="156">
        <v>2246266.8794076853</v>
      </c>
      <c r="I13" s="28">
        <f t="shared" si="0"/>
        <v>0.87139025072016429</v>
      </c>
      <c r="K13" s="5">
        <v>150.1</v>
      </c>
      <c r="L13" s="6">
        <f>(F7+F9+F14)*(K13-K12)*10^-5</f>
        <v>1.571298918744388</v>
      </c>
      <c r="M13" s="6">
        <f t="shared" si="2"/>
        <v>143.55695580551691</v>
      </c>
    </row>
    <row r="14" spans="1:17" ht="15.75" thickBot="1" x14ac:dyDescent="0.3">
      <c r="A14" s="90"/>
      <c r="B14" s="132"/>
      <c r="C14" s="122">
        <v>3</v>
      </c>
      <c r="D14" s="32">
        <v>82</v>
      </c>
      <c r="E14" s="32">
        <v>360.8</v>
      </c>
      <c r="F14" s="234">
        <v>22372.79829323477</v>
      </c>
      <c r="G14" s="157">
        <f t="shared" si="1"/>
        <v>6237536.1641538544</v>
      </c>
      <c r="H14" s="157">
        <f>+'Calores Requeridos'!G10-Fcp!H13-Fcp!H12</f>
        <v>-3800264.0981824035</v>
      </c>
      <c r="I14" s="35">
        <f t="shared" si="0"/>
        <v>-264.13428127632375</v>
      </c>
      <c r="K14" s="5">
        <v>201.9</v>
      </c>
      <c r="L14" s="6">
        <f>(F7+F14)*(K14-K13)*10^-5</f>
        <v>25.606655715895624</v>
      </c>
      <c r="M14" s="6">
        <f t="shared" si="2"/>
        <v>169.16361152141252</v>
      </c>
    </row>
    <row r="15" spans="1:17" x14ac:dyDescent="0.25">
      <c r="A15" s="50">
        <v>5</v>
      </c>
      <c r="B15" s="125" t="s">
        <v>9</v>
      </c>
      <c r="C15" s="137">
        <v>1</v>
      </c>
      <c r="D15" s="15">
        <v>69.22</v>
      </c>
      <c r="E15" s="15">
        <v>201.9</v>
      </c>
      <c r="F15" s="229">
        <v>28374.9</v>
      </c>
      <c r="G15" s="152">
        <f>F15*(D15-E15)</f>
        <v>-3764781.7320000003</v>
      </c>
      <c r="H15" s="152">
        <v>-3767185.3654153198</v>
      </c>
      <c r="I15" s="17">
        <f t="shared" si="0"/>
        <v>-6.3804490147633036E-2</v>
      </c>
      <c r="K15" s="5">
        <v>211.9</v>
      </c>
      <c r="L15" s="6">
        <f>(F7+F14+F5+F4)*(K15-K14)*10^-5</f>
        <v>10.512409829323479</v>
      </c>
      <c r="M15" s="6">
        <f t="shared" si="2"/>
        <v>179.67602135073599</v>
      </c>
    </row>
    <row r="16" spans="1:17" x14ac:dyDescent="0.25">
      <c r="A16" s="82">
        <v>31</v>
      </c>
      <c r="B16" s="128" t="s">
        <v>23</v>
      </c>
      <c r="C16" s="139">
        <v>1</v>
      </c>
      <c r="D16" s="8">
        <v>35</v>
      </c>
      <c r="E16" s="8">
        <v>45.5</v>
      </c>
      <c r="F16" s="231">
        <v>86503.356</v>
      </c>
      <c r="G16" s="154">
        <f t="shared" ref="G16:G18" si="3">F16*(D16-E16)</f>
        <v>-908285.23800000001</v>
      </c>
      <c r="H16" s="154">
        <v>-904947.05441234994</v>
      </c>
      <c r="I16" s="144">
        <f t="shared" si="0"/>
        <v>0.36888164576852545</v>
      </c>
      <c r="K16" s="5">
        <v>231.4</v>
      </c>
      <c r="L16" s="6">
        <f>(F4+F5+F7+F14)*(K16-K15)*10^-5</f>
        <v>20.499199167180784</v>
      </c>
      <c r="M16" s="6">
        <f t="shared" si="2"/>
        <v>200.17522051791678</v>
      </c>
    </row>
    <row r="17" spans="1:17" x14ac:dyDescent="0.25">
      <c r="A17" s="83"/>
      <c r="B17" s="129"/>
      <c r="C17" s="140">
        <v>2</v>
      </c>
      <c r="D17" s="12">
        <v>45.5</v>
      </c>
      <c r="E17" s="12">
        <v>282</v>
      </c>
      <c r="F17" s="232">
        <v>21813.201990000001</v>
      </c>
      <c r="G17" s="155">
        <f t="shared" si="3"/>
        <v>-5158822.2706350004</v>
      </c>
      <c r="H17" s="155">
        <v>-5189615.2300000004</v>
      </c>
      <c r="I17" s="27">
        <f t="shared" si="0"/>
        <v>-0.59335727217295098</v>
      </c>
      <c r="K17" s="5">
        <v>282</v>
      </c>
      <c r="L17" s="6">
        <f>(F4+F5+F14)*(K17-K16)*10^-5</f>
        <v>39.499978336376792</v>
      </c>
      <c r="M17" s="6">
        <f t="shared" si="2"/>
        <v>239.67519885429357</v>
      </c>
    </row>
    <row r="18" spans="1:17" ht="15.75" thickBot="1" x14ac:dyDescent="0.3">
      <c r="A18" s="64">
        <v>44</v>
      </c>
      <c r="B18" s="133" t="s">
        <v>31</v>
      </c>
      <c r="C18" s="142">
        <v>1</v>
      </c>
      <c r="D18" s="18">
        <v>-6.2</v>
      </c>
      <c r="E18" s="18">
        <v>25</v>
      </c>
      <c r="F18" s="235">
        <v>6109.3604999999998</v>
      </c>
      <c r="G18" s="158">
        <f t="shared" si="3"/>
        <v>-190612.04759999999</v>
      </c>
      <c r="H18" s="158">
        <v>-191102.49317041601</v>
      </c>
      <c r="I18" s="146">
        <f t="shared" si="0"/>
        <v>-0.25664006904329878</v>
      </c>
      <c r="K18" s="5">
        <v>287</v>
      </c>
      <c r="L18" s="6">
        <f>(F4+F5+F10+F11+F14)*(K18-K17)*10^-5</f>
        <v>6.2083537646617382</v>
      </c>
      <c r="M18" s="6">
        <f t="shared" si="2"/>
        <v>245.88355261895532</v>
      </c>
    </row>
    <row r="19" spans="1:17" ht="15.75" thickBot="1" x14ac:dyDescent="0.3">
      <c r="A19" s="150"/>
      <c r="B19" s="150"/>
      <c r="C19" s="150"/>
      <c r="D19" s="150"/>
      <c r="E19" s="150"/>
      <c r="F19" s="134" t="s">
        <v>47</v>
      </c>
      <c r="G19" s="151">
        <f>SUM(G3:G18)</f>
        <v>21733298.893201258</v>
      </c>
      <c r="H19" s="151">
        <f>SUM(H3:H18)</f>
        <v>5851199.4762606006</v>
      </c>
      <c r="I19" s="135">
        <f t="shared" si="0"/>
        <v>271.43322461278706</v>
      </c>
      <c r="K19" s="5">
        <v>292</v>
      </c>
      <c r="L19" s="6">
        <f>($F$10+$F$11+$F$14)*(K19-K18)*10^-5</f>
        <v>3.4238337646617389</v>
      </c>
      <c r="M19" s="6">
        <f t="shared" si="2"/>
        <v>249.30738638361706</v>
      </c>
    </row>
    <row r="20" spans="1:17" x14ac:dyDescent="0.25">
      <c r="G20" s="198"/>
      <c r="K20" s="5">
        <v>360.8</v>
      </c>
      <c r="L20" s="6">
        <f>($F$10+$F$11+$F$14)*(K20-K19)*10^-5</f>
        <v>47.111952601745536</v>
      </c>
      <c r="M20" s="6">
        <f t="shared" si="2"/>
        <v>296.41933898536257</v>
      </c>
    </row>
    <row r="21" spans="1:17" x14ac:dyDescent="0.25">
      <c r="G21" s="198"/>
      <c r="K21" s="5">
        <v>406.5</v>
      </c>
      <c r="L21" s="6">
        <f>(F11+F10)*(K21-K20)*10^-5</f>
        <v>21.069471788999998</v>
      </c>
      <c r="M21" s="6">
        <f>+L21+M20</f>
        <v>317.48881077436255</v>
      </c>
    </row>
    <row r="22" spans="1:17" x14ac:dyDescent="0.25">
      <c r="G22" s="210"/>
      <c r="K22" s="5">
        <v>406.8</v>
      </c>
      <c r="L22" s="6">
        <f>F11*(K22-K21)*10^-5</f>
        <v>6.9191040000002632E-2</v>
      </c>
      <c r="M22" s="6">
        <f>+L22+M21</f>
        <v>317.55800181436257</v>
      </c>
    </row>
    <row r="23" spans="1:17" ht="15.75" thickBot="1" x14ac:dyDescent="0.3"/>
    <row r="24" spans="1:17" ht="15.75" thickBot="1" x14ac:dyDescent="0.3">
      <c r="K24" s="240" t="s">
        <v>71</v>
      </c>
      <c r="L24" s="241"/>
      <c r="M24" s="242"/>
      <c r="O24" s="240" t="s">
        <v>72</v>
      </c>
      <c r="P24" s="241"/>
      <c r="Q24" s="242"/>
    </row>
  </sheetData>
  <mergeCells count="9">
    <mergeCell ref="A1:A2"/>
    <mergeCell ref="A16:A17"/>
    <mergeCell ref="B16:B17"/>
    <mergeCell ref="K24:M24"/>
    <mergeCell ref="O24:Q24"/>
    <mergeCell ref="A6:A7"/>
    <mergeCell ref="A12:A14"/>
    <mergeCell ref="B6:B7"/>
    <mergeCell ref="B12:B14"/>
  </mergeCells>
  <pageMargins left="0.7" right="0.7" top="0.75" bottom="0.75" header="0.3" footer="0.3"/>
  <ignoredErrors>
    <ignoredError sqref="Q5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22C0-D20C-41C5-A3F2-382B32B990B1}">
  <sheetPr codeName="Hoja5"/>
  <dimension ref="A1:I21"/>
  <sheetViews>
    <sheetView workbookViewId="0">
      <selection activeCell="K18" sqref="K18"/>
    </sheetView>
  </sheetViews>
  <sheetFormatPr baseColWidth="10" defaultRowHeight="15" x14ac:dyDescent="0.25"/>
  <cols>
    <col min="8" max="8" width="19" bestFit="1" customWidth="1"/>
    <col min="9" max="9" width="13.7109375" bestFit="1" customWidth="1"/>
  </cols>
  <sheetData>
    <row r="1" spans="1:9" x14ac:dyDescent="0.25">
      <c r="A1" s="75" t="s">
        <v>52</v>
      </c>
      <c r="B1" s="75" t="s">
        <v>53</v>
      </c>
      <c r="C1" s="75" t="s">
        <v>54</v>
      </c>
      <c r="D1" s="75" t="s">
        <v>116</v>
      </c>
      <c r="E1" s="75" t="s">
        <v>37</v>
      </c>
      <c r="F1" s="75" t="s">
        <v>55</v>
      </c>
      <c r="G1" s="113" t="s">
        <v>55</v>
      </c>
      <c r="H1" s="278" t="s">
        <v>115</v>
      </c>
      <c r="I1" s="280" t="s">
        <v>114</v>
      </c>
    </row>
    <row r="2" spans="1:9" x14ac:dyDescent="0.25">
      <c r="A2" s="76" t="s">
        <v>56</v>
      </c>
      <c r="B2" s="76" t="s">
        <v>43</v>
      </c>
      <c r="C2" s="76" t="s">
        <v>43</v>
      </c>
      <c r="D2" s="76" t="s">
        <v>43</v>
      </c>
      <c r="E2" s="76" t="s">
        <v>40</v>
      </c>
      <c r="F2" s="76" t="s">
        <v>41</v>
      </c>
      <c r="G2" s="113" t="s">
        <v>60</v>
      </c>
      <c r="H2" s="278" t="s">
        <v>60</v>
      </c>
      <c r="I2" s="280" t="s">
        <v>60</v>
      </c>
    </row>
    <row r="3" spans="1:9" x14ac:dyDescent="0.25">
      <c r="A3" s="74">
        <v>1</v>
      </c>
      <c r="B3" s="74">
        <v>406.8</v>
      </c>
      <c r="C3" s="74">
        <v>406.5</v>
      </c>
      <c r="D3" s="5">
        <f>B3-5</f>
        <v>401.8</v>
      </c>
      <c r="E3" s="107">
        <v>23063.68</v>
      </c>
      <c r="F3" s="108">
        <f>+E3*(B3-C3)</f>
        <v>6919.1040000002622</v>
      </c>
      <c r="G3" s="114">
        <f>F3*10^-5</f>
        <v>6.9191040000002632E-2</v>
      </c>
      <c r="H3" s="279">
        <f>G3-$G$3</f>
        <v>0</v>
      </c>
      <c r="I3" s="281">
        <f>H3</f>
        <v>0</v>
      </c>
    </row>
    <row r="4" spans="1:9" x14ac:dyDescent="0.25">
      <c r="A4" s="74">
        <v>2</v>
      </c>
      <c r="B4" s="74">
        <v>406.5</v>
      </c>
      <c r="C4" s="74">
        <v>360.8</v>
      </c>
      <c r="D4" s="5">
        <f>B4-5</f>
        <v>401.5</v>
      </c>
      <c r="E4" s="107">
        <v>46103.877</v>
      </c>
      <c r="F4" s="108">
        <f t="shared" ref="F4:F21" si="0">+E4*(B4-C4)</f>
        <v>2106947.1788999997</v>
      </c>
      <c r="G4" s="114">
        <f t="shared" ref="G4:G21" si="1">F4*10^-5</f>
        <v>21.069471788999998</v>
      </c>
      <c r="H4" s="279">
        <f>G4-$G$3</f>
        <v>21.000280748999995</v>
      </c>
      <c r="I4" s="281">
        <f>H4+I3</f>
        <v>21.000280748999995</v>
      </c>
    </row>
    <row r="5" spans="1:9" x14ac:dyDescent="0.25">
      <c r="A5" s="74">
        <v>3</v>
      </c>
      <c r="B5" s="74">
        <v>360.8</v>
      </c>
      <c r="C5" s="74">
        <v>292</v>
      </c>
      <c r="D5" s="5">
        <f>B5-5</f>
        <v>355.8</v>
      </c>
      <c r="E5" s="107">
        <v>68476.675293234774</v>
      </c>
      <c r="F5" s="108">
        <f t="shared" si="0"/>
        <v>4711195.2601745529</v>
      </c>
      <c r="G5" s="114">
        <f t="shared" si="1"/>
        <v>47.111952601745536</v>
      </c>
      <c r="H5" s="279">
        <f>G5-$G$3</f>
        <v>47.042761561745536</v>
      </c>
      <c r="I5" s="281">
        <f>H5+I4</f>
        <v>68.043042310745534</v>
      </c>
    </row>
    <row r="6" spans="1:9" x14ac:dyDescent="0.25">
      <c r="A6" s="74">
        <v>4</v>
      </c>
      <c r="B6" s="74">
        <v>292</v>
      </c>
      <c r="C6" s="74">
        <v>287</v>
      </c>
      <c r="D6" s="5">
        <f>B6-5</f>
        <v>287</v>
      </c>
      <c r="E6" s="107">
        <v>46663.473303234772</v>
      </c>
      <c r="F6" s="108">
        <f t="shared" si="0"/>
        <v>233317.36651617388</v>
      </c>
      <c r="G6" s="114">
        <f t="shared" si="1"/>
        <v>2.333173665161739</v>
      </c>
      <c r="H6" s="279">
        <f>G6-$G$3</f>
        <v>2.2639826251617365</v>
      </c>
      <c r="I6" s="281">
        <f t="shared" ref="I6:I21" si="2">H6+I5</f>
        <v>70.307024935907265</v>
      </c>
    </row>
    <row r="7" spans="1:9" x14ac:dyDescent="0.25">
      <c r="A7" s="74">
        <v>5</v>
      </c>
      <c r="B7" s="74">
        <v>287</v>
      </c>
      <c r="C7" s="74">
        <v>282</v>
      </c>
      <c r="D7" s="5">
        <f>B7-5</f>
        <v>282</v>
      </c>
      <c r="E7" s="107">
        <v>102353.87330323477</v>
      </c>
      <c r="F7" s="108">
        <f t="shared" si="0"/>
        <v>511769.36651617382</v>
      </c>
      <c r="G7" s="114">
        <f t="shared" si="1"/>
        <v>5.1176936651617382</v>
      </c>
      <c r="H7" s="279">
        <f>G7-$G$3</f>
        <v>5.0485026251617358</v>
      </c>
      <c r="I7" s="281">
        <f t="shared" si="2"/>
        <v>75.355527561068996</v>
      </c>
    </row>
    <row r="8" spans="1:9" x14ac:dyDescent="0.25">
      <c r="A8" s="74">
        <v>6</v>
      </c>
      <c r="B8" s="74">
        <v>282</v>
      </c>
      <c r="C8" s="74">
        <v>231.4</v>
      </c>
      <c r="D8" s="5">
        <f>B8-5</f>
        <v>277</v>
      </c>
      <c r="E8" s="107">
        <v>56249.996303234773</v>
      </c>
      <c r="F8" s="108">
        <f t="shared" si="0"/>
        <v>2846249.8129436793</v>
      </c>
      <c r="G8" s="114">
        <f t="shared" si="1"/>
        <v>28.462498129436796</v>
      </c>
      <c r="H8" s="279">
        <f>G8-$G$3</f>
        <v>28.393307089436792</v>
      </c>
      <c r="I8" s="281">
        <f t="shared" si="2"/>
        <v>103.74883465050578</v>
      </c>
    </row>
    <row r="9" spans="1:9" x14ac:dyDescent="0.25">
      <c r="A9" s="74">
        <v>7</v>
      </c>
      <c r="B9" s="74">
        <v>231.4</v>
      </c>
      <c r="C9" s="74">
        <v>211.9</v>
      </c>
      <c r="D9" s="5">
        <f>B9-5</f>
        <v>226.4</v>
      </c>
      <c r="E9" s="107">
        <v>83310.896303234767</v>
      </c>
      <c r="F9" s="108">
        <f t="shared" si="0"/>
        <v>1624562.4779130779</v>
      </c>
      <c r="G9" s="114">
        <f t="shared" si="1"/>
        <v>16.245624779130779</v>
      </c>
      <c r="H9" s="279">
        <f>G9-$G$3</f>
        <v>16.176433739130776</v>
      </c>
      <c r="I9" s="281">
        <f t="shared" si="2"/>
        <v>119.92526838963656</v>
      </c>
    </row>
    <row r="10" spans="1:9" x14ac:dyDescent="0.25">
      <c r="A10" s="74">
        <v>8</v>
      </c>
      <c r="B10" s="74">
        <v>211.9</v>
      </c>
      <c r="C10" s="74">
        <v>201.9</v>
      </c>
      <c r="D10" s="5">
        <f>B10-5</f>
        <v>206.9</v>
      </c>
      <c r="E10" s="107">
        <v>54935.996303234773</v>
      </c>
      <c r="F10" s="108">
        <f t="shared" si="0"/>
        <v>549359.96303234773</v>
      </c>
      <c r="G10" s="114">
        <f t="shared" si="1"/>
        <v>5.4935996303234775</v>
      </c>
      <c r="H10" s="279">
        <f>G10-$G$3</f>
        <v>5.4244085903234751</v>
      </c>
      <c r="I10" s="281">
        <f t="shared" si="2"/>
        <v>125.34967697996004</v>
      </c>
    </row>
    <row r="11" spans="1:9" x14ac:dyDescent="0.25">
      <c r="A11" s="74">
        <v>9</v>
      </c>
      <c r="B11" s="74">
        <v>201.9</v>
      </c>
      <c r="C11" s="74">
        <v>150.1</v>
      </c>
      <c r="D11" s="5">
        <f>B11-5</f>
        <v>196.9</v>
      </c>
      <c r="E11" s="107">
        <v>-754.40369676522823</v>
      </c>
      <c r="F11" s="108">
        <f t="shared" si="0"/>
        <v>-39078.111492438831</v>
      </c>
      <c r="G11" s="114">
        <f t="shared" si="1"/>
        <v>-0.39078111492438833</v>
      </c>
      <c r="H11" s="279">
        <f>G11-$G$3</f>
        <v>-0.45997215492439097</v>
      </c>
      <c r="I11" s="281">
        <f t="shared" si="2"/>
        <v>124.88970482503565</v>
      </c>
    </row>
    <row r="12" spans="1:9" x14ac:dyDescent="0.25">
      <c r="A12" s="74">
        <v>10</v>
      </c>
      <c r="B12" s="74">
        <v>150.1</v>
      </c>
      <c r="C12" s="74">
        <v>147.80000000000001</v>
      </c>
      <c r="D12" s="5">
        <f>B12-5</f>
        <v>145.1</v>
      </c>
      <c r="E12" s="107">
        <v>18129.242303234765</v>
      </c>
      <c r="F12" s="108">
        <f t="shared" si="0"/>
        <v>41697.257297439653</v>
      </c>
      <c r="G12" s="114">
        <f t="shared" si="1"/>
        <v>0.41697257297439655</v>
      </c>
      <c r="H12" s="279">
        <f>G12-$G$3</f>
        <v>0.3477815329743939</v>
      </c>
      <c r="I12" s="281">
        <f t="shared" si="2"/>
        <v>125.23748635801005</v>
      </c>
    </row>
    <row r="13" spans="1:9" x14ac:dyDescent="0.25">
      <c r="A13" s="74">
        <v>11</v>
      </c>
      <c r="B13" s="74">
        <v>147.80000000000001</v>
      </c>
      <c r="C13" s="74">
        <v>136.6</v>
      </c>
      <c r="D13" s="5">
        <f>B13-5</f>
        <v>142.80000000000001</v>
      </c>
      <c r="E13" s="107">
        <v>36973.302303234777</v>
      </c>
      <c r="F13" s="108">
        <f t="shared" si="0"/>
        <v>414100.98579623015</v>
      </c>
      <c r="G13" s="114">
        <f t="shared" si="1"/>
        <v>4.1410098579623016</v>
      </c>
      <c r="H13" s="279">
        <f>G13-$G$3</f>
        <v>4.0718188179622992</v>
      </c>
      <c r="I13" s="281">
        <f t="shared" si="2"/>
        <v>129.30930517597236</v>
      </c>
    </row>
    <row r="14" spans="1:9" x14ac:dyDescent="0.25">
      <c r="A14" s="74">
        <v>12</v>
      </c>
      <c r="B14" s="74">
        <v>136.6</v>
      </c>
      <c r="C14" s="74">
        <v>102</v>
      </c>
      <c r="D14" s="5">
        <f>B14-5</f>
        <v>131.6</v>
      </c>
      <c r="E14" s="107">
        <v>42623.702303234757</v>
      </c>
      <c r="F14" s="108">
        <f t="shared" si="0"/>
        <v>1474780.0996919223</v>
      </c>
      <c r="G14" s="114">
        <f t="shared" si="1"/>
        <v>14.747800996919224</v>
      </c>
      <c r="H14" s="279">
        <f>G14-$G$3</f>
        <v>14.678609956919221</v>
      </c>
      <c r="I14" s="281">
        <f t="shared" si="2"/>
        <v>143.98791513289157</v>
      </c>
    </row>
    <row r="15" spans="1:9" x14ac:dyDescent="0.25">
      <c r="A15" s="74">
        <v>13</v>
      </c>
      <c r="B15" s="74">
        <v>102</v>
      </c>
      <c r="C15" s="74">
        <v>82</v>
      </c>
      <c r="D15" s="5">
        <f>B15-5</f>
        <v>97</v>
      </c>
      <c r="E15" s="107">
        <v>71518.302303234756</v>
      </c>
      <c r="F15" s="108">
        <f t="shared" si="0"/>
        <v>1430366.0460646951</v>
      </c>
      <c r="G15" s="114">
        <f t="shared" si="1"/>
        <v>14.303660460646952</v>
      </c>
      <c r="H15" s="279">
        <f>G15-$G$3</f>
        <v>14.234469420646949</v>
      </c>
      <c r="I15" s="281">
        <f t="shared" si="2"/>
        <v>158.22238455353852</v>
      </c>
    </row>
    <row r="16" spans="1:9" x14ac:dyDescent="0.25">
      <c r="A16" s="74">
        <v>14</v>
      </c>
      <c r="B16" s="74">
        <v>82</v>
      </c>
      <c r="C16" s="74">
        <v>79.2</v>
      </c>
      <c r="D16" s="5">
        <f>B16-5</f>
        <v>77</v>
      </c>
      <c r="E16" s="107">
        <v>134648.92401000002</v>
      </c>
      <c r="F16" s="108">
        <f t="shared" si="0"/>
        <v>377016.98722799966</v>
      </c>
      <c r="G16" s="114">
        <f t="shared" si="1"/>
        <v>3.7701698722799968</v>
      </c>
      <c r="H16" s="279">
        <f>G16-$G$3</f>
        <v>3.7009788322799944</v>
      </c>
      <c r="I16" s="281">
        <f t="shared" si="2"/>
        <v>161.9233633858185</v>
      </c>
    </row>
    <row r="17" spans="1:9" x14ac:dyDescent="0.25">
      <c r="A17" s="74">
        <v>15</v>
      </c>
      <c r="B17" s="74">
        <v>79.2</v>
      </c>
      <c r="C17" s="74">
        <v>55.5</v>
      </c>
      <c r="D17" s="5">
        <f>B17-5</f>
        <v>74.2</v>
      </c>
      <c r="E17" s="107">
        <v>163023.82401000001</v>
      </c>
      <c r="F17" s="108">
        <f t="shared" si="0"/>
        <v>3863664.6290370007</v>
      </c>
      <c r="G17" s="114">
        <f t="shared" si="1"/>
        <v>38.63664629037001</v>
      </c>
      <c r="H17" s="279">
        <f>G17-$G$3</f>
        <v>38.56745525037001</v>
      </c>
      <c r="I17" s="281">
        <f t="shared" si="2"/>
        <v>200.49081863618852</v>
      </c>
    </row>
    <row r="18" spans="1:9" x14ac:dyDescent="0.25">
      <c r="A18" s="74">
        <v>16</v>
      </c>
      <c r="B18" s="74">
        <v>55.5</v>
      </c>
      <c r="C18" s="74">
        <v>45</v>
      </c>
      <c r="D18" s="5">
        <f>B18-5</f>
        <v>50.5</v>
      </c>
      <c r="E18" s="107">
        <v>57815.558984507486</v>
      </c>
      <c r="F18" s="108">
        <f t="shared" si="0"/>
        <v>607063.36933732859</v>
      </c>
      <c r="G18" s="114">
        <f t="shared" si="1"/>
        <v>6.0706336933732867</v>
      </c>
      <c r="H18" s="279">
        <f>G18-$G$3</f>
        <v>6.0014426533732843</v>
      </c>
      <c r="I18" s="281">
        <f t="shared" si="2"/>
        <v>206.49226128956181</v>
      </c>
    </row>
    <row r="19" spans="1:9" x14ac:dyDescent="0.25">
      <c r="A19" s="74">
        <v>17</v>
      </c>
      <c r="B19" s="74">
        <v>45</v>
      </c>
      <c r="C19" s="74">
        <v>40</v>
      </c>
      <c r="D19" s="5">
        <f>B19-5</f>
        <v>40</v>
      </c>
      <c r="E19" s="107">
        <v>144318.91498450749</v>
      </c>
      <c r="F19" s="108">
        <f t="shared" si="0"/>
        <v>721594.57492253743</v>
      </c>
      <c r="G19" s="114">
        <f t="shared" si="1"/>
        <v>7.2159457492253747</v>
      </c>
      <c r="H19" s="279">
        <f>G19-$G$3</f>
        <v>7.1467547092253723</v>
      </c>
      <c r="I19" s="281">
        <f t="shared" si="2"/>
        <v>213.63901599878719</v>
      </c>
    </row>
    <row r="20" spans="1:9" x14ac:dyDescent="0.25">
      <c r="A20" s="74">
        <v>18</v>
      </c>
      <c r="B20" s="74">
        <v>40</v>
      </c>
      <c r="C20" s="74">
        <v>35</v>
      </c>
      <c r="D20" s="5">
        <f>B20-5</f>
        <v>35</v>
      </c>
      <c r="E20" s="107">
        <v>88363.414984507486</v>
      </c>
      <c r="F20" s="108">
        <f t="shared" si="0"/>
        <v>441817.07492253743</v>
      </c>
      <c r="G20" s="114">
        <f t="shared" si="1"/>
        <v>4.418170749225375</v>
      </c>
      <c r="H20" s="279">
        <f>G20-$G$3</f>
        <v>4.3489797092253726</v>
      </c>
      <c r="I20" s="281">
        <f t="shared" si="2"/>
        <v>217.98799570801256</v>
      </c>
    </row>
    <row r="21" spans="1:9" x14ac:dyDescent="0.25">
      <c r="A21" s="74">
        <v>19</v>
      </c>
      <c r="B21" s="74">
        <v>35</v>
      </c>
      <c r="C21" s="74">
        <v>3.8</v>
      </c>
      <c r="D21" s="5">
        <f>B21-5</f>
        <v>30</v>
      </c>
      <c r="E21" s="107">
        <v>-6109.3604999999998</v>
      </c>
      <c r="F21" s="108">
        <f t="shared" si="0"/>
        <v>-190612.04759999999</v>
      </c>
      <c r="G21" s="114">
        <f t="shared" si="1"/>
        <v>-1.9061204760000001</v>
      </c>
      <c r="H21" s="279">
        <f>G21-$G$3</f>
        <v>-1.9753115160000028</v>
      </c>
      <c r="I21" s="281">
        <f t="shared" si="2"/>
        <v>216.01268419201256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67E4-830F-4A17-A95C-AB3D82770C0B}">
  <sheetPr codeName="Hoja6"/>
  <dimension ref="A1:AD84"/>
  <sheetViews>
    <sheetView topLeftCell="C20" zoomScale="85" zoomScaleNormal="85" workbookViewId="0">
      <selection activeCell="AF52" sqref="AF52"/>
    </sheetView>
  </sheetViews>
  <sheetFormatPr baseColWidth="10" defaultRowHeight="15" x14ac:dyDescent="0.25"/>
  <cols>
    <col min="7" max="7" width="2.7109375" customWidth="1"/>
    <col min="8" max="8" width="5.7109375" style="198" customWidth="1"/>
    <col min="10" max="10" width="6.7109375" customWidth="1"/>
    <col min="11" max="11" width="7.7109375" customWidth="1"/>
    <col min="12" max="12" width="11.42578125" style="73"/>
    <col min="13" max="13" width="7.7109375" customWidth="1"/>
    <col min="14" max="14" width="6.7109375" customWidth="1"/>
    <col min="15" max="15" width="11.42578125" customWidth="1"/>
    <col min="16" max="16" width="5.7109375" style="198" customWidth="1"/>
    <col min="17" max="17" width="2.7109375" customWidth="1"/>
    <col min="20" max="20" width="2.7109375" customWidth="1"/>
    <col min="21" max="21" width="5.7109375" style="198" customWidth="1"/>
    <col min="23" max="23" width="6.7109375" customWidth="1"/>
    <col min="24" max="24" width="7.7109375" customWidth="1"/>
    <col min="25" max="25" width="11.42578125" style="73"/>
    <col min="26" max="26" width="7.7109375" customWidth="1"/>
    <col min="27" max="27" width="6.7109375" customWidth="1"/>
    <col min="29" max="29" width="5.7109375" style="198" customWidth="1"/>
    <col min="30" max="30" width="2.7109375" customWidth="1"/>
  </cols>
  <sheetData>
    <row r="1" spans="1:29" x14ac:dyDescent="0.25">
      <c r="A1" s="75" t="s">
        <v>52</v>
      </c>
      <c r="B1" s="75" t="s">
        <v>53</v>
      </c>
      <c r="C1" s="75" t="s">
        <v>54</v>
      </c>
      <c r="D1" s="75" t="s">
        <v>37</v>
      </c>
      <c r="E1" s="75" t="s">
        <v>55</v>
      </c>
      <c r="I1" s="73"/>
      <c r="L1"/>
      <c r="P1"/>
      <c r="V1" s="73"/>
      <c r="Y1"/>
      <c r="AC1"/>
    </row>
    <row r="2" spans="1:29" ht="17.25" x14ac:dyDescent="0.25">
      <c r="A2" s="76" t="s">
        <v>56</v>
      </c>
      <c r="B2" s="76" t="s">
        <v>43</v>
      </c>
      <c r="C2" s="76" t="s">
        <v>43</v>
      </c>
      <c r="D2" s="76" t="s">
        <v>40</v>
      </c>
      <c r="E2" s="76" t="s">
        <v>61</v>
      </c>
      <c r="I2" s="73"/>
      <c r="V2" s="73"/>
    </row>
    <row r="3" spans="1:29" x14ac:dyDescent="0.25">
      <c r="A3" s="74">
        <v>1</v>
      </c>
      <c r="B3" s="74">
        <v>406.8</v>
      </c>
      <c r="C3" s="74">
        <v>406.5</v>
      </c>
      <c r="D3" s="107">
        <v>23063.68</v>
      </c>
      <c r="E3" s="7">
        <f>+D3*(B3-C3)*10^-5</f>
        <v>6.9191040000002632E-2</v>
      </c>
      <c r="I3" s="73"/>
      <c r="V3" s="73"/>
    </row>
    <row r="4" spans="1:29" x14ac:dyDescent="0.25">
      <c r="A4" s="74">
        <v>2</v>
      </c>
      <c r="B4" s="74">
        <v>406.5</v>
      </c>
      <c r="C4" s="74">
        <v>360.8</v>
      </c>
      <c r="D4" s="107">
        <v>46103.877</v>
      </c>
      <c r="E4" s="7">
        <f t="shared" ref="E4:E21" si="0">+D4*(B4-C4)*10^-5</f>
        <v>21.069471788999998</v>
      </c>
      <c r="I4" s="73"/>
      <c r="V4" s="73"/>
    </row>
    <row r="5" spans="1:29" x14ac:dyDescent="0.25">
      <c r="A5" s="74">
        <v>3</v>
      </c>
      <c r="B5" s="74">
        <v>360.8</v>
      </c>
      <c r="C5" s="74">
        <v>292</v>
      </c>
      <c r="D5" s="107">
        <v>68476.675293234774</v>
      </c>
      <c r="E5" s="7">
        <f t="shared" si="0"/>
        <v>47.111952601745536</v>
      </c>
      <c r="I5" s="73"/>
      <c r="V5" s="73"/>
    </row>
    <row r="6" spans="1:29" x14ac:dyDescent="0.25">
      <c r="A6" s="74">
        <v>4</v>
      </c>
      <c r="B6" s="74">
        <v>292</v>
      </c>
      <c r="C6" s="74">
        <v>287</v>
      </c>
      <c r="D6" s="107">
        <v>46663.473303234772</v>
      </c>
      <c r="E6" s="7">
        <f t="shared" si="0"/>
        <v>2.333173665161739</v>
      </c>
      <c r="I6" s="73"/>
      <c r="V6" s="73"/>
    </row>
    <row r="7" spans="1:29" x14ac:dyDescent="0.25">
      <c r="A7" s="74">
        <v>5</v>
      </c>
      <c r="B7" s="74">
        <v>287</v>
      </c>
      <c r="C7" s="74">
        <v>282</v>
      </c>
      <c r="D7" s="107">
        <v>102353.87330323477</v>
      </c>
      <c r="E7" s="7">
        <f t="shared" si="0"/>
        <v>5.1176936651617382</v>
      </c>
      <c r="I7" s="73"/>
      <c r="V7" s="73"/>
    </row>
    <row r="8" spans="1:29" x14ac:dyDescent="0.25">
      <c r="A8" s="74">
        <v>6</v>
      </c>
      <c r="B8" s="74">
        <v>282</v>
      </c>
      <c r="C8" s="74">
        <v>231.4</v>
      </c>
      <c r="D8" s="107">
        <v>56249.996303234773</v>
      </c>
      <c r="E8" s="7">
        <f t="shared" si="0"/>
        <v>28.462498129436796</v>
      </c>
      <c r="I8" s="73"/>
      <c r="V8" s="73"/>
    </row>
    <row r="9" spans="1:29" x14ac:dyDescent="0.25">
      <c r="A9" s="74">
        <v>7</v>
      </c>
      <c r="B9" s="74">
        <v>231.4</v>
      </c>
      <c r="C9" s="74">
        <v>211.9</v>
      </c>
      <c r="D9" s="107">
        <v>83310.896303234767</v>
      </c>
      <c r="E9" s="7">
        <f t="shared" si="0"/>
        <v>16.245624779130779</v>
      </c>
      <c r="I9" s="73"/>
      <c r="V9" s="73"/>
    </row>
    <row r="10" spans="1:29" x14ac:dyDescent="0.25">
      <c r="A10" s="74">
        <v>8</v>
      </c>
      <c r="B10" s="74">
        <v>211.9</v>
      </c>
      <c r="C10" s="74">
        <v>201.9</v>
      </c>
      <c r="D10" s="107">
        <v>54935.996303234773</v>
      </c>
      <c r="E10" s="7">
        <f t="shared" si="0"/>
        <v>5.4935996303234775</v>
      </c>
      <c r="I10" s="73"/>
      <c r="V10" s="73"/>
    </row>
    <row r="11" spans="1:29" x14ac:dyDescent="0.25">
      <c r="A11" s="74">
        <v>9</v>
      </c>
      <c r="B11" s="74">
        <v>201.9</v>
      </c>
      <c r="C11" s="74">
        <v>150.1</v>
      </c>
      <c r="D11" s="107">
        <v>-754.40369676522823</v>
      </c>
      <c r="E11" s="7">
        <f t="shared" si="0"/>
        <v>-0.39078111492438833</v>
      </c>
      <c r="I11" s="73"/>
      <c r="V11" s="73"/>
    </row>
    <row r="12" spans="1:29" x14ac:dyDescent="0.25">
      <c r="A12" s="74">
        <v>10</v>
      </c>
      <c r="B12" s="74">
        <v>150.1</v>
      </c>
      <c r="C12" s="74">
        <v>147.80000000000001</v>
      </c>
      <c r="D12" s="107">
        <v>18129.242303234765</v>
      </c>
      <c r="E12" s="7">
        <f t="shared" si="0"/>
        <v>0.41697257297439655</v>
      </c>
      <c r="I12" s="73"/>
      <c r="V12" s="73"/>
    </row>
    <row r="13" spans="1:29" x14ac:dyDescent="0.25">
      <c r="A13" s="74">
        <v>11</v>
      </c>
      <c r="B13" s="74">
        <v>147.80000000000001</v>
      </c>
      <c r="C13" s="74">
        <v>136.6</v>
      </c>
      <c r="D13" s="107">
        <v>36973.302303234777</v>
      </c>
      <c r="E13" s="7">
        <f t="shared" si="0"/>
        <v>4.1410098579623016</v>
      </c>
      <c r="I13" s="73"/>
      <c r="V13" s="73"/>
    </row>
    <row r="14" spans="1:29" x14ac:dyDescent="0.25">
      <c r="A14" s="74">
        <v>12</v>
      </c>
      <c r="B14" s="74">
        <v>136.6</v>
      </c>
      <c r="C14" s="74">
        <v>102</v>
      </c>
      <c r="D14" s="107">
        <v>42623.702303234757</v>
      </c>
      <c r="E14" s="7">
        <f t="shared" si="0"/>
        <v>14.747800996919224</v>
      </c>
      <c r="I14" s="73"/>
      <c r="V14" s="73"/>
    </row>
    <row r="15" spans="1:29" x14ac:dyDescent="0.25">
      <c r="A15" s="74">
        <v>13</v>
      </c>
      <c r="B15" s="74">
        <v>102</v>
      </c>
      <c r="C15" s="74">
        <v>82</v>
      </c>
      <c r="D15" s="107">
        <v>71518.302303234756</v>
      </c>
      <c r="E15" s="7">
        <f t="shared" si="0"/>
        <v>14.303660460646952</v>
      </c>
      <c r="I15" s="73"/>
      <c r="V15" s="73"/>
    </row>
    <row r="16" spans="1:29" x14ac:dyDescent="0.25">
      <c r="A16" s="74">
        <v>14</v>
      </c>
      <c r="B16" s="74">
        <v>82</v>
      </c>
      <c r="C16" s="74">
        <v>79.2</v>
      </c>
      <c r="D16" s="107">
        <v>134648.92401000002</v>
      </c>
      <c r="E16" s="7">
        <f t="shared" si="0"/>
        <v>3.7701698722799968</v>
      </c>
      <c r="I16" s="73"/>
      <c r="V16" s="73"/>
    </row>
    <row r="17" spans="1:30" x14ac:dyDescent="0.25">
      <c r="A17" s="74">
        <v>15</v>
      </c>
      <c r="B17" s="74">
        <v>79.2</v>
      </c>
      <c r="C17" s="74">
        <v>55.5</v>
      </c>
      <c r="D17" s="107">
        <v>163023.82401000001</v>
      </c>
      <c r="E17" s="7">
        <f t="shared" si="0"/>
        <v>38.63664629037001</v>
      </c>
      <c r="I17" s="73"/>
      <c r="V17" s="73"/>
    </row>
    <row r="18" spans="1:30" x14ac:dyDescent="0.25">
      <c r="A18" s="74">
        <v>16</v>
      </c>
      <c r="B18" s="74">
        <v>55.5</v>
      </c>
      <c r="C18" s="74">
        <v>45</v>
      </c>
      <c r="D18" s="107">
        <v>57815.558984507486</v>
      </c>
      <c r="E18" s="7">
        <f t="shared" si="0"/>
        <v>6.0706336933732867</v>
      </c>
      <c r="I18" s="73"/>
      <c r="V18" s="73"/>
    </row>
    <row r="19" spans="1:30" x14ac:dyDescent="0.25">
      <c r="A19" s="74">
        <v>17</v>
      </c>
      <c r="B19" s="74">
        <v>45</v>
      </c>
      <c r="C19" s="74">
        <v>40</v>
      </c>
      <c r="D19" s="107">
        <v>144318.91498450749</v>
      </c>
      <c r="E19" s="7">
        <f t="shared" si="0"/>
        <v>7.2159457492253747</v>
      </c>
      <c r="I19" s="73"/>
      <c r="V19" s="73"/>
    </row>
    <row r="20" spans="1:30" x14ac:dyDescent="0.25">
      <c r="A20" s="74">
        <v>18</v>
      </c>
      <c r="B20" s="74">
        <v>40</v>
      </c>
      <c r="C20" s="74">
        <v>35</v>
      </c>
      <c r="D20" s="107">
        <v>88363.414984507486</v>
      </c>
      <c r="E20" s="7">
        <f t="shared" si="0"/>
        <v>4.418170749225375</v>
      </c>
      <c r="I20" s="73"/>
      <c r="V20" s="73"/>
    </row>
    <row r="21" spans="1:30" ht="15.75" thickBot="1" x14ac:dyDescent="0.3">
      <c r="A21" s="115">
        <v>19</v>
      </c>
      <c r="B21" s="115">
        <v>35</v>
      </c>
      <c r="C21" s="115">
        <v>3.8</v>
      </c>
      <c r="D21" s="116">
        <v>-6109.3604999999998</v>
      </c>
      <c r="E21" s="9">
        <f t="shared" si="0"/>
        <v>-1.9061204760000001</v>
      </c>
      <c r="I21" s="73"/>
      <c r="V21" s="73"/>
    </row>
    <row r="22" spans="1:30" ht="15.75" thickBot="1" x14ac:dyDescent="0.3">
      <c r="A22" s="117"/>
      <c r="B22" s="118"/>
      <c r="C22" s="118"/>
      <c r="D22" s="119" t="s">
        <v>33</v>
      </c>
      <c r="E22" s="11">
        <f>SUM(E3:E21)</f>
        <v>217.32731395201253</v>
      </c>
      <c r="G22" s="209"/>
      <c r="H22" s="210"/>
      <c r="I22" s="73"/>
      <c r="J22" s="209"/>
      <c r="K22" s="209"/>
      <c r="L22" s="211"/>
      <c r="M22" s="209"/>
      <c r="N22" s="209"/>
      <c r="O22" s="209"/>
      <c r="P22" s="210"/>
      <c r="Q22" s="209"/>
      <c r="T22" s="209"/>
      <c r="U22" s="210"/>
      <c r="V22" s="73"/>
      <c r="W22" s="209"/>
      <c r="X22" s="209"/>
      <c r="Y22" s="211"/>
      <c r="Z22" s="209"/>
      <c r="AA22" s="209"/>
      <c r="AB22" s="209"/>
      <c r="AC22" s="210"/>
      <c r="AD22" s="209"/>
    </row>
    <row r="23" spans="1:30" ht="17.25" x14ac:dyDescent="0.25">
      <c r="G23" s="150"/>
      <c r="H23" s="200"/>
      <c r="I23" s="150"/>
      <c r="J23" s="150"/>
      <c r="K23" s="150"/>
      <c r="L23" s="212" t="s">
        <v>113</v>
      </c>
      <c r="M23" s="150"/>
      <c r="N23" s="150"/>
      <c r="O23" s="150"/>
      <c r="P23" s="200"/>
      <c r="Q23" s="150"/>
      <c r="T23" s="150"/>
      <c r="U23" s="200"/>
      <c r="V23" s="150"/>
      <c r="W23" s="150"/>
      <c r="X23" s="150"/>
      <c r="Y23" s="212" t="s">
        <v>113</v>
      </c>
      <c r="Z23" s="150"/>
      <c r="AA23" s="150"/>
      <c r="AB23" s="150"/>
      <c r="AC23" s="200"/>
      <c r="AD23" s="150"/>
    </row>
    <row r="24" spans="1:30" ht="15.75" thickBot="1" x14ac:dyDescent="0.3">
      <c r="G24" s="150"/>
      <c r="H24" s="200" t="s">
        <v>49</v>
      </c>
      <c r="I24" s="150"/>
      <c r="J24" s="150"/>
      <c r="K24" s="150"/>
      <c r="L24" s="179"/>
      <c r="M24" s="150"/>
      <c r="N24" s="150"/>
      <c r="O24" s="150"/>
      <c r="P24" s="200" t="s">
        <v>49</v>
      </c>
      <c r="Q24" s="150"/>
      <c r="T24" s="150"/>
      <c r="U24" s="200" t="s">
        <v>49</v>
      </c>
      <c r="V24" s="150"/>
      <c r="W24" s="150"/>
      <c r="X24" s="150"/>
      <c r="Y24" s="179"/>
      <c r="Z24" s="150"/>
      <c r="AA24" s="150"/>
      <c r="AB24" s="150"/>
      <c r="AC24" s="200" t="s">
        <v>49</v>
      </c>
      <c r="AD24" s="150"/>
    </row>
    <row r="25" spans="1:30" ht="9.9499999999999993" customHeight="1" thickBot="1" x14ac:dyDescent="0.3">
      <c r="G25" s="201"/>
      <c r="H25" s="213">
        <v>406.8</v>
      </c>
      <c r="I25" s="202"/>
      <c r="J25" s="214" t="s">
        <v>64</v>
      </c>
      <c r="K25" s="202"/>
      <c r="L25" s="202"/>
      <c r="M25" s="202"/>
      <c r="N25" s="214" t="s">
        <v>65</v>
      </c>
      <c r="O25" s="150"/>
      <c r="P25" s="215">
        <f>+H25-10</f>
        <v>396.8</v>
      </c>
      <c r="Q25" s="201"/>
      <c r="T25" s="201"/>
      <c r="U25" s="213">
        <v>406.8</v>
      </c>
      <c r="V25" s="202"/>
      <c r="W25" s="214" t="s">
        <v>64</v>
      </c>
      <c r="X25" s="202"/>
      <c r="Y25" s="202"/>
      <c r="Z25" s="202"/>
      <c r="AA25" s="214" t="s">
        <v>65</v>
      </c>
      <c r="AB25" s="150"/>
      <c r="AC25" s="215">
        <f>+U25-10</f>
        <v>396.8</v>
      </c>
      <c r="AD25" s="201"/>
    </row>
    <row r="26" spans="1:30" ht="9.9499999999999993" customHeight="1" thickBot="1" x14ac:dyDescent="0.3">
      <c r="G26" s="176"/>
      <c r="H26" s="213"/>
      <c r="I26" s="202"/>
      <c r="J26" s="216"/>
      <c r="K26" s="202"/>
      <c r="L26" s="208">
        <f>$E$3</f>
        <v>6.9191040000002632E-2</v>
      </c>
      <c r="M26" s="202"/>
      <c r="N26" s="216"/>
      <c r="O26" s="150"/>
      <c r="P26" s="215"/>
      <c r="Q26" s="204"/>
      <c r="T26" s="176"/>
      <c r="U26" s="213"/>
      <c r="V26" s="202"/>
      <c r="W26" s="216"/>
      <c r="X26" s="202"/>
      <c r="Y26" s="208">
        <f>$E$3</f>
        <v>6.9191040000002632E-2</v>
      </c>
      <c r="Z26" s="202"/>
      <c r="AA26" s="216"/>
      <c r="AB26" s="150"/>
      <c r="AC26" s="215"/>
      <c r="AD26" s="204"/>
    </row>
    <row r="27" spans="1:30" ht="9.9499999999999993" customHeight="1" thickBot="1" x14ac:dyDescent="0.3">
      <c r="G27" s="205"/>
      <c r="H27" s="217">
        <v>406.5</v>
      </c>
      <c r="I27" s="179"/>
      <c r="J27" s="216"/>
      <c r="K27" s="179"/>
      <c r="L27" s="218"/>
      <c r="M27" s="179"/>
      <c r="N27" s="216"/>
      <c r="O27" s="150"/>
      <c r="P27" s="219">
        <f>+H27-10</f>
        <v>396.5</v>
      </c>
      <c r="Q27" s="207"/>
      <c r="T27" s="205"/>
      <c r="U27" s="217">
        <v>406.5</v>
      </c>
      <c r="V27" s="179"/>
      <c r="W27" s="216"/>
      <c r="X27" s="179"/>
      <c r="Y27" s="218"/>
      <c r="Z27" s="237">
        <f>Y26</f>
        <v>6.9191040000002632E-2</v>
      </c>
      <c r="AA27" s="216"/>
      <c r="AB27" s="150"/>
      <c r="AC27" s="219">
        <f>+U27-10</f>
        <v>396.5</v>
      </c>
      <c r="AD27" s="207"/>
    </row>
    <row r="28" spans="1:30" ht="9.9499999999999993" customHeight="1" thickBot="1" x14ac:dyDescent="0.3">
      <c r="G28" s="176"/>
      <c r="H28" s="217"/>
      <c r="I28" s="179"/>
      <c r="J28" s="216"/>
      <c r="K28" s="179"/>
      <c r="L28" s="179"/>
      <c r="M28" s="179"/>
      <c r="N28" s="216"/>
      <c r="O28" s="150"/>
      <c r="P28" s="219"/>
      <c r="Q28" s="177"/>
      <c r="T28" s="176"/>
      <c r="U28" s="217"/>
      <c r="V28" s="179"/>
      <c r="W28" s="216"/>
      <c r="X28" s="179"/>
      <c r="Y28" s="179"/>
      <c r="Z28" s="237"/>
      <c r="AA28" s="216"/>
      <c r="AB28" s="150"/>
      <c r="AC28" s="219"/>
      <c r="AD28" s="177"/>
    </row>
    <row r="29" spans="1:30" ht="15.75" thickBot="1" x14ac:dyDescent="0.3">
      <c r="G29" s="176"/>
      <c r="H29" s="220"/>
      <c r="I29" s="202"/>
      <c r="J29" s="216"/>
      <c r="K29" s="202"/>
      <c r="L29" s="208">
        <f>$E$4</f>
        <v>21.069471788999998</v>
      </c>
      <c r="M29" s="202"/>
      <c r="N29" s="216"/>
      <c r="O29" s="150"/>
      <c r="P29" s="221"/>
      <c r="Q29" s="177"/>
      <c r="T29" s="176"/>
      <c r="U29" s="220"/>
      <c r="V29" s="202"/>
      <c r="W29" s="216"/>
      <c r="X29" s="202"/>
      <c r="Y29" s="208">
        <f>$E$4</f>
        <v>21.069471788999998</v>
      </c>
      <c r="Z29" s="227"/>
      <c r="AA29" s="216"/>
      <c r="AB29" s="150"/>
      <c r="AC29" s="221"/>
      <c r="AD29" s="177"/>
    </row>
    <row r="30" spans="1:30" ht="9.9499999999999993" customHeight="1" thickBot="1" x14ac:dyDescent="0.3">
      <c r="G30" s="205"/>
      <c r="H30" s="217">
        <v>360.8</v>
      </c>
      <c r="I30" s="202"/>
      <c r="J30" s="216"/>
      <c r="K30" s="202"/>
      <c r="L30" s="202"/>
      <c r="M30" s="202"/>
      <c r="N30" s="216"/>
      <c r="O30" s="150"/>
      <c r="P30" s="219">
        <f>+H30-10</f>
        <v>350.8</v>
      </c>
      <c r="Q30" s="207"/>
      <c r="T30" s="205"/>
      <c r="U30" s="217">
        <v>360.8</v>
      </c>
      <c r="V30" s="202"/>
      <c r="W30" s="216"/>
      <c r="X30" s="202"/>
      <c r="Y30" s="202"/>
      <c r="Z30" s="237">
        <f>Y29+Z27</f>
        <v>21.138662829000001</v>
      </c>
      <c r="AA30" s="216"/>
      <c r="AB30" s="150"/>
      <c r="AC30" s="219">
        <f>+U30-10</f>
        <v>350.8</v>
      </c>
      <c r="AD30" s="207"/>
    </row>
    <row r="31" spans="1:30" ht="9.9499999999999993" customHeight="1" thickBot="1" x14ac:dyDescent="0.3">
      <c r="G31" s="176"/>
      <c r="H31" s="217"/>
      <c r="I31" s="202"/>
      <c r="J31" s="216"/>
      <c r="K31" s="202"/>
      <c r="L31" s="202"/>
      <c r="M31" s="202"/>
      <c r="N31" s="216"/>
      <c r="O31" s="150"/>
      <c r="P31" s="219"/>
      <c r="Q31" s="177"/>
      <c r="T31" s="176"/>
      <c r="U31" s="217"/>
      <c r="V31" s="202"/>
      <c r="W31" s="216"/>
      <c r="X31" s="202"/>
      <c r="Y31" s="202"/>
      <c r="Z31" s="238"/>
      <c r="AA31" s="216"/>
      <c r="AB31" s="150"/>
      <c r="AC31" s="219"/>
      <c r="AD31" s="177"/>
    </row>
    <row r="32" spans="1:30" x14ac:dyDescent="0.25">
      <c r="G32" s="176"/>
      <c r="H32" s="220"/>
      <c r="I32" s="202"/>
      <c r="J32" s="216"/>
      <c r="K32" s="202"/>
      <c r="L32" s="203">
        <f>$E$5</f>
        <v>47.111952601745536</v>
      </c>
      <c r="M32" s="202"/>
      <c r="N32" s="216"/>
      <c r="O32" s="150"/>
      <c r="P32" s="221"/>
      <c r="Q32" s="177"/>
      <c r="T32" s="176"/>
      <c r="U32" s="220"/>
      <c r="V32" s="202"/>
      <c r="W32" s="216"/>
      <c r="X32" s="202"/>
      <c r="Y32" s="203">
        <f>$E$5</f>
        <v>47.111952601745536</v>
      </c>
      <c r="Z32" s="227"/>
      <c r="AA32" s="216"/>
      <c r="AB32" s="150"/>
      <c r="AC32" s="221"/>
      <c r="AD32" s="177"/>
    </row>
    <row r="33" spans="7:30" ht="15.75" thickBot="1" x14ac:dyDescent="0.3">
      <c r="G33" s="176"/>
      <c r="H33" s="220"/>
      <c r="I33" s="202"/>
      <c r="J33" s="216"/>
      <c r="K33" s="202"/>
      <c r="L33" s="206"/>
      <c r="M33" s="202"/>
      <c r="N33" s="216"/>
      <c r="O33" s="150"/>
      <c r="P33" s="221"/>
      <c r="Q33" s="177"/>
      <c r="T33" s="176"/>
      <c r="U33" s="220"/>
      <c r="V33" s="202"/>
      <c r="W33" s="216"/>
      <c r="X33" s="202"/>
      <c r="Y33" s="206"/>
      <c r="Z33" s="227"/>
      <c r="AA33" s="216"/>
      <c r="AB33" s="150"/>
      <c r="AC33" s="221"/>
      <c r="AD33" s="177"/>
    </row>
    <row r="34" spans="7:30" ht="9.9499999999999993" customHeight="1" thickBot="1" x14ac:dyDescent="0.3">
      <c r="G34" s="205"/>
      <c r="H34" s="217">
        <v>292</v>
      </c>
      <c r="I34" s="202"/>
      <c r="J34" s="216"/>
      <c r="K34" s="202"/>
      <c r="L34" s="202"/>
      <c r="M34" s="202"/>
      <c r="N34" s="216"/>
      <c r="O34" s="150"/>
      <c r="P34" s="219">
        <f>+H34-10</f>
        <v>282</v>
      </c>
      <c r="Q34" s="207"/>
      <c r="T34" s="205"/>
      <c r="U34" s="217">
        <v>292</v>
      </c>
      <c r="V34" s="202"/>
      <c r="W34" s="216"/>
      <c r="X34" s="202"/>
      <c r="Y34" s="202"/>
      <c r="Z34" s="237">
        <f>Y32+Z30</f>
        <v>68.25061543074554</v>
      </c>
      <c r="AA34" s="216"/>
      <c r="AB34" s="150"/>
      <c r="AC34" s="219">
        <f>+U34-10</f>
        <v>282</v>
      </c>
      <c r="AD34" s="207"/>
    </row>
    <row r="35" spans="7:30" ht="9.9499999999999993" customHeight="1" thickBot="1" x14ac:dyDescent="0.3">
      <c r="G35" s="176"/>
      <c r="H35" s="217"/>
      <c r="I35" s="202"/>
      <c r="J35" s="216"/>
      <c r="K35" s="202"/>
      <c r="L35" s="202"/>
      <c r="M35" s="202"/>
      <c r="N35" s="216"/>
      <c r="O35" s="150"/>
      <c r="P35" s="219"/>
      <c r="Q35" s="177"/>
      <c r="T35" s="176"/>
      <c r="U35" s="217"/>
      <c r="V35" s="202"/>
      <c r="W35" s="216"/>
      <c r="X35" s="202"/>
      <c r="Y35" s="202"/>
      <c r="Z35" s="238"/>
      <c r="AA35" s="216"/>
      <c r="AB35" s="150"/>
      <c r="AC35" s="219"/>
      <c r="AD35" s="177"/>
    </row>
    <row r="36" spans="7:30" ht="14.25" customHeight="1" thickBot="1" x14ac:dyDescent="0.3">
      <c r="G36" s="176"/>
      <c r="H36" s="200"/>
      <c r="I36" s="202"/>
      <c r="J36" s="216"/>
      <c r="K36" s="202"/>
      <c r="L36" s="208">
        <f>$E$6</f>
        <v>2.333173665161739</v>
      </c>
      <c r="M36" s="202"/>
      <c r="N36" s="216"/>
      <c r="O36" s="150"/>
      <c r="P36" s="200"/>
      <c r="Q36" s="177"/>
      <c r="T36" s="176"/>
      <c r="U36" s="200"/>
      <c r="V36" s="202"/>
      <c r="W36" s="216"/>
      <c r="X36" s="202"/>
      <c r="Y36" s="208">
        <f>$E$6</f>
        <v>2.333173665161739</v>
      </c>
      <c r="Z36" s="227"/>
      <c r="AA36" s="216"/>
      <c r="AB36" s="150"/>
      <c r="AC36" s="200"/>
      <c r="AD36" s="177"/>
    </row>
    <row r="37" spans="7:30" ht="9.9499999999999993" customHeight="1" thickBot="1" x14ac:dyDescent="0.3">
      <c r="G37" s="205"/>
      <c r="H37" s="217">
        <v>287</v>
      </c>
      <c r="I37" s="202"/>
      <c r="J37" s="216"/>
      <c r="K37" s="202"/>
      <c r="L37" s="202"/>
      <c r="M37" s="202"/>
      <c r="N37" s="216"/>
      <c r="O37" s="150"/>
      <c r="P37" s="219">
        <f>+H37-10</f>
        <v>277</v>
      </c>
      <c r="Q37" s="207"/>
      <c r="T37" s="205"/>
      <c r="U37" s="217">
        <v>287</v>
      </c>
      <c r="V37" s="202"/>
      <c r="W37" s="216"/>
      <c r="X37" s="202"/>
      <c r="Y37" s="202"/>
      <c r="Z37" s="239">
        <f>Y36+Z34</f>
        <v>70.583789095907278</v>
      </c>
      <c r="AA37" s="216"/>
      <c r="AB37" s="150"/>
      <c r="AC37" s="219">
        <f>+U37-10</f>
        <v>277</v>
      </c>
      <c r="AD37" s="207"/>
    </row>
    <row r="38" spans="7:30" ht="9.9499999999999993" customHeight="1" thickBot="1" x14ac:dyDescent="0.3">
      <c r="G38" s="176"/>
      <c r="H38" s="217"/>
      <c r="I38" s="202"/>
      <c r="J38" s="216"/>
      <c r="K38" s="202"/>
      <c r="L38" s="208">
        <f>$E$7</f>
        <v>5.1176936651617382</v>
      </c>
      <c r="M38" s="202"/>
      <c r="N38" s="216"/>
      <c r="O38" s="150"/>
      <c r="P38" s="219"/>
      <c r="Q38" s="177"/>
      <c r="T38" s="176"/>
      <c r="U38" s="217"/>
      <c r="V38" s="202"/>
      <c r="W38" s="216"/>
      <c r="X38" s="202"/>
      <c r="Y38" s="208">
        <f>$E$7</f>
        <v>5.1176936651617382</v>
      </c>
      <c r="Z38" s="227"/>
      <c r="AA38" s="216"/>
      <c r="AB38" s="150"/>
      <c r="AC38" s="219"/>
      <c r="AD38" s="177"/>
    </row>
    <row r="39" spans="7:30" ht="9.9499999999999993" customHeight="1" thickBot="1" x14ac:dyDescent="0.3">
      <c r="G39" s="205"/>
      <c r="H39" s="217">
        <v>282</v>
      </c>
      <c r="I39" s="202"/>
      <c r="J39" s="216"/>
      <c r="K39" s="202"/>
      <c r="L39" s="202"/>
      <c r="M39" s="202"/>
      <c r="N39" s="216"/>
      <c r="O39" s="150"/>
      <c r="P39" s="219">
        <f>+H39-10</f>
        <v>272</v>
      </c>
      <c r="Q39" s="207"/>
      <c r="T39" s="205"/>
      <c r="U39" s="217">
        <v>282</v>
      </c>
      <c r="V39" s="202"/>
      <c r="W39" s="216"/>
      <c r="X39" s="202"/>
      <c r="Y39" s="202"/>
      <c r="Z39" s="237">
        <f>Y38+Z37</f>
        <v>75.701482761069016</v>
      </c>
      <c r="AA39" s="216"/>
      <c r="AB39" s="150"/>
      <c r="AC39" s="219">
        <f>+U39-10</f>
        <v>272</v>
      </c>
      <c r="AD39" s="207"/>
    </row>
    <row r="40" spans="7:30" ht="9.9499999999999993" customHeight="1" thickBot="1" x14ac:dyDescent="0.3">
      <c r="G40" s="176"/>
      <c r="H40" s="217"/>
      <c r="I40" s="202"/>
      <c r="J40" s="216"/>
      <c r="K40" s="202"/>
      <c r="L40" s="202"/>
      <c r="M40" s="202"/>
      <c r="N40" s="216"/>
      <c r="O40" s="150"/>
      <c r="P40" s="219"/>
      <c r="Q40" s="177"/>
      <c r="T40" s="176"/>
      <c r="U40" s="217"/>
      <c r="V40" s="202"/>
      <c r="W40" s="216"/>
      <c r="X40" s="202"/>
      <c r="Y40" s="202"/>
      <c r="Z40" s="238"/>
      <c r="AA40" s="216"/>
      <c r="AB40" s="150"/>
      <c r="AC40" s="219"/>
      <c r="AD40" s="177"/>
    </row>
    <row r="41" spans="7:30" ht="15.75" thickBot="1" x14ac:dyDescent="0.3">
      <c r="G41" s="176"/>
      <c r="H41" s="200"/>
      <c r="I41" s="202"/>
      <c r="J41" s="216"/>
      <c r="K41" s="202"/>
      <c r="L41" s="208">
        <f>$E$8</f>
        <v>28.462498129436796</v>
      </c>
      <c r="M41" s="202"/>
      <c r="N41" s="216"/>
      <c r="O41" s="150"/>
      <c r="P41" s="200"/>
      <c r="Q41" s="177"/>
      <c r="T41" s="176"/>
      <c r="U41" s="200"/>
      <c r="V41" s="202"/>
      <c r="W41" s="216"/>
      <c r="X41" s="202"/>
      <c r="Y41" s="208">
        <f>$E$8</f>
        <v>28.462498129436796</v>
      </c>
      <c r="Z41" s="227"/>
      <c r="AA41" s="216"/>
      <c r="AB41" s="150"/>
      <c r="AC41" s="200"/>
      <c r="AD41" s="177"/>
    </row>
    <row r="42" spans="7:30" ht="9.9499999999999993" customHeight="1" thickBot="1" x14ac:dyDescent="0.3">
      <c r="G42" s="205"/>
      <c r="H42" s="217">
        <v>231.4</v>
      </c>
      <c r="I42" s="202"/>
      <c r="J42" s="216"/>
      <c r="K42" s="202"/>
      <c r="L42" s="202"/>
      <c r="M42" s="202"/>
      <c r="N42" s="216"/>
      <c r="O42" s="150"/>
      <c r="P42" s="219">
        <f>+H42-10</f>
        <v>221.4</v>
      </c>
      <c r="Q42" s="207"/>
      <c r="T42" s="205"/>
      <c r="U42" s="217">
        <v>231.4</v>
      </c>
      <c r="V42" s="202"/>
      <c r="W42" s="216"/>
      <c r="X42" s="202"/>
      <c r="Y42" s="202"/>
      <c r="Z42" s="237">
        <f>+Y41+Z39</f>
        <v>104.16398089050581</v>
      </c>
      <c r="AA42" s="216"/>
      <c r="AB42" s="150"/>
      <c r="AC42" s="219">
        <f>+U42-10</f>
        <v>221.4</v>
      </c>
      <c r="AD42" s="207"/>
    </row>
    <row r="43" spans="7:30" ht="9.9499999999999993" customHeight="1" thickBot="1" x14ac:dyDescent="0.3">
      <c r="G43" s="176"/>
      <c r="H43" s="217"/>
      <c r="I43" s="202"/>
      <c r="J43" s="216"/>
      <c r="K43" s="202"/>
      <c r="L43" s="202"/>
      <c r="M43" s="202"/>
      <c r="N43" s="216"/>
      <c r="O43" s="150"/>
      <c r="P43" s="219"/>
      <c r="Q43" s="177"/>
      <c r="T43" s="176"/>
      <c r="U43" s="217"/>
      <c r="V43" s="202"/>
      <c r="W43" s="216"/>
      <c r="X43" s="202"/>
      <c r="Y43" s="202"/>
      <c r="Z43" s="238"/>
      <c r="AA43" s="216"/>
      <c r="AB43" s="150"/>
      <c r="AC43" s="219"/>
      <c r="AD43" s="177"/>
    </row>
    <row r="44" spans="7:30" ht="15.75" thickBot="1" x14ac:dyDescent="0.3">
      <c r="G44" s="176"/>
      <c r="H44" s="200"/>
      <c r="I44" s="202"/>
      <c r="J44" s="216"/>
      <c r="K44" s="202"/>
      <c r="L44" s="208">
        <f>$E$9</f>
        <v>16.245624779130779</v>
      </c>
      <c r="M44" s="202"/>
      <c r="N44" s="216"/>
      <c r="O44" s="150"/>
      <c r="P44" s="200"/>
      <c r="Q44" s="177"/>
      <c r="T44" s="176"/>
      <c r="U44" s="200"/>
      <c r="V44" s="202"/>
      <c r="W44" s="216"/>
      <c r="X44" s="202"/>
      <c r="Y44" s="208">
        <f>$E$9</f>
        <v>16.245624779130779</v>
      </c>
      <c r="Z44" s="227"/>
      <c r="AA44" s="216"/>
      <c r="AB44" s="150"/>
      <c r="AC44" s="200"/>
      <c r="AD44" s="177"/>
    </row>
    <row r="45" spans="7:30" ht="10.5" customHeight="1" thickBot="1" x14ac:dyDescent="0.3">
      <c r="G45" s="205"/>
      <c r="H45" s="217">
        <v>211.9</v>
      </c>
      <c r="I45" s="202"/>
      <c r="J45" s="216"/>
      <c r="K45" s="202"/>
      <c r="L45" s="202"/>
      <c r="M45" s="202"/>
      <c r="N45" s="216"/>
      <c r="O45" s="150"/>
      <c r="P45" s="219">
        <f>+H45-10</f>
        <v>201.9</v>
      </c>
      <c r="Q45" s="207"/>
      <c r="T45" s="205"/>
      <c r="U45" s="217">
        <v>211.9</v>
      </c>
      <c r="V45" s="202"/>
      <c r="W45" s="216"/>
      <c r="X45" s="202"/>
      <c r="Y45" s="202"/>
      <c r="Z45" s="239">
        <f>Y44+Z42</f>
        <v>120.40960566963659</v>
      </c>
      <c r="AA45" s="216"/>
      <c r="AB45" s="150"/>
      <c r="AC45" s="219">
        <f>+U45-10</f>
        <v>201.9</v>
      </c>
      <c r="AD45" s="207"/>
    </row>
    <row r="46" spans="7:30" ht="14.25" customHeight="1" thickBot="1" x14ac:dyDescent="0.3">
      <c r="G46" s="222"/>
      <c r="H46" s="223"/>
      <c r="I46" s="202"/>
      <c r="J46" s="216"/>
      <c r="K46" s="202"/>
      <c r="L46" s="208">
        <f>$E$10</f>
        <v>5.4935996303234775</v>
      </c>
      <c r="M46" s="202"/>
      <c r="N46" s="216"/>
      <c r="O46" s="150"/>
      <c r="P46" s="219"/>
      <c r="Q46" s="177"/>
      <c r="T46" s="222"/>
      <c r="U46" s="223"/>
      <c r="V46" s="202"/>
      <c r="W46" s="216"/>
      <c r="X46" s="202"/>
      <c r="Y46" s="208">
        <f>$E$10</f>
        <v>5.4935996303234775</v>
      </c>
      <c r="Z46" s="227"/>
      <c r="AA46" s="216"/>
      <c r="AB46" s="150"/>
      <c r="AC46" s="219"/>
      <c r="AD46" s="177"/>
    </row>
    <row r="47" spans="7:30" ht="9.9499999999999993" customHeight="1" thickBot="1" x14ac:dyDescent="0.3">
      <c r="G47" s="205"/>
      <c r="H47" s="213">
        <v>201.9</v>
      </c>
      <c r="I47" s="150"/>
      <c r="J47" s="216"/>
      <c r="K47" s="150"/>
      <c r="L47" s="179"/>
      <c r="M47" s="150"/>
      <c r="N47" s="216"/>
      <c r="O47" s="150"/>
      <c r="P47" s="219">
        <f>+H47-10</f>
        <v>191.9</v>
      </c>
      <c r="Q47" s="207"/>
      <c r="T47" s="205"/>
      <c r="U47" s="213">
        <v>201.9</v>
      </c>
      <c r="V47" s="150"/>
      <c r="W47" s="216"/>
      <c r="X47" s="150"/>
      <c r="Y47" s="179"/>
      <c r="Z47" s="237">
        <f>Y46+Z45</f>
        <v>125.90320529996006</v>
      </c>
      <c r="AA47" s="216"/>
      <c r="AB47" s="150"/>
      <c r="AC47" s="219">
        <f>+U47-10</f>
        <v>191.9</v>
      </c>
      <c r="AD47" s="207"/>
    </row>
    <row r="48" spans="7:30" ht="9.9499999999999993" customHeight="1" thickBot="1" x14ac:dyDescent="0.3">
      <c r="G48" s="176"/>
      <c r="H48" s="213"/>
      <c r="I48" s="150"/>
      <c r="J48" s="216"/>
      <c r="K48" s="150"/>
      <c r="L48" s="179"/>
      <c r="M48" s="150"/>
      <c r="N48" s="216"/>
      <c r="O48" s="150"/>
      <c r="P48" s="219"/>
      <c r="Q48" s="177"/>
      <c r="T48" s="176"/>
      <c r="U48" s="213"/>
      <c r="V48" s="150"/>
      <c r="W48" s="216"/>
      <c r="X48" s="150"/>
      <c r="Y48" s="179"/>
      <c r="Z48" s="238"/>
      <c r="AA48" s="216"/>
      <c r="AB48" s="150"/>
      <c r="AC48" s="219"/>
      <c r="AD48" s="177"/>
    </row>
    <row r="49" spans="7:30" ht="11.25" customHeight="1" thickBot="1" x14ac:dyDescent="0.3">
      <c r="G49" s="176"/>
      <c r="H49" s="200"/>
      <c r="I49" s="150"/>
      <c r="J49" s="216"/>
      <c r="K49" s="150"/>
      <c r="L49" s="224">
        <f>$E$11</f>
        <v>-0.39078111492438833</v>
      </c>
      <c r="M49" s="150"/>
      <c r="N49" s="216"/>
      <c r="O49" s="150"/>
      <c r="P49" s="200"/>
      <c r="Q49" s="177"/>
      <c r="T49" s="176"/>
      <c r="U49" s="200"/>
      <c r="V49" s="150"/>
      <c r="W49" s="216"/>
      <c r="X49" s="150"/>
      <c r="Y49" s="224">
        <f>$E$11</f>
        <v>-0.39078111492438833</v>
      </c>
      <c r="Z49" s="227"/>
      <c r="AA49" s="216"/>
      <c r="AB49" s="150"/>
      <c r="AC49" s="200"/>
      <c r="AD49" s="177"/>
    </row>
    <row r="50" spans="7:30" ht="9.9499999999999993" customHeight="1" thickBot="1" x14ac:dyDescent="0.3">
      <c r="G50" s="205"/>
      <c r="H50" s="217">
        <v>150.1</v>
      </c>
      <c r="I50" s="150"/>
      <c r="J50" s="216"/>
      <c r="K50" s="150"/>
      <c r="L50" s="179"/>
      <c r="M50" s="150"/>
      <c r="N50" s="216"/>
      <c r="O50" s="150"/>
      <c r="P50" s="219">
        <f>+H50-10</f>
        <v>140.1</v>
      </c>
      <c r="Q50" s="207"/>
      <c r="T50" s="205"/>
      <c r="U50" s="217">
        <v>150.1</v>
      </c>
      <c r="V50" s="150"/>
      <c r="W50" s="216"/>
      <c r="X50" s="150"/>
      <c r="Y50" s="179"/>
      <c r="Z50" s="237">
        <f>+Y49+Z47</f>
        <v>125.51242418503567</v>
      </c>
      <c r="AA50" s="216"/>
      <c r="AB50" s="150"/>
      <c r="AC50" s="219">
        <f>+U50-10</f>
        <v>140.1</v>
      </c>
      <c r="AD50" s="207"/>
    </row>
    <row r="51" spans="7:30" ht="9.9499999999999993" customHeight="1" thickBot="1" x14ac:dyDescent="0.3">
      <c r="G51" s="176"/>
      <c r="H51" s="217"/>
      <c r="I51" s="150"/>
      <c r="J51" s="216"/>
      <c r="K51" s="150"/>
      <c r="L51" s="179"/>
      <c r="M51" s="150"/>
      <c r="N51" s="216"/>
      <c r="O51" s="150"/>
      <c r="P51" s="219"/>
      <c r="Q51" s="177"/>
      <c r="T51" s="176"/>
      <c r="U51" s="217"/>
      <c r="V51" s="150"/>
      <c r="W51" s="216"/>
      <c r="X51" s="150"/>
      <c r="Y51" s="179"/>
      <c r="Z51" s="238"/>
      <c r="AA51" s="216"/>
      <c r="AB51" s="150"/>
      <c r="AC51" s="219"/>
      <c r="AD51" s="177"/>
    </row>
    <row r="52" spans="7:30" ht="12" customHeight="1" thickBot="1" x14ac:dyDescent="0.3">
      <c r="G52" s="176"/>
      <c r="H52" s="200"/>
      <c r="I52" s="150"/>
      <c r="J52" s="216"/>
      <c r="K52" s="150"/>
      <c r="L52" s="224">
        <f>$E$12</f>
        <v>0.41697257297439655</v>
      </c>
      <c r="M52" s="150"/>
      <c r="N52" s="216"/>
      <c r="O52" s="150"/>
      <c r="P52" s="200"/>
      <c r="Q52" s="177"/>
      <c r="T52" s="176"/>
      <c r="U52" s="200"/>
      <c r="V52" s="150"/>
      <c r="W52" s="216"/>
      <c r="X52" s="150"/>
      <c r="Y52" s="224">
        <f>$E$12</f>
        <v>0.41697257297439655</v>
      </c>
      <c r="Z52" s="227"/>
      <c r="AA52" s="216"/>
      <c r="AB52" s="150"/>
      <c r="AC52" s="200"/>
      <c r="AD52" s="177"/>
    </row>
    <row r="53" spans="7:30" ht="9.9499999999999993" customHeight="1" thickBot="1" x14ac:dyDescent="0.3">
      <c r="G53" s="205"/>
      <c r="H53" s="217">
        <v>147.80000000000001</v>
      </c>
      <c r="I53" s="150"/>
      <c r="J53" s="216"/>
      <c r="K53" s="150"/>
      <c r="L53" s="179"/>
      <c r="M53" s="150"/>
      <c r="N53" s="216"/>
      <c r="O53" s="150"/>
      <c r="P53" s="219">
        <f>+H53-10</f>
        <v>137.80000000000001</v>
      </c>
      <c r="Q53" s="207"/>
      <c r="T53" s="205"/>
      <c r="U53" s="217">
        <v>147.80000000000001</v>
      </c>
      <c r="V53" s="150"/>
      <c r="W53" s="216"/>
      <c r="X53" s="150"/>
      <c r="Y53" s="179"/>
      <c r="Z53" s="237">
        <f>Y52+Z50</f>
        <v>125.92939675801007</v>
      </c>
      <c r="AA53" s="216"/>
      <c r="AB53" s="150"/>
      <c r="AC53" s="219">
        <f>+U53-10</f>
        <v>137.80000000000001</v>
      </c>
      <c r="AD53" s="207"/>
    </row>
    <row r="54" spans="7:30" ht="9.9499999999999993" customHeight="1" thickBot="1" x14ac:dyDescent="0.3">
      <c r="G54" s="176"/>
      <c r="H54" s="217"/>
      <c r="I54" s="150"/>
      <c r="J54" s="216"/>
      <c r="K54" s="150"/>
      <c r="L54" s="179"/>
      <c r="M54" s="150"/>
      <c r="N54" s="216"/>
      <c r="O54" s="150"/>
      <c r="P54" s="219"/>
      <c r="Q54" s="177"/>
      <c r="T54" s="176"/>
      <c r="U54" s="217"/>
      <c r="V54" s="150"/>
      <c r="W54" s="216"/>
      <c r="X54" s="150"/>
      <c r="Y54" s="179"/>
      <c r="Z54" s="238"/>
      <c r="AA54" s="216"/>
      <c r="AB54" s="150"/>
      <c r="AC54" s="219"/>
      <c r="AD54" s="177"/>
    </row>
    <row r="55" spans="7:30" ht="15.75" thickBot="1" x14ac:dyDescent="0.3">
      <c r="G55" s="176"/>
      <c r="H55" s="200"/>
      <c r="I55" s="150"/>
      <c r="J55" s="216"/>
      <c r="K55" s="150"/>
      <c r="L55" s="224">
        <f>$E$13</f>
        <v>4.1410098579623016</v>
      </c>
      <c r="M55" s="150"/>
      <c r="N55" s="216"/>
      <c r="O55" s="150"/>
      <c r="P55" s="200"/>
      <c r="Q55" s="177"/>
      <c r="T55" s="176"/>
      <c r="U55" s="200"/>
      <c r="V55" s="150"/>
      <c r="W55" s="216"/>
      <c r="X55" s="150"/>
      <c r="Y55" s="224">
        <f>$E$13</f>
        <v>4.1410098579623016</v>
      </c>
      <c r="Z55" s="150"/>
      <c r="AA55" s="216"/>
      <c r="AB55" s="150"/>
      <c r="AC55" s="200"/>
      <c r="AD55" s="177"/>
    </row>
    <row r="56" spans="7:30" ht="9.9499999999999993" customHeight="1" thickBot="1" x14ac:dyDescent="0.3">
      <c r="G56" s="205"/>
      <c r="H56" s="217">
        <v>136.6</v>
      </c>
      <c r="I56" s="150"/>
      <c r="J56" s="216"/>
      <c r="K56" s="150"/>
      <c r="L56" s="179"/>
      <c r="M56" s="150"/>
      <c r="N56" s="216"/>
      <c r="O56" s="150"/>
      <c r="P56" s="219">
        <f>+H56-10</f>
        <v>126.6</v>
      </c>
      <c r="Q56" s="207"/>
      <c r="T56" s="205"/>
      <c r="U56" s="217">
        <v>136.6</v>
      </c>
      <c r="V56" s="150"/>
      <c r="W56" s="216"/>
      <c r="X56" s="150"/>
      <c r="Y56" s="179"/>
      <c r="Z56" s="237">
        <f>Y55+Z53</f>
        <v>130.07040661597236</v>
      </c>
      <c r="AA56" s="216"/>
      <c r="AB56" s="150"/>
      <c r="AC56" s="219">
        <f>+U56-10</f>
        <v>126.6</v>
      </c>
      <c r="AD56" s="207"/>
    </row>
    <row r="57" spans="7:30" ht="9.9499999999999993" customHeight="1" thickBot="1" x14ac:dyDescent="0.3">
      <c r="G57" s="176"/>
      <c r="H57" s="217"/>
      <c r="I57" s="150"/>
      <c r="J57" s="216"/>
      <c r="K57" s="150"/>
      <c r="L57" s="179"/>
      <c r="M57" s="150"/>
      <c r="N57" s="216"/>
      <c r="O57" s="150"/>
      <c r="P57" s="219"/>
      <c r="Q57" s="177"/>
      <c r="T57" s="176"/>
      <c r="U57" s="217"/>
      <c r="V57" s="150"/>
      <c r="W57" s="216"/>
      <c r="X57" s="150"/>
      <c r="Y57" s="179"/>
      <c r="Z57" s="238"/>
      <c r="AA57" s="216"/>
      <c r="AB57" s="150"/>
      <c r="AC57" s="219"/>
      <c r="AD57" s="177"/>
    </row>
    <row r="58" spans="7:30" ht="15.75" thickBot="1" x14ac:dyDescent="0.3">
      <c r="G58" s="176"/>
      <c r="H58" s="200"/>
      <c r="I58" s="150"/>
      <c r="J58" s="216"/>
      <c r="K58" s="150"/>
      <c r="L58" s="224">
        <f>$E$14</f>
        <v>14.747800996919224</v>
      </c>
      <c r="M58" s="150"/>
      <c r="N58" s="216"/>
      <c r="O58" s="150"/>
      <c r="P58" s="200"/>
      <c r="Q58" s="177"/>
      <c r="T58" s="176"/>
      <c r="U58" s="200"/>
      <c r="V58" s="150"/>
      <c r="W58" s="216"/>
      <c r="X58" s="150"/>
      <c r="Y58" s="224">
        <f>$E$14</f>
        <v>14.747800996919224</v>
      </c>
      <c r="Z58" s="150"/>
      <c r="AA58" s="216"/>
      <c r="AB58" s="150"/>
      <c r="AC58" s="200"/>
      <c r="AD58" s="177"/>
    </row>
    <row r="59" spans="7:30" ht="9.9499999999999993" customHeight="1" thickBot="1" x14ac:dyDescent="0.3">
      <c r="G59" s="205"/>
      <c r="H59" s="217">
        <v>102</v>
      </c>
      <c r="I59" s="150"/>
      <c r="J59" s="216"/>
      <c r="K59" s="150"/>
      <c r="L59" s="179"/>
      <c r="M59" s="150"/>
      <c r="N59" s="216"/>
      <c r="O59" s="150"/>
      <c r="P59" s="219">
        <f>+H59-10</f>
        <v>92</v>
      </c>
      <c r="Q59" s="207"/>
      <c r="T59" s="205"/>
      <c r="U59" s="217">
        <v>102</v>
      </c>
      <c r="V59" s="150"/>
      <c r="W59" s="216"/>
      <c r="X59" s="150"/>
      <c r="Y59" s="179"/>
      <c r="Z59" s="237">
        <f>Y58+Z56</f>
        <v>144.81820761289157</v>
      </c>
      <c r="AA59" s="216"/>
      <c r="AB59" s="150"/>
      <c r="AC59" s="219">
        <f>+U59-10</f>
        <v>92</v>
      </c>
      <c r="AD59" s="207"/>
    </row>
    <row r="60" spans="7:30" ht="9.9499999999999993" customHeight="1" thickBot="1" x14ac:dyDescent="0.3">
      <c r="G60" s="176"/>
      <c r="H60" s="217"/>
      <c r="I60" s="150"/>
      <c r="J60" s="216"/>
      <c r="K60" s="150"/>
      <c r="L60" s="179"/>
      <c r="M60" s="150"/>
      <c r="N60" s="216"/>
      <c r="O60" s="150"/>
      <c r="P60" s="219"/>
      <c r="Q60" s="177"/>
      <c r="T60" s="176"/>
      <c r="U60" s="217"/>
      <c r="V60" s="150"/>
      <c r="W60" s="216"/>
      <c r="X60" s="150"/>
      <c r="Y60" s="179"/>
      <c r="Z60" s="238"/>
      <c r="AA60" s="216"/>
      <c r="AB60" s="150"/>
      <c r="AC60" s="219"/>
      <c r="AD60" s="177"/>
    </row>
    <row r="61" spans="7:30" ht="15.75" thickBot="1" x14ac:dyDescent="0.3">
      <c r="G61" s="176"/>
      <c r="H61" s="200"/>
      <c r="I61" s="150"/>
      <c r="J61" s="216"/>
      <c r="K61" s="150"/>
      <c r="L61" s="224">
        <f>$E$15</f>
        <v>14.303660460646952</v>
      </c>
      <c r="M61" s="150"/>
      <c r="N61" s="216"/>
      <c r="O61" s="150"/>
      <c r="P61" s="200"/>
      <c r="Q61" s="177"/>
      <c r="T61" s="176"/>
      <c r="U61" s="200"/>
      <c r="V61" s="150"/>
      <c r="W61" s="216"/>
      <c r="X61" s="150"/>
      <c r="Y61" s="224">
        <f>$E$15</f>
        <v>14.303660460646952</v>
      </c>
      <c r="Z61" s="150"/>
      <c r="AA61" s="216"/>
      <c r="AB61" s="150"/>
      <c r="AC61" s="200"/>
      <c r="AD61" s="177"/>
    </row>
    <row r="62" spans="7:30" ht="9.9499999999999993" customHeight="1" thickBot="1" x14ac:dyDescent="0.3">
      <c r="G62" s="205"/>
      <c r="H62" s="217">
        <v>82</v>
      </c>
      <c r="I62" s="150"/>
      <c r="J62" s="216"/>
      <c r="K62" s="150"/>
      <c r="L62" s="179"/>
      <c r="M62" s="150"/>
      <c r="N62" s="216"/>
      <c r="O62" s="150"/>
      <c r="P62" s="219">
        <f>+H62-10</f>
        <v>72</v>
      </c>
      <c r="Q62" s="207"/>
      <c r="T62" s="205"/>
      <c r="U62" s="217">
        <v>82</v>
      </c>
      <c r="V62" s="150"/>
      <c r="W62" s="216"/>
      <c r="X62" s="150"/>
      <c r="Y62" s="179"/>
      <c r="Z62" s="237">
        <f>Y61+Z59</f>
        <v>159.12186807353851</v>
      </c>
      <c r="AA62" s="216"/>
      <c r="AB62" s="150"/>
      <c r="AC62" s="219">
        <f>+U62-10</f>
        <v>72</v>
      </c>
      <c r="AD62" s="207"/>
    </row>
    <row r="63" spans="7:30" ht="9.9499999999999993" customHeight="1" thickBot="1" x14ac:dyDescent="0.3">
      <c r="G63" s="176"/>
      <c r="H63" s="217"/>
      <c r="I63" s="150"/>
      <c r="J63" s="216"/>
      <c r="K63" s="150"/>
      <c r="L63" s="179"/>
      <c r="M63" s="150"/>
      <c r="N63" s="216"/>
      <c r="O63" s="150"/>
      <c r="P63" s="219"/>
      <c r="Q63" s="177"/>
      <c r="T63" s="176"/>
      <c r="U63" s="217"/>
      <c r="V63" s="150"/>
      <c r="W63" s="216"/>
      <c r="X63" s="150"/>
      <c r="Y63" s="179"/>
      <c r="Z63" s="238"/>
      <c r="AA63" s="216"/>
      <c r="AB63" s="150"/>
      <c r="AC63" s="219"/>
      <c r="AD63" s="177"/>
    </row>
    <row r="64" spans="7:30" ht="15.75" thickBot="1" x14ac:dyDescent="0.3">
      <c r="G64" s="176"/>
      <c r="H64" s="200"/>
      <c r="I64" s="150"/>
      <c r="J64" s="216"/>
      <c r="K64" s="150"/>
      <c r="L64" s="224">
        <f>$E$16</f>
        <v>3.7701698722799968</v>
      </c>
      <c r="M64" s="150"/>
      <c r="N64" s="216"/>
      <c r="O64" s="150"/>
      <c r="P64" s="200"/>
      <c r="Q64" s="177"/>
      <c r="T64" s="176"/>
      <c r="U64" s="200"/>
      <c r="V64" s="150"/>
      <c r="W64" s="216"/>
      <c r="X64" s="150"/>
      <c r="Y64" s="224">
        <f>$E$16</f>
        <v>3.7701698722799968</v>
      </c>
      <c r="Z64" s="150"/>
      <c r="AA64" s="216"/>
      <c r="AB64" s="150"/>
      <c r="AC64" s="200"/>
      <c r="AD64" s="177"/>
    </row>
    <row r="65" spans="7:30" ht="9.9499999999999993" customHeight="1" thickBot="1" x14ac:dyDescent="0.3">
      <c r="G65" s="205"/>
      <c r="H65" s="217">
        <v>79.2</v>
      </c>
      <c r="I65" s="150"/>
      <c r="J65" s="216"/>
      <c r="K65" s="150"/>
      <c r="L65" s="179"/>
      <c r="M65" s="150"/>
      <c r="N65" s="216"/>
      <c r="O65" s="150"/>
      <c r="P65" s="219">
        <f>+H65-10</f>
        <v>69.2</v>
      </c>
      <c r="Q65" s="207"/>
      <c r="T65" s="205"/>
      <c r="U65" s="217">
        <v>79.2</v>
      </c>
      <c r="V65" s="150"/>
      <c r="W65" s="216"/>
      <c r="X65" s="150"/>
      <c r="Y65" s="179"/>
      <c r="Z65" s="237">
        <f>Y64+Z62</f>
        <v>162.89203794581852</v>
      </c>
      <c r="AA65" s="216"/>
      <c r="AB65" s="150"/>
      <c r="AC65" s="219">
        <f>+U65-10</f>
        <v>69.2</v>
      </c>
      <c r="AD65" s="207"/>
    </row>
    <row r="66" spans="7:30" ht="9.9499999999999993" customHeight="1" thickBot="1" x14ac:dyDescent="0.3">
      <c r="G66" s="176"/>
      <c r="H66" s="217"/>
      <c r="I66" s="150"/>
      <c r="J66" s="216"/>
      <c r="K66" s="150"/>
      <c r="L66" s="179"/>
      <c r="M66" s="150"/>
      <c r="N66" s="216"/>
      <c r="O66" s="150"/>
      <c r="P66" s="219"/>
      <c r="Q66" s="177"/>
      <c r="T66" s="176"/>
      <c r="U66" s="217"/>
      <c r="V66" s="150"/>
      <c r="W66" s="216"/>
      <c r="X66" s="150"/>
      <c r="Y66" s="179"/>
      <c r="Z66" s="238"/>
      <c r="AA66" s="216"/>
      <c r="AB66" s="150"/>
      <c r="AC66" s="219"/>
      <c r="AD66" s="177"/>
    </row>
    <row r="67" spans="7:30" ht="15.75" thickBot="1" x14ac:dyDescent="0.3">
      <c r="G67" s="176"/>
      <c r="H67" s="200"/>
      <c r="I67" s="150"/>
      <c r="J67" s="216"/>
      <c r="K67" s="150"/>
      <c r="L67" s="224">
        <f>$E$17</f>
        <v>38.63664629037001</v>
      </c>
      <c r="M67" s="150"/>
      <c r="N67" s="216"/>
      <c r="O67" s="150"/>
      <c r="P67" s="200"/>
      <c r="Q67" s="177"/>
      <c r="T67" s="176"/>
      <c r="U67" s="200"/>
      <c r="V67" s="150"/>
      <c r="W67" s="216"/>
      <c r="X67" s="150"/>
      <c r="Y67" s="224">
        <f>$E$17</f>
        <v>38.63664629037001</v>
      </c>
      <c r="Z67" s="150"/>
      <c r="AA67" s="216"/>
      <c r="AB67" s="150"/>
      <c r="AC67" s="200"/>
      <c r="AD67" s="177"/>
    </row>
    <row r="68" spans="7:30" ht="9.9499999999999993" customHeight="1" thickBot="1" x14ac:dyDescent="0.3">
      <c r="G68" s="205"/>
      <c r="H68" s="217">
        <v>55.5</v>
      </c>
      <c r="I68" s="150"/>
      <c r="J68" s="216"/>
      <c r="K68" s="150"/>
      <c r="L68" s="179"/>
      <c r="M68" s="150"/>
      <c r="N68" s="216"/>
      <c r="O68" s="150"/>
      <c r="P68" s="219">
        <f>+H68-10</f>
        <v>45.5</v>
      </c>
      <c r="Q68" s="207"/>
      <c r="T68" s="205"/>
      <c r="U68" s="217">
        <v>55.5</v>
      </c>
      <c r="V68" s="150"/>
      <c r="W68" s="216"/>
      <c r="X68" s="150"/>
      <c r="Y68" s="179"/>
      <c r="Z68" s="237">
        <f>Y67+Z65</f>
        <v>201.52868423618852</v>
      </c>
      <c r="AA68" s="216"/>
      <c r="AB68" s="150"/>
      <c r="AC68" s="219">
        <f>+U68-10</f>
        <v>45.5</v>
      </c>
      <c r="AD68" s="207"/>
    </row>
    <row r="69" spans="7:30" ht="9.9499999999999993" customHeight="1" thickBot="1" x14ac:dyDescent="0.3">
      <c r="G69" s="176"/>
      <c r="H69" s="217"/>
      <c r="I69" s="150"/>
      <c r="J69" s="216"/>
      <c r="K69" s="150"/>
      <c r="L69" s="179"/>
      <c r="M69" s="150"/>
      <c r="N69" s="216"/>
      <c r="O69" s="150"/>
      <c r="P69" s="219"/>
      <c r="Q69" s="177"/>
      <c r="T69" s="176"/>
      <c r="U69" s="217"/>
      <c r="V69" s="150"/>
      <c r="W69" s="216"/>
      <c r="X69" s="150"/>
      <c r="Y69" s="179"/>
      <c r="Z69" s="238"/>
      <c r="AA69" s="216"/>
      <c r="AB69" s="150"/>
      <c r="AC69" s="219"/>
      <c r="AD69" s="177"/>
    </row>
    <row r="70" spans="7:30" ht="15.75" thickBot="1" x14ac:dyDescent="0.3">
      <c r="G70" s="176"/>
      <c r="H70" s="200"/>
      <c r="I70" s="150"/>
      <c r="J70" s="216"/>
      <c r="K70" s="150"/>
      <c r="L70" s="224">
        <f>$E$18</f>
        <v>6.0706336933732867</v>
      </c>
      <c r="M70" s="150"/>
      <c r="N70" s="216"/>
      <c r="O70" s="150"/>
      <c r="P70" s="200"/>
      <c r="Q70" s="177"/>
      <c r="T70" s="176"/>
      <c r="U70" s="200"/>
      <c r="V70" s="150"/>
      <c r="W70" s="216"/>
      <c r="X70" s="150"/>
      <c r="Y70" s="224">
        <f>$E$18</f>
        <v>6.0706336933732867</v>
      </c>
      <c r="Z70" s="150"/>
      <c r="AA70" s="216"/>
      <c r="AB70" s="150"/>
      <c r="AC70" s="200"/>
      <c r="AD70" s="177"/>
    </row>
    <row r="71" spans="7:30" ht="9.9499999999999993" customHeight="1" thickBot="1" x14ac:dyDescent="0.3">
      <c r="G71" s="205"/>
      <c r="H71" s="217">
        <v>45</v>
      </c>
      <c r="I71" s="150"/>
      <c r="J71" s="216"/>
      <c r="K71" s="150"/>
      <c r="L71" s="179"/>
      <c r="M71" s="150"/>
      <c r="N71" s="216"/>
      <c r="O71" s="150"/>
      <c r="P71" s="219">
        <f>+H71-10</f>
        <v>35</v>
      </c>
      <c r="Q71" s="207"/>
      <c r="T71" s="205"/>
      <c r="U71" s="217">
        <v>45</v>
      </c>
      <c r="V71" s="150"/>
      <c r="W71" s="216"/>
      <c r="X71" s="150"/>
      <c r="Y71" s="179"/>
      <c r="Z71" s="237">
        <f>Y70+Z68</f>
        <v>207.59931792956181</v>
      </c>
      <c r="AA71" s="216"/>
      <c r="AB71" s="150"/>
      <c r="AC71" s="219">
        <f>+U71-10</f>
        <v>35</v>
      </c>
      <c r="AD71" s="207"/>
    </row>
    <row r="72" spans="7:30" ht="9.9499999999999993" customHeight="1" thickBot="1" x14ac:dyDescent="0.3">
      <c r="G72" s="176"/>
      <c r="H72" s="217"/>
      <c r="I72" s="150"/>
      <c r="J72" s="216"/>
      <c r="K72" s="150"/>
      <c r="L72" s="179"/>
      <c r="M72" s="150"/>
      <c r="N72" s="216"/>
      <c r="O72" s="150"/>
      <c r="P72" s="219"/>
      <c r="Q72" s="177"/>
      <c r="T72" s="176"/>
      <c r="U72" s="217"/>
      <c r="V72" s="150"/>
      <c r="W72" s="216"/>
      <c r="X72" s="150"/>
      <c r="Y72" s="179"/>
      <c r="Z72" s="238"/>
      <c r="AA72" s="216"/>
      <c r="AB72" s="150"/>
      <c r="AC72" s="219"/>
      <c r="AD72" s="177"/>
    </row>
    <row r="73" spans="7:30" ht="15.75" thickBot="1" x14ac:dyDescent="0.3">
      <c r="G73" s="176"/>
      <c r="H73" s="200"/>
      <c r="I73" s="150"/>
      <c r="J73" s="216"/>
      <c r="K73" s="150"/>
      <c r="L73" s="224">
        <f>$E$19</f>
        <v>7.2159457492253747</v>
      </c>
      <c r="M73" s="150"/>
      <c r="N73" s="216"/>
      <c r="O73" s="150"/>
      <c r="P73" s="200"/>
      <c r="Q73" s="177"/>
      <c r="T73" s="176"/>
      <c r="U73" s="200"/>
      <c r="V73" s="150"/>
      <c r="W73" s="216"/>
      <c r="X73" s="150"/>
      <c r="Y73" s="224">
        <f>$E$19</f>
        <v>7.2159457492253747</v>
      </c>
      <c r="Z73" s="150"/>
      <c r="AA73" s="216"/>
      <c r="AB73" s="150"/>
      <c r="AC73" s="200"/>
      <c r="AD73" s="177"/>
    </row>
    <row r="74" spans="7:30" ht="9.9499999999999993" customHeight="1" thickBot="1" x14ac:dyDescent="0.3">
      <c r="G74" s="205"/>
      <c r="H74" s="213">
        <v>40</v>
      </c>
      <c r="I74" s="150"/>
      <c r="J74" s="216"/>
      <c r="K74" s="150"/>
      <c r="L74" s="179"/>
      <c r="M74" s="150"/>
      <c r="N74" s="216"/>
      <c r="O74" s="150"/>
      <c r="P74" s="219">
        <f>+H74-10</f>
        <v>30</v>
      </c>
      <c r="Q74" s="207"/>
      <c r="T74" s="205"/>
      <c r="U74" s="213">
        <v>40</v>
      </c>
      <c r="V74" s="150"/>
      <c r="W74" s="216"/>
      <c r="X74" s="150"/>
      <c r="Y74" s="179"/>
      <c r="Z74" s="237">
        <f>Y73+Z71</f>
        <v>214.81526367878718</v>
      </c>
      <c r="AA74" s="216"/>
      <c r="AB74" s="150"/>
      <c r="AC74" s="219">
        <f>+U74-10</f>
        <v>30</v>
      </c>
      <c r="AD74" s="207"/>
    </row>
    <row r="75" spans="7:30" ht="9.9499999999999993" customHeight="1" thickBot="1" x14ac:dyDescent="0.3">
      <c r="G75" s="176"/>
      <c r="H75" s="213"/>
      <c r="I75" s="150"/>
      <c r="J75" s="216"/>
      <c r="K75" s="150"/>
      <c r="L75" s="179"/>
      <c r="M75" s="150"/>
      <c r="N75" s="216"/>
      <c r="O75" s="150"/>
      <c r="P75" s="219"/>
      <c r="Q75" s="177"/>
      <c r="T75" s="176"/>
      <c r="U75" s="213"/>
      <c r="V75" s="150"/>
      <c r="W75" s="216"/>
      <c r="X75" s="150"/>
      <c r="Y75" s="179"/>
      <c r="Z75" s="238"/>
      <c r="AA75" s="216"/>
      <c r="AB75" s="150"/>
      <c r="AC75" s="219"/>
      <c r="AD75" s="177"/>
    </row>
    <row r="76" spans="7:30" ht="15.75" thickBot="1" x14ac:dyDescent="0.3">
      <c r="G76" s="176"/>
      <c r="H76" s="200"/>
      <c r="I76" s="150"/>
      <c r="J76" s="216"/>
      <c r="K76" s="150"/>
      <c r="L76" s="224">
        <f>$E$20</f>
        <v>4.418170749225375</v>
      </c>
      <c r="M76" s="150"/>
      <c r="N76" s="216"/>
      <c r="O76" s="150"/>
      <c r="P76" s="200"/>
      <c r="Q76" s="177"/>
      <c r="T76" s="176"/>
      <c r="U76" s="200"/>
      <c r="V76" s="150"/>
      <c r="W76" s="216"/>
      <c r="X76" s="150"/>
      <c r="Y76" s="224">
        <f>$E$20</f>
        <v>4.418170749225375</v>
      </c>
      <c r="Z76" s="150"/>
      <c r="AA76" s="216"/>
      <c r="AB76" s="150"/>
      <c r="AC76" s="200"/>
      <c r="AD76" s="177"/>
    </row>
    <row r="77" spans="7:30" ht="9.9499999999999993" customHeight="1" thickBot="1" x14ac:dyDescent="0.3">
      <c r="G77" s="205"/>
      <c r="H77" s="217">
        <v>35</v>
      </c>
      <c r="I77" s="150"/>
      <c r="J77" s="216"/>
      <c r="K77" s="150"/>
      <c r="L77" s="179"/>
      <c r="M77" s="150"/>
      <c r="N77" s="216"/>
      <c r="O77" s="150"/>
      <c r="P77" s="219">
        <f>+H77-10</f>
        <v>25</v>
      </c>
      <c r="Q77" s="207"/>
      <c r="T77" s="205"/>
      <c r="U77" s="217">
        <v>35</v>
      </c>
      <c r="V77" s="150"/>
      <c r="W77" s="216"/>
      <c r="X77" s="150"/>
      <c r="Y77" s="179"/>
      <c r="Z77" s="237">
        <f>Y76+Z74</f>
        <v>219.23343442801254</v>
      </c>
      <c r="AA77" s="216"/>
      <c r="AB77" s="150"/>
      <c r="AC77" s="219">
        <f>+U77-10</f>
        <v>25</v>
      </c>
      <c r="AD77" s="207"/>
    </row>
    <row r="78" spans="7:30" ht="9.9499999999999993" customHeight="1" thickBot="1" x14ac:dyDescent="0.3">
      <c r="G78" s="176"/>
      <c r="H78" s="217"/>
      <c r="I78" s="150"/>
      <c r="J78" s="216"/>
      <c r="K78" s="150"/>
      <c r="L78" s="179"/>
      <c r="M78" s="150"/>
      <c r="N78" s="216"/>
      <c r="O78" s="150"/>
      <c r="P78" s="219"/>
      <c r="Q78" s="177"/>
      <c r="T78" s="176"/>
      <c r="U78" s="217"/>
      <c r="V78" s="150"/>
      <c r="W78" s="216"/>
      <c r="X78" s="150"/>
      <c r="Y78" s="179"/>
      <c r="Z78" s="238"/>
      <c r="AA78" s="216"/>
      <c r="AB78" s="150"/>
      <c r="AC78" s="219"/>
      <c r="AD78" s="177"/>
    </row>
    <row r="79" spans="7:30" ht="15.75" thickBot="1" x14ac:dyDescent="0.3">
      <c r="G79" s="176"/>
      <c r="H79" s="200"/>
      <c r="I79" s="150"/>
      <c r="J79" s="216"/>
      <c r="K79" s="150"/>
      <c r="L79" s="224">
        <f>$E$21</f>
        <v>-1.9061204760000001</v>
      </c>
      <c r="M79" s="150"/>
      <c r="N79" s="216"/>
      <c r="O79" s="150"/>
      <c r="P79" s="200"/>
      <c r="Q79" s="177"/>
      <c r="T79" s="176"/>
      <c r="U79" s="200"/>
      <c r="V79" s="150"/>
      <c r="W79" s="216"/>
      <c r="X79" s="150"/>
      <c r="Y79" s="224">
        <f>$E$21</f>
        <v>-1.9061204760000001</v>
      </c>
      <c r="Z79" s="150"/>
      <c r="AA79" s="216"/>
      <c r="AB79" s="150"/>
      <c r="AC79" s="200"/>
      <c r="AD79" s="177"/>
    </row>
    <row r="80" spans="7:30" ht="9.9499999999999993" customHeight="1" thickBot="1" x14ac:dyDescent="0.3">
      <c r="G80" s="205"/>
      <c r="H80" s="217">
        <v>3.8</v>
      </c>
      <c r="I80" s="150"/>
      <c r="J80" s="216"/>
      <c r="K80" s="150"/>
      <c r="L80" s="179"/>
      <c r="M80" s="150"/>
      <c r="N80" s="216"/>
      <c r="O80" s="150"/>
      <c r="P80" s="219">
        <f>+H80-10</f>
        <v>-6.2</v>
      </c>
      <c r="Q80" s="207"/>
      <c r="T80" s="205"/>
      <c r="U80" s="217">
        <v>3.8</v>
      </c>
      <c r="V80" s="150"/>
      <c r="W80" s="216"/>
      <c r="X80" s="150"/>
      <c r="Y80" s="179"/>
      <c r="Z80" s="237">
        <f>Y79+Z77</f>
        <v>217.32731395201253</v>
      </c>
      <c r="AA80" s="216"/>
      <c r="AB80" s="150"/>
      <c r="AC80" s="219">
        <f>+U80-10</f>
        <v>-6.2</v>
      </c>
      <c r="AD80" s="207"/>
    </row>
    <row r="81" spans="7:30" ht="9.9499999999999993" customHeight="1" thickBot="1" x14ac:dyDescent="0.3">
      <c r="G81" s="165"/>
      <c r="H81" s="223"/>
      <c r="I81" s="150"/>
      <c r="J81" s="225"/>
      <c r="K81" s="150"/>
      <c r="L81" s="179"/>
      <c r="M81" s="150"/>
      <c r="N81" s="225"/>
      <c r="O81" s="150"/>
      <c r="P81" s="226"/>
      <c r="Q81" s="165"/>
      <c r="T81" s="165"/>
      <c r="U81" s="223"/>
      <c r="V81" s="150"/>
      <c r="W81" s="225"/>
      <c r="X81" s="150"/>
      <c r="Y81" s="179"/>
      <c r="Z81" s="238"/>
      <c r="AA81" s="225"/>
      <c r="AB81" s="150"/>
      <c r="AC81" s="226"/>
      <c r="AD81" s="165"/>
    </row>
    <row r="82" spans="7:30" x14ac:dyDescent="0.25">
      <c r="H82"/>
      <c r="P82"/>
      <c r="U82"/>
      <c r="AC82"/>
    </row>
    <row r="83" spans="7:30" x14ac:dyDescent="0.25">
      <c r="H83"/>
      <c r="P83"/>
      <c r="U83"/>
      <c r="AC83"/>
    </row>
    <row r="84" spans="7:30" x14ac:dyDescent="0.25">
      <c r="H84"/>
      <c r="U84"/>
    </row>
  </sheetData>
  <mergeCells count="103">
    <mergeCell ref="Z77:Z78"/>
    <mergeCell ref="Z80:Z81"/>
    <mergeCell ref="Z27:Z28"/>
    <mergeCell ref="Z30:Z31"/>
    <mergeCell ref="Z34:Z35"/>
    <mergeCell ref="Z39:Z40"/>
    <mergeCell ref="Z42:Z43"/>
    <mergeCell ref="Z47:Z48"/>
    <mergeCell ref="Z50:Z51"/>
    <mergeCell ref="Z53:Z54"/>
    <mergeCell ref="Z68:Z69"/>
    <mergeCell ref="Z71:Z72"/>
    <mergeCell ref="Z74:Z75"/>
    <mergeCell ref="Z56:Z57"/>
    <mergeCell ref="Z59:Z60"/>
    <mergeCell ref="Z62:Z63"/>
    <mergeCell ref="U77:U78"/>
    <mergeCell ref="AC77:AC78"/>
    <mergeCell ref="U80:U81"/>
    <mergeCell ref="AC80:AC81"/>
    <mergeCell ref="U68:U69"/>
    <mergeCell ref="AC68:AC69"/>
    <mergeCell ref="U71:U72"/>
    <mergeCell ref="AC71:AC72"/>
    <mergeCell ref="U74:U75"/>
    <mergeCell ref="AC74:AC75"/>
    <mergeCell ref="U59:U60"/>
    <mergeCell ref="AC59:AC60"/>
    <mergeCell ref="U62:U63"/>
    <mergeCell ref="AC62:AC63"/>
    <mergeCell ref="U65:U66"/>
    <mergeCell ref="AC65:AC66"/>
    <mergeCell ref="Z65:Z66"/>
    <mergeCell ref="U50:U51"/>
    <mergeCell ref="AC50:AC51"/>
    <mergeCell ref="U53:U54"/>
    <mergeCell ref="AC53:AC54"/>
    <mergeCell ref="U56:U57"/>
    <mergeCell ref="AC56:AC57"/>
    <mergeCell ref="U42:U43"/>
    <mergeCell ref="AC42:AC43"/>
    <mergeCell ref="U45:U46"/>
    <mergeCell ref="AC45:AC46"/>
    <mergeCell ref="U47:U48"/>
    <mergeCell ref="AC47:AC48"/>
    <mergeCell ref="U34:U35"/>
    <mergeCell ref="AC34:AC35"/>
    <mergeCell ref="U37:U38"/>
    <mergeCell ref="AC37:AC38"/>
    <mergeCell ref="U39:U40"/>
    <mergeCell ref="AC39:AC40"/>
    <mergeCell ref="U25:U26"/>
    <mergeCell ref="W25:W81"/>
    <mergeCell ref="AA25:AA81"/>
    <mergeCell ref="AC25:AC26"/>
    <mergeCell ref="U27:U28"/>
    <mergeCell ref="AC27:AC28"/>
    <mergeCell ref="U30:U31"/>
    <mergeCell ref="AC30:AC31"/>
    <mergeCell ref="Y32:Y33"/>
    <mergeCell ref="H71:H72"/>
    <mergeCell ref="P71:P72"/>
    <mergeCell ref="H74:H75"/>
    <mergeCell ref="P74:P75"/>
    <mergeCell ref="H77:H78"/>
    <mergeCell ref="P77:P78"/>
    <mergeCell ref="P80:P81"/>
    <mergeCell ref="H80:H81"/>
    <mergeCell ref="H59:H60"/>
    <mergeCell ref="P59:P60"/>
    <mergeCell ref="H62:H63"/>
    <mergeCell ref="P62:P63"/>
    <mergeCell ref="H65:H66"/>
    <mergeCell ref="P65:P66"/>
    <mergeCell ref="H68:H69"/>
    <mergeCell ref="P68:P69"/>
    <mergeCell ref="H53:H54"/>
    <mergeCell ref="P53:P54"/>
    <mergeCell ref="H56:H57"/>
    <mergeCell ref="P56:P57"/>
    <mergeCell ref="J25:J81"/>
    <mergeCell ref="N25:N81"/>
    <mergeCell ref="H42:H43"/>
    <mergeCell ref="P42:P43"/>
    <mergeCell ref="H45:H46"/>
    <mergeCell ref="P45:P46"/>
    <mergeCell ref="H47:H48"/>
    <mergeCell ref="P47:P48"/>
    <mergeCell ref="H50:H51"/>
    <mergeCell ref="P50:P51"/>
    <mergeCell ref="P34:P35"/>
    <mergeCell ref="L32:L33"/>
    <mergeCell ref="H37:H38"/>
    <mergeCell ref="P37:P38"/>
    <mergeCell ref="H39:H40"/>
    <mergeCell ref="P39:P40"/>
    <mergeCell ref="H25:H26"/>
    <mergeCell ref="H27:H28"/>
    <mergeCell ref="P25:P26"/>
    <mergeCell ref="P27:P28"/>
    <mergeCell ref="H30:H31"/>
    <mergeCell ref="P30:P31"/>
    <mergeCell ref="H34:H3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02E5-BBEB-40F3-8524-10684237D1B9}">
  <sheetPr codeName="Hoja7"/>
  <dimension ref="B1:L35"/>
  <sheetViews>
    <sheetView workbookViewId="0">
      <selection activeCell="H28" sqref="H28:L33"/>
    </sheetView>
  </sheetViews>
  <sheetFormatPr baseColWidth="10" defaultRowHeight="15" x14ac:dyDescent="0.25"/>
  <cols>
    <col min="2" max="2" width="12.7109375" bestFit="1" customWidth="1"/>
    <col min="5" max="5" width="10.7109375" bestFit="1" customWidth="1"/>
    <col min="7" max="7" width="13.85546875" customWidth="1"/>
  </cols>
  <sheetData>
    <row r="1" spans="2:8" ht="15.75" thickBot="1" x14ac:dyDescent="0.3"/>
    <row r="2" spans="2:8" ht="15.75" thickBot="1" x14ac:dyDescent="0.3">
      <c r="E2" s="254" t="s">
        <v>110</v>
      </c>
      <c r="F2" s="255"/>
      <c r="G2" s="256"/>
    </row>
    <row r="4" spans="2:8" x14ac:dyDescent="0.25">
      <c r="B4" s="243" t="s">
        <v>74</v>
      </c>
      <c r="C4" s="244" t="s">
        <v>75</v>
      </c>
      <c r="E4" s="98" t="s">
        <v>81</v>
      </c>
      <c r="F4" s="98">
        <f>6251*10^3</f>
        <v>6251000</v>
      </c>
      <c r="G4" s="98" t="s">
        <v>83</v>
      </c>
    </row>
    <row r="5" spans="2:8" x14ac:dyDescent="0.25">
      <c r="B5" s="245" t="s">
        <v>76</v>
      </c>
      <c r="C5" s="246" t="s">
        <v>77</v>
      </c>
      <c r="E5" s="98" t="s">
        <v>82</v>
      </c>
      <c r="F5" s="98">
        <f>1013*10^3</f>
        <v>1013000</v>
      </c>
      <c r="G5" s="98" t="s">
        <v>83</v>
      </c>
    </row>
    <row r="6" spans="2:8" x14ac:dyDescent="0.25">
      <c r="B6" s="245" t="s">
        <v>78</v>
      </c>
      <c r="C6" s="246" t="s">
        <v>74</v>
      </c>
      <c r="E6" s="98" t="s">
        <v>86</v>
      </c>
      <c r="F6" s="98">
        <f>F4-F5</f>
        <v>5238000</v>
      </c>
      <c r="G6" s="98" t="s">
        <v>83</v>
      </c>
    </row>
    <row r="7" spans="2:8" x14ac:dyDescent="0.25">
      <c r="B7" s="247" t="s">
        <v>79</v>
      </c>
      <c r="C7" s="248" t="s">
        <v>80</v>
      </c>
      <c r="E7" s="98" t="s">
        <v>84</v>
      </c>
      <c r="F7" s="98">
        <v>770.6</v>
      </c>
      <c r="G7" s="98" t="s">
        <v>85</v>
      </c>
    </row>
    <row r="8" spans="2:8" x14ac:dyDescent="0.25">
      <c r="E8" s="98" t="s">
        <v>78</v>
      </c>
      <c r="F8" s="98">
        <f>F6/F7</f>
        <v>6797.3008045678689</v>
      </c>
      <c r="G8" s="98" t="s">
        <v>87</v>
      </c>
    </row>
    <row r="9" spans="2:8" x14ac:dyDescent="0.25">
      <c r="B9">
        <v>1</v>
      </c>
      <c r="C9" t="s">
        <v>93</v>
      </c>
      <c r="E9" s="249" t="s">
        <v>88</v>
      </c>
      <c r="F9" s="249">
        <f>F8*0.9</f>
        <v>6117.5707241110822</v>
      </c>
      <c r="G9" s="249" t="s">
        <v>87</v>
      </c>
      <c r="H9" t="s">
        <v>95</v>
      </c>
    </row>
    <row r="10" spans="2:8" x14ac:dyDescent="0.25">
      <c r="B10">
        <v>1.3410200000000001</v>
      </c>
      <c r="C10" t="s">
        <v>94</v>
      </c>
      <c r="E10" s="249" t="s">
        <v>89</v>
      </c>
      <c r="F10" s="249">
        <v>0.65</v>
      </c>
      <c r="G10" s="249"/>
    </row>
    <row r="11" spans="2:8" x14ac:dyDescent="0.25">
      <c r="E11" s="249" t="s">
        <v>74</v>
      </c>
      <c r="F11" s="249">
        <f>1830*1/3600</f>
        <v>0.5083333333333333</v>
      </c>
      <c r="G11" s="249" t="s">
        <v>75</v>
      </c>
    </row>
    <row r="12" spans="2:8" x14ac:dyDescent="0.25">
      <c r="E12" s="249" t="s">
        <v>76</v>
      </c>
      <c r="F12" s="249">
        <v>9.8170000000000002</v>
      </c>
      <c r="G12" s="249" t="s">
        <v>77</v>
      </c>
    </row>
    <row r="13" spans="2:8" x14ac:dyDescent="0.25">
      <c r="E13" s="267" t="s">
        <v>90</v>
      </c>
      <c r="F13" s="267">
        <f>F11*F12*F9*F10</f>
        <v>19843.566706786918</v>
      </c>
      <c r="G13" s="267" t="s">
        <v>92</v>
      </c>
    </row>
    <row r="14" spans="2:8" x14ac:dyDescent="0.25">
      <c r="E14" s="267" t="s">
        <v>90</v>
      </c>
      <c r="F14" s="267">
        <f>F13/1000</f>
        <v>19.84356670678692</v>
      </c>
      <c r="G14" s="267" t="s">
        <v>91</v>
      </c>
    </row>
    <row r="15" spans="2:8" x14ac:dyDescent="0.25">
      <c r="E15" s="267" t="s">
        <v>90</v>
      </c>
      <c r="F15" s="267">
        <f>F14*B10/B9</f>
        <v>26.610619825135398</v>
      </c>
      <c r="G15" s="267" t="s">
        <v>94</v>
      </c>
      <c r="H15" t="s">
        <v>108</v>
      </c>
    </row>
    <row r="17" spans="2:12" ht="15.75" thickBot="1" x14ac:dyDescent="0.3"/>
    <row r="18" spans="2:12" ht="15.75" thickBot="1" x14ac:dyDescent="0.3">
      <c r="E18" s="250" t="s">
        <v>96</v>
      </c>
      <c r="F18" s="251"/>
      <c r="G18" s="252"/>
    </row>
    <row r="20" spans="2:12" x14ac:dyDescent="0.25">
      <c r="E20" t="s">
        <v>97</v>
      </c>
      <c r="F20">
        <v>394</v>
      </c>
      <c r="G20" t="s">
        <v>94</v>
      </c>
    </row>
    <row r="21" spans="2:12" x14ac:dyDescent="0.25">
      <c r="E21" t="s">
        <v>98</v>
      </c>
      <c r="F21">
        <v>127</v>
      </c>
      <c r="G21" t="s">
        <v>94</v>
      </c>
    </row>
    <row r="22" spans="2:12" x14ac:dyDescent="0.25">
      <c r="E22" t="s">
        <v>99</v>
      </c>
      <c r="F22">
        <v>858</v>
      </c>
      <c r="G22" t="s">
        <v>94</v>
      </c>
    </row>
    <row r="23" spans="2:12" x14ac:dyDescent="0.25">
      <c r="E23" t="s">
        <v>100</v>
      </c>
      <c r="F23">
        <v>805</v>
      </c>
      <c r="G23" t="s">
        <v>94</v>
      </c>
    </row>
    <row r="24" spans="2:12" ht="15.75" thickBot="1" x14ac:dyDescent="0.3">
      <c r="E24" t="s">
        <v>101</v>
      </c>
      <c r="F24">
        <v>370</v>
      </c>
      <c r="G24" t="s">
        <v>94</v>
      </c>
    </row>
    <row r="25" spans="2:12" ht="15.75" thickBot="1" x14ac:dyDescent="0.3">
      <c r="E25" s="257" t="s">
        <v>33</v>
      </c>
      <c r="F25" s="258">
        <f>SUM(F20:F24)</f>
        <v>2554</v>
      </c>
      <c r="G25" s="259" t="s">
        <v>94</v>
      </c>
    </row>
    <row r="27" spans="2:12" ht="15.75" thickBot="1" x14ac:dyDescent="0.3"/>
    <row r="28" spans="2:12" ht="15.75" thickBot="1" x14ac:dyDescent="0.3">
      <c r="C28" t="s">
        <v>105</v>
      </c>
      <c r="E28" s="253" t="s">
        <v>103</v>
      </c>
      <c r="F28" s="69">
        <v>70</v>
      </c>
      <c r="G28" s="69" t="s">
        <v>94</v>
      </c>
      <c r="H28" s="268" t="s">
        <v>104</v>
      </c>
      <c r="I28" s="269"/>
      <c r="J28" s="269"/>
      <c r="K28" s="269"/>
      <c r="L28" s="270"/>
    </row>
    <row r="29" spans="2:12" ht="15.75" thickBot="1" x14ac:dyDescent="0.3">
      <c r="H29" s="271"/>
      <c r="I29" s="272"/>
      <c r="J29" s="272"/>
      <c r="K29" s="272"/>
      <c r="L29" s="273"/>
    </row>
    <row r="30" spans="2:12" ht="15.75" thickBot="1" x14ac:dyDescent="0.3">
      <c r="B30" s="10" t="s">
        <v>112</v>
      </c>
      <c r="C30" s="277">
        <v>0.1</v>
      </c>
      <c r="E30" t="s">
        <v>111</v>
      </c>
      <c r="F30">
        <f>F25*C30</f>
        <v>255.4</v>
      </c>
      <c r="H30" s="271"/>
      <c r="I30" s="272"/>
      <c r="J30" s="272"/>
      <c r="K30" s="272"/>
      <c r="L30" s="273"/>
    </row>
    <row r="31" spans="2:12" x14ac:dyDescent="0.25">
      <c r="H31" s="271"/>
      <c r="I31" s="272"/>
      <c r="J31" s="272"/>
      <c r="K31" s="272"/>
      <c r="L31" s="273"/>
    </row>
    <row r="32" spans="2:12" x14ac:dyDescent="0.25">
      <c r="D32" s="263" t="s">
        <v>106</v>
      </c>
      <c r="E32" s="264" t="s">
        <v>102</v>
      </c>
      <c r="F32" s="264">
        <f>F15/F25*100</f>
        <v>1.0419193353616054</v>
      </c>
      <c r="G32" s="264" t="s">
        <v>42</v>
      </c>
      <c r="H32" s="271"/>
      <c r="I32" s="272"/>
      <c r="J32" s="272"/>
      <c r="K32" s="272"/>
      <c r="L32" s="273"/>
    </row>
    <row r="33" spans="4:12" ht="15.75" thickBot="1" x14ac:dyDescent="0.3">
      <c r="D33" s="265" t="s">
        <v>107</v>
      </c>
      <c r="E33" s="266" t="s">
        <v>102</v>
      </c>
      <c r="F33" s="266">
        <f>F28/F25*100</f>
        <v>2.7407987470634301</v>
      </c>
      <c r="G33" s="266" t="s">
        <v>42</v>
      </c>
      <c r="H33" s="274"/>
      <c r="I33" s="275"/>
      <c r="J33" s="275"/>
      <c r="K33" s="275"/>
      <c r="L33" s="276"/>
    </row>
    <row r="34" spans="4:12" ht="15.75" thickBot="1" x14ac:dyDescent="0.3"/>
    <row r="35" spans="4:12" ht="15.75" thickBot="1" x14ac:dyDescent="0.3">
      <c r="E35" s="260" t="s">
        <v>109</v>
      </c>
      <c r="F35" s="261"/>
      <c r="G35" s="262"/>
    </row>
  </sheetData>
  <mergeCells count="4">
    <mergeCell ref="E2:G2"/>
    <mergeCell ref="E18:G18"/>
    <mergeCell ref="H28:L33"/>
    <mergeCell ref="E35:G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Calores Requeridos</vt:lpstr>
      <vt:lpstr>Fcp</vt:lpstr>
      <vt:lpstr>Intervalos</vt:lpstr>
      <vt:lpstr>IDQ (RED 1)</vt:lpstr>
      <vt:lpstr>H - T</vt:lpstr>
      <vt:lpstr>Gran C Comp</vt:lpstr>
      <vt:lpstr>Cascadas</vt:lpstr>
      <vt:lpstr>Recuperación de Trabajo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</dc:creator>
  <cp:lastModifiedBy>Lior</cp:lastModifiedBy>
  <dcterms:created xsi:type="dcterms:W3CDTF">2015-06-05T18:19:34Z</dcterms:created>
  <dcterms:modified xsi:type="dcterms:W3CDTF">2020-06-19T22:22:23Z</dcterms:modified>
</cp:coreProperties>
</file>