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y_stuff\קורות חיים\Shutterfly\Homework assignment\Analysis assignment\"/>
    </mc:Choice>
  </mc:AlternateContent>
  <xr:revisionPtr revIDLastSave="0" documentId="13_ncr:1_{62995BFE-AED6-43F0-8F2E-60A12C56133E}" xr6:coauthVersionLast="45" xr6:coauthVersionMax="45" xr10:uidLastSave="{00000000-0000-0000-0000-000000000000}"/>
  <bookViews>
    <workbookView xWindow="9336" yWindow="4188" windowWidth="13704" windowHeight="8172" firstSheet="1" activeTab="1" xr2:uid="{7F17A91F-A003-450C-A719-2E2AD51D45ED}"/>
  </bookViews>
  <sheets>
    <sheet name="data" sheetId="2" r:id="rId1"/>
    <sheet name="Averages Calculations" sheetId="4" r:id="rId2"/>
    <sheet name="Conversions Calcula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6" l="1"/>
  <c r="G15" i="6"/>
  <c r="H15" i="6"/>
  <c r="I15" i="6"/>
  <c r="J15" i="6"/>
  <c r="E15" i="6"/>
  <c r="O5" i="4"/>
  <c r="E24" i="2" l="1"/>
  <c r="F24" i="2"/>
  <c r="E25" i="2"/>
  <c r="F25" i="2"/>
  <c r="F23" i="2"/>
  <c r="E23" i="2"/>
  <c r="G14" i="6"/>
  <c r="J34" i="6" s="1"/>
  <c r="J36" i="6" s="1"/>
  <c r="G13" i="6"/>
  <c r="J33" i="6" s="1"/>
  <c r="F13" i="6"/>
  <c r="E13" i="6"/>
  <c r="H33" i="6" s="1"/>
  <c r="O9" i="4"/>
  <c r="P9" i="4" s="1"/>
  <c r="K9" i="4"/>
  <c r="J9" i="4"/>
  <c r="I12" i="4"/>
  <c r="I5" i="4"/>
  <c r="I33" i="6"/>
  <c r="D22" i="6"/>
  <c r="C22" i="6"/>
  <c r="D20" i="6"/>
  <c r="C20" i="6"/>
  <c r="J14" i="6"/>
  <c r="M34" i="6" s="1"/>
  <c r="M36" i="6" s="1"/>
  <c r="I14" i="6"/>
  <c r="L34" i="6" s="1"/>
  <c r="L36" i="6" s="1"/>
  <c r="H14" i="6"/>
  <c r="K34" i="6" s="1"/>
  <c r="K36" i="6" s="1"/>
  <c r="F14" i="6"/>
  <c r="E14" i="6"/>
  <c r="H34" i="6" s="1"/>
  <c r="H36" i="6" s="1"/>
  <c r="J13" i="6"/>
  <c r="M33" i="6" s="1"/>
  <c r="I13" i="6"/>
  <c r="L33" i="6" s="1"/>
  <c r="H13" i="6"/>
  <c r="K33" i="6" s="1"/>
  <c r="K35" i="6" s="1"/>
  <c r="K24" i="4"/>
  <c r="O6" i="4"/>
  <c r="K32" i="4" s="1"/>
  <c r="O7" i="4"/>
  <c r="K40" i="4" s="1"/>
  <c r="O8" i="4"/>
  <c r="K48" i="4" s="1"/>
  <c r="O10" i="4"/>
  <c r="K31" i="4" s="1"/>
  <c r="O11" i="4"/>
  <c r="K39" i="4" s="1"/>
  <c r="O12" i="4"/>
  <c r="K47" i="4" s="1"/>
  <c r="K5" i="4"/>
  <c r="J24" i="4" s="1"/>
  <c r="K6" i="4"/>
  <c r="J32" i="4" s="1"/>
  <c r="K7" i="4"/>
  <c r="J40" i="4" s="1"/>
  <c r="K8" i="4"/>
  <c r="J48" i="4" s="1"/>
  <c r="J23" i="4"/>
  <c r="K10" i="4"/>
  <c r="K11" i="4"/>
  <c r="J39" i="4" s="1"/>
  <c r="K12" i="4"/>
  <c r="J47" i="4" s="1"/>
  <c r="I52" i="4"/>
  <c r="H50" i="4"/>
  <c r="G50" i="4"/>
  <c r="I51" i="4"/>
  <c r="H49" i="4"/>
  <c r="G49" i="4"/>
  <c r="I44" i="4"/>
  <c r="H42" i="4"/>
  <c r="G42" i="4"/>
  <c r="I43" i="4"/>
  <c r="H41" i="4"/>
  <c r="G41" i="4"/>
  <c r="I36" i="4"/>
  <c r="H34" i="4"/>
  <c r="G34" i="4"/>
  <c r="I35" i="4"/>
  <c r="H33" i="4"/>
  <c r="G33" i="4"/>
  <c r="G25" i="4"/>
  <c r="I28" i="4"/>
  <c r="I27" i="4"/>
  <c r="H26" i="4"/>
  <c r="H25" i="4"/>
  <c r="G26" i="4"/>
  <c r="I6" i="4"/>
  <c r="J12" i="4"/>
  <c r="J11" i="4"/>
  <c r="J10" i="4"/>
  <c r="I7" i="4"/>
  <c r="I8" i="4"/>
  <c r="I9" i="4"/>
  <c r="I10" i="4"/>
  <c r="I11" i="4"/>
  <c r="D23" i="4"/>
  <c r="C23" i="4"/>
  <c r="D21" i="4"/>
  <c r="C21" i="4"/>
  <c r="D25" i="2"/>
  <c r="C25" i="2"/>
  <c r="D23" i="2"/>
  <c r="C23" i="2"/>
  <c r="H35" i="6" l="1"/>
  <c r="H37" i="6" s="1"/>
  <c r="E16" i="6" s="1"/>
  <c r="E17" i="6" s="1"/>
  <c r="P12" i="4"/>
  <c r="I35" i="6"/>
  <c r="I34" i="6"/>
  <c r="I36" i="6" s="1"/>
  <c r="M35" i="6"/>
  <c r="M37" i="6" s="1"/>
  <c r="J16" i="6" s="1"/>
  <c r="J17" i="6" s="1"/>
  <c r="J37" i="6"/>
  <c r="G16" i="6" s="1"/>
  <c r="G17" i="6" s="1"/>
  <c r="J35" i="6"/>
  <c r="L35" i="6"/>
  <c r="L37" i="6" s="1"/>
  <c r="I16" i="6" s="1"/>
  <c r="I17" i="6" s="1"/>
  <c r="K37" i="6"/>
  <c r="H16" i="6" s="1"/>
  <c r="H17" i="6" s="1"/>
  <c r="N40" i="4"/>
  <c r="N25" i="4"/>
  <c r="N24" i="4"/>
  <c r="O48" i="4"/>
  <c r="N32" i="4"/>
  <c r="O32" i="4"/>
  <c r="O40" i="4"/>
  <c r="O24" i="4"/>
  <c r="N48" i="4"/>
  <c r="N49" i="4"/>
  <c r="O25" i="4"/>
  <c r="O47" i="4"/>
  <c r="O33" i="4"/>
  <c r="N41" i="4"/>
  <c r="O41" i="4"/>
  <c r="L10" i="4"/>
  <c r="O31" i="4"/>
  <c r="N23" i="4"/>
  <c r="J31" i="4"/>
  <c r="N31" i="4" s="1"/>
  <c r="K23" i="4"/>
  <c r="O23" i="4" s="1"/>
  <c r="N47" i="4"/>
  <c r="N39" i="4"/>
  <c r="O39" i="4"/>
  <c r="O49" i="4"/>
  <c r="N33" i="4"/>
  <c r="L11" i="4"/>
  <c r="P10" i="4"/>
  <c r="L12" i="4"/>
  <c r="P11" i="4"/>
  <c r="L9" i="4"/>
  <c r="I37" i="6" l="1"/>
  <c r="F16" i="6" s="1"/>
  <c r="F17" i="6" s="1"/>
  <c r="O50" i="4"/>
  <c r="Q12" i="4" s="1"/>
  <c r="R12" i="4" s="1"/>
  <c r="O34" i="4"/>
  <c r="Q10" i="4" s="1"/>
  <c r="R10" i="4" s="1"/>
  <c r="N50" i="4"/>
  <c r="M12" i="4" s="1"/>
  <c r="N12" i="4" s="1"/>
  <c r="O26" i="4"/>
  <c r="Q9" i="4" s="1"/>
  <c r="R9" i="4" s="1"/>
  <c r="N26" i="4"/>
  <c r="M9" i="4" s="1"/>
  <c r="N9" i="4" s="1"/>
  <c r="O42" i="4"/>
  <c r="Q11" i="4" s="1"/>
  <c r="R11" i="4" s="1"/>
  <c r="N42" i="4"/>
  <c r="M11" i="4" s="1"/>
  <c r="N11" i="4" s="1"/>
  <c r="N34" i="4"/>
  <c r="M10" i="4" s="1"/>
  <c r="N10" i="4" s="1"/>
</calcChain>
</file>

<file path=xl/sharedStrings.xml><?xml version="1.0" encoding="utf-8"?>
<sst xmlns="http://schemas.openxmlformats.org/spreadsheetml/2006/main" count="242" uniqueCount="62">
  <si>
    <t>campaign_name</t>
  </si>
  <si>
    <t>segment_name</t>
  </si>
  <si>
    <t>Pperiod</t>
  </si>
  <si>
    <t>launch_date</t>
  </si>
  <si>
    <t>buyers</t>
  </si>
  <si>
    <t>Orders</t>
  </si>
  <si>
    <t>revenue</t>
  </si>
  <si>
    <t>SFLY_CRM_FREECALDENDAR</t>
  </si>
  <si>
    <t>MX Control 1</t>
  </si>
  <si>
    <t>Campaign</t>
  </si>
  <si>
    <t>Post</t>
  </si>
  <si>
    <t>Pre</t>
  </si>
  <si>
    <t>MX Test 1</t>
  </si>
  <si>
    <t>Campaign through post</t>
  </si>
  <si>
    <t>sents</t>
  </si>
  <si>
    <t>unique_opens</t>
  </si>
  <si>
    <t>unique_clicks</t>
  </si>
  <si>
    <t>bounces</t>
  </si>
  <si>
    <t>complains</t>
  </si>
  <si>
    <t>SFLY_CRM_FREECALENDAR</t>
  </si>
  <si>
    <t>Period</t>
  </si>
  <si>
    <t>Start</t>
  </si>
  <si>
    <t>End</t>
  </si>
  <si>
    <t>Raw data for test 2</t>
  </si>
  <si>
    <t>variance_revenue*</t>
  </si>
  <si>
    <t xml:space="preserve">*Assume variance in revenue to be at user level. </t>
  </si>
  <si>
    <t>my note: Campaign through post= all data resulted by the campaign (inc. after the campaign period)</t>
  </si>
  <si>
    <t>opening percentage</t>
  </si>
  <si>
    <t>click through rate</t>
  </si>
  <si>
    <t>bounce rate</t>
  </si>
  <si>
    <t>complains rate</t>
  </si>
  <si>
    <t>of sents</t>
  </si>
  <si>
    <t>of unique_openers</t>
  </si>
  <si>
    <t>orders per buyer</t>
  </si>
  <si>
    <t>revenue per buyer</t>
  </si>
  <si>
    <t>revenue per order</t>
  </si>
  <si>
    <t>Average</t>
  </si>
  <si>
    <t>Average percent diff. test and control</t>
  </si>
  <si>
    <t>percent diff. test and control</t>
  </si>
  <si>
    <t xml:space="preserve">A = ABSOLUTE[(mean1-mean2)                                                  </t>
  </si>
  <si>
    <t>B = SQROOT{[(aud size1)*(variance1) + (aud size2)*(variance2)] / (aud size1 + aud size2 -2)}</t>
  </si>
  <si>
    <t>C = SQROOT[(Aud size1 + Aud size2)/(Aud size1)*(Aud size2)]</t>
  </si>
  <si>
    <r>
      <t>Continuous metric, t statistic</t>
    </r>
    <r>
      <rPr>
        <sz val="12"/>
        <color rgb="FF000000"/>
        <rFont val="Calibri"/>
        <family val="2"/>
      </rPr>
      <t xml:space="preserve"> = A/(B*C)</t>
    </r>
  </si>
  <si>
    <t>orders</t>
  </si>
  <si>
    <t>aud1 (test)</t>
  </si>
  <si>
    <t>aud2 (control)</t>
  </si>
  <si>
    <t>var1 (test)</t>
  </si>
  <si>
    <t>var2  (control)</t>
  </si>
  <si>
    <t>A=</t>
  </si>
  <si>
    <t>B=</t>
  </si>
  <si>
    <t>C=</t>
  </si>
  <si>
    <t>mean1 (test)</t>
  </si>
  <si>
    <t>mean2 (control)</t>
  </si>
  <si>
    <t>t statistic</t>
  </si>
  <si>
    <t>t statistic=</t>
  </si>
  <si>
    <t>T-statistic</t>
  </si>
  <si>
    <t>T statistic value and corresponding threshold values</t>
  </si>
  <si>
    <t>std dev2 (control)</t>
  </si>
  <si>
    <t>std dev1 (test)</t>
  </si>
  <si>
    <t>Response metric, t statistic= [SQROOT(mean1-mean2)^2]/[(std dev1)^2 + (std dev2)^2]</t>
  </si>
  <si>
    <t>test significantly different than control? (95% significance)</t>
  </si>
  <si>
    <t>t statistic value and corresponding threshold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</si>
</sst>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000000000000"/>
    <numFmt numFmtId="178" formatCode="0.000000000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1"/>
      <color theme="1"/>
      <name val="Calibri"/>
      <family val="2"/>
    </font>
    <font>
      <b/>
      <sz val="12"/>
      <color rgb="FF222222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1" fillId="2" borderId="1" xfId="0" applyFont="1" applyFill="1" applyBorder="1"/>
    <xf numFmtId="164" fontId="0" fillId="0" borderId="0" xfId="0" applyNumberFormat="1"/>
    <xf numFmtId="0" fontId="1" fillId="3" borderId="0" xfId="0" applyFont="1" applyFill="1"/>
    <xf numFmtId="0" fontId="2" fillId="0" borderId="0" xfId="0" applyFont="1"/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wrapText="1"/>
    </xf>
    <xf numFmtId="164" fontId="0" fillId="0" borderId="1" xfId="1" applyNumberFormat="1" applyFont="1" applyBorder="1" applyAlignment="1">
      <alignment horizontal="center" wrapText="1"/>
    </xf>
    <xf numFmtId="0" fontId="0" fillId="5" borderId="1" xfId="0" applyFill="1" applyBorder="1" applyAlignment="1">
      <alignment wrapText="1"/>
    </xf>
    <xf numFmtId="3" fontId="0" fillId="5" borderId="1" xfId="0" applyNumberFormat="1" applyFill="1" applyBorder="1" applyAlignment="1">
      <alignment wrapText="1"/>
    </xf>
    <xf numFmtId="4" fontId="0" fillId="5" borderId="1" xfId="0" applyNumberFormat="1" applyFill="1" applyBorder="1" applyAlignment="1">
      <alignment wrapText="1"/>
    </xf>
    <xf numFmtId="0" fontId="0" fillId="6" borderId="1" xfId="0" applyFill="1" applyBorder="1" applyAlignment="1">
      <alignment wrapText="1"/>
    </xf>
    <xf numFmtId="3" fontId="0" fillId="6" borderId="1" xfId="0" applyNumberFormat="1" applyFill="1" applyBorder="1" applyAlignment="1">
      <alignment wrapText="1"/>
    </xf>
    <xf numFmtId="4" fontId="0" fillId="6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3" fontId="0" fillId="7" borderId="1" xfId="0" applyNumberFormat="1" applyFill="1" applyBorder="1" applyAlignment="1">
      <alignment wrapText="1"/>
    </xf>
    <xf numFmtId="4" fontId="0" fillId="7" borderId="1" xfId="0" applyNumberFormat="1" applyFill="1" applyBorder="1" applyAlignment="1">
      <alignment wrapText="1"/>
    </xf>
    <xf numFmtId="0" fontId="0" fillId="8" borderId="1" xfId="0" applyFill="1" applyBorder="1" applyAlignment="1">
      <alignment wrapText="1"/>
    </xf>
    <xf numFmtId="3" fontId="0" fillId="8" borderId="1" xfId="0" applyNumberFormat="1" applyFill="1" applyBorder="1" applyAlignment="1">
      <alignment wrapText="1"/>
    </xf>
    <xf numFmtId="4" fontId="0" fillId="8" borderId="1" xfId="0" applyNumberFormat="1" applyFill="1" applyBorder="1" applyAlignment="1">
      <alignment wrapText="1"/>
    </xf>
    <xf numFmtId="164" fontId="0" fillId="6" borderId="1" xfId="1" applyNumberFormat="1" applyFont="1" applyFill="1" applyBorder="1" applyAlignment="1">
      <alignment wrapText="1"/>
    </xf>
    <xf numFmtId="164" fontId="0" fillId="7" borderId="1" xfId="1" applyNumberFormat="1" applyFont="1" applyFill="1" applyBorder="1" applyAlignment="1">
      <alignment wrapText="1"/>
    </xf>
    <xf numFmtId="164" fontId="0" fillId="8" borderId="1" xfId="1" applyNumberFormat="1" applyFont="1" applyFill="1" applyBorder="1" applyAlignment="1">
      <alignment wrapText="1"/>
    </xf>
    <xf numFmtId="164" fontId="0" fillId="5" borderId="1" xfId="1" applyNumberFormat="1" applyFont="1" applyFill="1" applyBorder="1" applyAlignment="1">
      <alignment wrapText="1"/>
    </xf>
    <xf numFmtId="0" fontId="6" fillId="0" borderId="0" xfId="0" applyFont="1"/>
    <xf numFmtId="3" fontId="0" fillId="0" borderId="0" xfId="0" applyNumberFormat="1" applyAlignment="1">
      <alignment wrapText="1"/>
    </xf>
    <xf numFmtId="2" fontId="0" fillId="0" borderId="1" xfId="0" applyNumberFormat="1" applyBorder="1" applyAlignment="1">
      <alignment horizontal="center" wrapText="1"/>
    </xf>
    <xf numFmtId="9" fontId="5" fillId="9" borderId="15" xfId="0" applyNumberFormat="1" applyFont="1" applyFill="1" applyBorder="1" applyAlignment="1">
      <alignment horizontal="center" vertical="center" wrapText="1"/>
    </xf>
    <xf numFmtId="9" fontId="5" fillId="9" borderId="16" xfId="0" applyNumberFormat="1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2" fontId="1" fillId="5" borderId="1" xfId="1" applyNumberFormat="1" applyFont="1" applyFill="1" applyBorder="1" applyAlignment="1">
      <alignment wrapText="1"/>
    </xf>
    <xf numFmtId="2" fontId="1" fillId="6" borderId="1" xfId="1" applyNumberFormat="1" applyFont="1" applyFill="1" applyBorder="1" applyAlignment="1">
      <alignment wrapText="1"/>
    </xf>
    <xf numFmtId="2" fontId="1" fillId="7" borderId="1" xfId="1" applyNumberFormat="1" applyFont="1" applyFill="1" applyBorder="1" applyAlignment="1">
      <alignment wrapText="1"/>
    </xf>
    <xf numFmtId="2" fontId="1" fillId="8" borderId="1" xfId="1" applyNumberFormat="1" applyFont="1" applyFill="1" applyBorder="1" applyAlignment="1">
      <alignment wrapText="1"/>
    </xf>
    <xf numFmtId="165" fontId="0" fillId="0" borderId="0" xfId="0" applyNumberFormat="1" applyAlignment="1">
      <alignment wrapText="1"/>
    </xf>
    <xf numFmtId="0" fontId="0" fillId="0" borderId="4" xfId="0" applyBorder="1" applyAlignment="1">
      <alignment wrapText="1"/>
    </xf>
    <xf numFmtId="9" fontId="0" fillId="0" borderId="0" xfId="0" applyNumberForma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178" fontId="8" fillId="0" borderId="0" xfId="0" applyNumberFormat="1" applyFont="1"/>
    <xf numFmtId="164" fontId="0" fillId="0" borderId="1" xfId="0" applyNumberForma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01EF-4EC5-4422-91EF-BD4A0776B331}">
  <dimension ref="B2:K25"/>
  <sheetViews>
    <sheetView showGridLines="0" topLeftCell="D1" zoomScale="70" zoomScaleNormal="70" workbookViewId="0">
      <selection activeCell="D9" sqref="D9"/>
    </sheetView>
  </sheetViews>
  <sheetFormatPr defaultRowHeight="13.8" x14ac:dyDescent="0.25"/>
  <cols>
    <col min="2" max="2" width="40.09765625" bestFit="1" customWidth="1"/>
    <col min="3" max="3" width="14.09765625" bestFit="1" customWidth="1"/>
    <col min="4" max="4" width="34.8984375" bestFit="1" customWidth="1"/>
    <col min="5" max="5" width="13.796875" bestFit="1" customWidth="1"/>
    <col min="6" max="6" width="11.3984375" bestFit="1" customWidth="1"/>
    <col min="7" max="7" width="13.09765625" bestFit="1" customWidth="1"/>
    <col min="8" max="8" width="17.19921875" bestFit="1" customWidth="1"/>
    <col min="9" max="9" width="16.09765625" bestFit="1" customWidth="1"/>
    <col min="10" max="10" width="11.59765625" bestFit="1" customWidth="1"/>
  </cols>
  <sheetData>
    <row r="2" spans="2:9" x14ac:dyDescent="0.25">
      <c r="B2" s="8" t="s">
        <v>23</v>
      </c>
    </row>
    <row r="4" spans="2:9" x14ac:dyDescent="0.25">
      <c r="B4" s="1" t="s">
        <v>0</v>
      </c>
      <c r="C4" s="1" t="s">
        <v>1</v>
      </c>
      <c r="D4" s="1" t="s">
        <v>2</v>
      </c>
      <c r="E4" s="1" t="s">
        <v>4</v>
      </c>
      <c r="F4" s="1" t="s">
        <v>5</v>
      </c>
      <c r="G4" s="1" t="s">
        <v>6</v>
      </c>
      <c r="H4" s="1" t="s">
        <v>24</v>
      </c>
    </row>
    <row r="5" spans="2:9" x14ac:dyDescent="0.25">
      <c r="B5" s="2" t="s">
        <v>7</v>
      </c>
      <c r="C5" s="2" t="s">
        <v>8</v>
      </c>
      <c r="D5" s="2" t="s">
        <v>9</v>
      </c>
      <c r="E5" s="4">
        <v>6883</v>
      </c>
      <c r="F5" s="4">
        <v>7766</v>
      </c>
      <c r="G5" s="5">
        <v>257399.44</v>
      </c>
      <c r="H5" s="5">
        <v>2226.37</v>
      </c>
      <c r="I5" s="7"/>
    </row>
    <row r="6" spans="2:9" x14ac:dyDescent="0.25">
      <c r="B6" s="2" t="s">
        <v>7</v>
      </c>
      <c r="C6" s="2" t="s">
        <v>8</v>
      </c>
      <c r="D6" s="2" t="s">
        <v>13</v>
      </c>
      <c r="E6" s="4">
        <v>21459</v>
      </c>
      <c r="F6" s="4">
        <v>27746</v>
      </c>
      <c r="G6" s="5">
        <v>890468.72</v>
      </c>
      <c r="H6" s="5">
        <v>3140.35</v>
      </c>
      <c r="I6" s="7"/>
    </row>
    <row r="7" spans="2:9" x14ac:dyDescent="0.25">
      <c r="B7" s="2" t="s">
        <v>7</v>
      </c>
      <c r="C7" s="2" t="s">
        <v>8</v>
      </c>
      <c r="D7" s="2" t="s">
        <v>10</v>
      </c>
      <c r="E7" s="4">
        <v>16223</v>
      </c>
      <c r="F7" s="4">
        <v>19980</v>
      </c>
      <c r="G7" s="5">
        <v>633069.28</v>
      </c>
      <c r="H7" s="5">
        <v>3033.27</v>
      </c>
      <c r="I7" s="7"/>
    </row>
    <row r="8" spans="2:9" x14ac:dyDescent="0.25">
      <c r="B8" s="2" t="s">
        <v>7</v>
      </c>
      <c r="C8" s="2" t="s">
        <v>8</v>
      </c>
      <c r="D8" s="2" t="s">
        <v>11</v>
      </c>
      <c r="E8" s="4">
        <v>12032</v>
      </c>
      <c r="F8" s="4">
        <v>14794</v>
      </c>
      <c r="G8" s="5">
        <v>457254.19</v>
      </c>
      <c r="H8" s="5">
        <v>2997.56</v>
      </c>
      <c r="I8" s="7"/>
    </row>
    <row r="9" spans="2:9" x14ac:dyDescent="0.25">
      <c r="B9" s="2" t="s">
        <v>7</v>
      </c>
      <c r="C9" s="2" t="s">
        <v>12</v>
      </c>
      <c r="D9" s="2" t="s">
        <v>9</v>
      </c>
      <c r="E9" s="4">
        <v>10491</v>
      </c>
      <c r="F9" s="4">
        <v>11827</v>
      </c>
      <c r="G9" s="5">
        <v>328801.59999999998</v>
      </c>
      <c r="H9" s="5">
        <v>2088.83</v>
      </c>
      <c r="I9" s="7"/>
    </row>
    <row r="10" spans="2:9" x14ac:dyDescent="0.25">
      <c r="B10" s="2" t="s">
        <v>7</v>
      </c>
      <c r="C10" s="2" t="s">
        <v>12</v>
      </c>
      <c r="D10" s="2" t="s">
        <v>13</v>
      </c>
      <c r="E10" s="4">
        <v>24170</v>
      </c>
      <c r="F10" s="4">
        <v>31753</v>
      </c>
      <c r="G10" s="5">
        <v>953844.67</v>
      </c>
      <c r="H10" s="5">
        <v>2796.27</v>
      </c>
      <c r="I10" s="7"/>
    </row>
    <row r="11" spans="2:9" x14ac:dyDescent="0.25">
      <c r="B11" s="2" t="s">
        <v>7</v>
      </c>
      <c r="C11" s="2" t="s">
        <v>12</v>
      </c>
      <c r="D11" s="2" t="s">
        <v>10</v>
      </c>
      <c r="E11" s="4">
        <v>16065</v>
      </c>
      <c r="F11" s="4">
        <v>19926</v>
      </c>
      <c r="G11" s="5">
        <v>625043.06999999995</v>
      </c>
      <c r="H11" s="5">
        <v>2643.56</v>
      </c>
      <c r="I11" s="7"/>
    </row>
    <row r="12" spans="2:9" x14ac:dyDescent="0.25">
      <c r="B12" s="2" t="s">
        <v>7</v>
      </c>
      <c r="C12" s="2" t="s">
        <v>12</v>
      </c>
      <c r="D12" s="2" t="s">
        <v>11</v>
      </c>
      <c r="E12" s="4">
        <v>11922</v>
      </c>
      <c r="F12" s="4">
        <v>14780</v>
      </c>
      <c r="G12" s="5">
        <v>456800.44</v>
      </c>
      <c r="H12" s="5">
        <v>2635.6</v>
      </c>
      <c r="I12" s="7"/>
    </row>
    <row r="13" spans="2:9" x14ac:dyDescent="0.25">
      <c r="B13" s="9" t="s">
        <v>25</v>
      </c>
    </row>
    <row r="17" spans="2:11" x14ac:dyDescent="0.25">
      <c r="B17" s="6" t="s">
        <v>0</v>
      </c>
      <c r="C17" s="6" t="s">
        <v>3</v>
      </c>
      <c r="D17" s="6" t="s">
        <v>1</v>
      </c>
      <c r="E17" s="6" t="s">
        <v>14</v>
      </c>
      <c r="F17" s="6" t="s">
        <v>15</v>
      </c>
      <c r="G17" s="6" t="s">
        <v>16</v>
      </c>
      <c r="H17" s="6" t="s">
        <v>17</v>
      </c>
      <c r="I17" s="6" t="s">
        <v>18</v>
      </c>
    </row>
    <row r="18" spans="2:11" x14ac:dyDescent="0.25">
      <c r="B18" s="2" t="s">
        <v>19</v>
      </c>
      <c r="C18" s="3">
        <v>43474</v>
      </c>
      <c r="D18" s="2" t="s">
        <v>12</v>
      </c>
      <c r="E18" s="4">
        <v>214206</v>
      </c>
      <c r="F18" s="4">
        <v>29565</v>
      </c>
      <c r="G18" s="4">
        <v>6702</v>
      </c>
      <c r="H18" s="2">
        <v>30</v>
      </c>
      <c r="I18" s="2">
        <v>1</v>
      </c>
      <c r="J18" s="7"/>
      <c r="K18" s="7"/>
    </row>
    <row r="19" spans="2:11" x14ac:dyDescent="0.25">
      <c r="B19" s="2" t="s">
        <v>19</v>
      </c>
      <c r="C19" s="3">
        <v>43474</v>
      </c>
      <c r="D19" s="2" t="s">
        <v>8</v>
      </c>
      <c r="E19" s="4">
        <v>214206</v>
      </c>
      <c r="F19" s="4">
        <v>28599</v>
      </c>
      <c r="G19" s="4">
        <v>4500</v>
      </c>
      <c r="H19" s="2">
        <v>82</v>
      </c>
      <c r="I19" s="2">
        <v>9</v>
      </c>
      <c r="J19" s="7"/>
      <c r="K19" s="7"/>
    </row>
    <row r="22" spans="2:11" x14ac:dyDescent="0.25">
      <c r="B22" s="1" t="s">
        <v>20</v>
      </c>
      <c r="C22" s="1" t="s">
        <v>21</v>
      </c>
      <c r="D22" s="1" t="s">
        <v>22</v>
      </c>
    </row>
    <row r="23" spans="2:11" x14ac:dyDescent="0.25">
      <c r="B23" s="2" t="s">
        <v>11</v>
      </c>
      <c r="C23" s="3">
        <f>C24-14</f>
        <v>43095</v>
      </c>
      <c r="D23" s="3">
        <f>C24-1</f>
        <v>43108</v>
      </c>
      <c r="E23">
        <f>MONTH(C23)</f>
        <v>12</v>
      </c>
      <c r="F23">
        <f>MONTH(D23)</f>
        <v>1</v>
      </c>
    </row>
    <row r="24" spans="2:11" x14ac:dyDescent="0.25">
      <c r="B24" s="2" t="s">
        <v>9</v>
      </c>
      <c r="C24" s="3">
        <v>43109</v>
      </c>
      <c r="D24" s="3">
        <v>43113</v>
      </c>
      <c r="E24">
        <f t="shared" ref="E24:E25" si="0">MONTH(C24)</f>
        <v>1</v>
      </c>
      <c r="F24">
        <f t="shared" ref="F24:F25" si="1">MONTH(D24)</f>
        <v>1</v>
      </c>
    </row>
    <row r="25" spans="2:11" x14ac:dyDescent="0.25">
      <c r="B25" s="2" t="s">
        <v>10</v>
      </c>
      <c r="C25" s="3">
        <f>D24+1</f>
        <v>43114</v>
      </c>
      <c r="D25" s="3">
        <f>D24+14</f>
        <v>43127</v>
      </c>
      <c r="E25">
        <f t="shared" si="0"/>
        <v>1</v>
      </c>
      <c r="F25">
        <f t="shared" si="1"/>
        <v>1</v>
      </c>
    </row>
  </sheetData>
  <sortState xmlns:xlrd2="http://schemas.microsoft.com/office/spreadsheetml/2017/richdata2" ref="B5:I12">
    <sortCondition ref="C5:C12"/>
    <sortCondition ref="D5:D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BA66-4E79-420A-9B05-DFBE54EADE46}">
  <dimension ref="B2:T52"/>
  <sheetViews>
    <sheetView tabSelected="1" zoomScale="70" zoomScaleNormal="70" workbookViewId="0">
      <selection activeCell="J26" sqref="J26"/>
    </sheetView>
  </sheetViews>
  <sheetFormatPr defaultRowHeight="13.8" x14ac:dyDescent="0.25"/>
  <cols>
    <col min="1" max="1" width="8.796875" style="11"/>
    <col min="2" max="2" width="36" style="11" bestFit="1" customWidth="1"/>
    <col min="3" max="3" width="16.69921875" style="11" customWidth="1"/>
    <col min="4" max="4" width="21.69921875" style="11" customWidth="1"/>
    <col min="5" max="5" width="13.59765625" style="11" customWidth="1"/>
    <col min="6" max="6" width="18.296875" style="11" customWidth="1"/>
    <col min="7" max="7" width="19.59765625" style="11" customWidth="1"/>
    <col min="8" max="8" width="18.5" style="11" customWidth="1"/>
    <col min="9" max="9" width="11" style="11" customWidth="1"/>
    <col min="10" max="11" width="20.296875" style="11" customWidth="1"/>
    <col min="12" max="12" width="20" style="11" customWidth="1"/>
    <col min="13" max="16" width="20.296875" style="11" customWidth="1"/>
    <col min="17" max="17" width="20" style="11" customWidth="1"/>
    <col min="18" max="18" width="20.296875" style="11" customWidth="1"/>
    <col min="19" max="19" width="22.59765625" style="11" customWidth="1"/>
    <col min="20" max="20" width="18" style="11" customWidth="1"/>
    <col min="21" max="22" width="8.796875" style="11"/>
    <col min="23" max="23" width="9.59765625" style="11" bestFit="1" customWidth="1"/>
    <col min="24" max="24" width="8.796875" style="11"/>
    <col min="25" max="25" width="12.8984375" style="11" customWidth="1"/>
    <col min="26" max="27" width="11" style="11" customWidth="1"/>
    <col min="28" max="16384" width="8.796875" style="11"/>
  </cols>
  <sheetData>
    <row r="2" spans="2:19" x14ac:dyDescent="0.25">
      <c r="B2" s="10" t="s">
        <v>23</v>
      </c>
    </row>
    <row r="3" spans="2:19" ht="27.6" customHeight="1" x14ac:dyDescent="0.25">
      <c r="C3" s="77" t="s">
        <v>1</v>
      </c>
      <c r="D3" s="73" t="s">
        <v>2</v>
      </c>
      <c r="E3" s="73" t="s">
        <v>4</v>
      </c>
      <c r="F3" s="73" t="s">
        <v>5</v>
      </c>
      <c r="G3" s="73" t="s">
        <v>6</v>
      </c>
      <c r="H3" s="75" t="s">
        <v>24</v>
      </c>
      <c r="I3" s="61" t="s">
        <v>33</v>
      </c>
      <c r="J3" s="63"/>
      <c r="K3" s="61" t="s">
        <v>34</v>
      </c>
      <c r="L3" s="62"/>
      <c r="M3" s="62"/>
      <c r="N3" s="63"/>
      <c r="O3" s="61" t="s">
        <v>35</v>
      </c>
      <c r="P3" s="62"/>
      <c r="Q3" s="62"/>
      <c r="R3" s="62"/>
    </row>
    <row r="4" spans="2:19" ht="55.2" x14ac:dyDescent="0.25">
      <c r="B4" s="12" t="s">
        <v>0</v>
      </c>
      <c r="C4" s="78"/>
      <c r="D4" s="74"/>
      <c r="E4" s="74"/>
      <c r="F4" s="74"/>
      <c r="G4" s="74"/>
      <c r="H4" s="76"/>
      <c r="I4" s="22" t="s">
        <v>36</v>
      </c>
      <c r="J4" s="22" t="s">
        <v>37</v>
      </c>
      <c r="K4" s="22" t="s">
        <v>36</v>
      </c>
      <c r="L4" s="22" t="s">
        <v>37</v>
      </c>
      <c r="M4" s="22" t="s">
        <v>55</v>
      </c>
      <c r="N4" s="23" t="s">
        <v>60</v>
      </c>
      <c r="O4" s="22" t="s">
        <v>36</v>
      </c>
      <c r="P4" s="22" t="s">
        <v>37</v>
      </c>
      <c r="Q4" s="22" t="s">
        <v>55</v>
      </c>
      <c r="R4" s="22" t="s">
        <v>60</v>
      </c>
    </row>
    <row r="5" spans="2:19" x14ac:dyDescent="0.25">
      <c r="B5" s="27" t="s">
        <v>7</v>
      </c>
      <c r="C5" s="27" t="s">
        <v>8</v>
      </c>
      <c r="D5" s="27" t="s">
        <v>9</v>
      </c>
      <c r="E5" s="28">
        <v>6883</v>
      </c>
      <c r="F5" s="28">
        <v>7766</v>
      </c>
      <c r="G5" s="29">
        <v>257399.44</v>
      </c>
      <c r="H5" s="29">
        <v>2226.37</v>
      </c>
      <c r="I5" s="29">
        <f t="shared" ref="I5:I12" si="0">F5/E5</f>
        <v>1.1282870841202963</v>
      </c>
      <c r="J5" s="29"/>
      <c r="K5" s="29">
        <f t="shared" ref="K5:K12" si="1">G5/E5</f>
        <v>37.396402731367139</v>
      </c>
      <c r="L5" s="29"/>
      <c r="M5" s="29"/>
      <c r="N5" s="29"/>
      <c r="O5" s="29">
        <f>G5/F5</f>
        <v>33.144403811485965</v>
      </c>
      <c r="P5" s="29"/>
      <c r="Q5" s="29"/>
      <c r="R5" s="29"/>
    </row>
    <row r="6" spans="2:19" x14ac:dyDescent="0.25">
      <c r="B6" s="30" t="s">
        <v>7</v>
      </c>
      <c r="C6" s="30" t="s">
        <v>8</v>
      </c>
      <c r="D6" s="30" t="s">
        <v>13</v>
      </c>
      <c r="E6" s="31">
        <v>21459</v>
      </c>
      <c r="F6" s="31">
        <v>27746</v>
      </c>
      <c r="G6" s="32">
        <v>890468.72</v>
      </c>
      <c r="H6" s="32">
        <v>3140.35</v>
      </c>
      <c r="I6" s="32">
        <f t="shared" si="0"/>
        <v>1.2929773055594389</v>
      </c>
      <c r="J6" s="32"/>
      <c r="K6" s="32">
        <f t="shared" si="1"/>
        <v>41.496282212591453</v>
      </c>
      <c r="L6" s="32"/>
      <c r="M6" s="32"/>
      <c r="N6" s="32"/>
      <c r="O6" s="32">
        <f t="shared" ref="O5:O12" si="2">G6/F6</f>
        <v>32.093588985799755</v>
      </c>
      <c r="P6" s="32"/>
      <c r="Q6" s="32"/>
      <c r="R6" s="32"/>
    </row>
    <row r="7" spans="2:19" x14ac:dyDescent="0.25">
      <c r="B7" s="33" t="s">
        <v>7</v>
      </c>
      <c r="C7" s="33" t="s">
        <v>8</v>
      </c>
      <c r="D7" s="33" t="s">
        <v>10</v>
      </c>
      <c r="E7" s="34">
        <v>16223</v>
      </c>
      <c r="F7" s="34">
        <v>19980</v>
      </c>
      <c r="G7" s="35">
        <v>633069.28</v>
      </c>
      <c r="H7" s="35">
        <v>3033.27</v>
      </c>
      <c r="I7" s="35">
        <f t="shared" si="0"/>
        <v>1.2315847870307588</v>
      </c>
      <c r="J7" s="35"/>
      <c r="K7" s="35">
        <f t="shared" si="1"/>
        <v>39.022947666892684</v>
      </c>
      <c r="L7" s="35"/>
      <c r="M7" s="35"/>
      <c r="N7" s="35"/>
      <c r="O7" s="35">
        <f t="shared" si="2"/>
        <v>31.685149149149151</v>
      </c>
      <c r="P7" s="35"/>
      <c r="Q7" s="35"/>
      <c r="R7" s="35"/>
    </row>
    <row r="8" spans="2:19" x14ac:dyDescent="0.25">
      <c r="B8" s="36" t="s">
        <v>7</v>
      </c>
      <c r="C8" s="36" t="s">
        <v>8</v>
      </c>
      <c r="D8" s="36" t="s">
        <v>11</v>
      </c>
      <c r="E8" s="37">
        <v>12032</v>
      </c>
      <c r="F8" s="37">
        <v>14794</v>
      </c>
      <c r="G8" s="38">
        <v>457254.19</v>
      </c>
      <c r="H8" s="38">
        <v>2997.56</v>
      </c>
      <c r="I8" s="38">
        <f t="shared" si="0"/>
        <v>1.2295545212765957</v>
      </c>
      <c r="J8" s="38"/>
      <c r="K8" s="38">
        <f t="shared" si="1"/>
        <v>38.003174035904259</v>
      </c>
      <c r="L8" s="38"/>
      <c r="M8" s="38"/>
      <c r="N8" s="38"/>
      <c r="O8" s="38">
        <f t="shared" si="2"/>
        <v>30.908083682574016</v>
      </c>
      <c r="P8" s="38"/>
      <c r="Q8" s="38"/>
      <c r="R8" s="38"/>
    </row>
    <row r="9" spans="2:19" x14ac:dyDescent="0.25">
      <c r="B9" s="27" t="s">
        <v>7</v>
      </c>
      <c r="C9" s="27" t="s">
        <v>12</v>
      </c>
      <c r="D9" s="27" t="s">
        <v>9</v>
      </c>
      <c r="E9" s="28">
        <v>10491</v>
      </c>
      <c r="F9" s="28">
        <v>11827</v>
      </c>
      <c r="G9" s="29">
        <v>328801.59999999998</v>
      </c>
      <c r="H9" s="29">
        <v>2088.83</v>
      </c>
      <c r="I9" s="29">
        <f t="shared" si="0"/>
        <v>1.12734725002383</v>
      </c>
      <c r="J9" s="42">
        <f>G9/G5-1</f>
        <v>0.27739827250595406</v>
      </c>
      <c r="K9" s="29">
        <f t="shared" si="1"/>
        <v>31.341302068439614</v>
      </c>
      <c r="L9" s="42">
        <f>K9/K5-1</f>
        <v>-0.16191666098003221</v>
      </c>
      <c r="M9" s="51">
        <f>N26</f>
        <v>8.4314138271180568</v>
      </c>
      <c r="N9" s="51" t="str">
        <f>IF(M9&gt;$Q$18,"yes","no")</f>
        <v>yes</v>
      </c>
      <c r="O9" s="29">
        <f t="shared" si="2"/>
        <v>27.800930075251539</v>
      </c>
      <c r="P9" s="42">
        <f>O9/O5-1</f>
        <v>-0.16121797714710084</v>
      </c>
      <c r="Q9" s="51">
        <f>O26</f>
        <v>7.902070011917389</v>
      </c>
      <c r="R9" s="51" t="str">
        <f>IF(Q9&gt;$Q$18,"yes","no")</f>
        <v>yes</v>
      </c>
      <c r="S9" s="57"/>
    </row>
    <row r="10" spans="2:19" x14ac:dyDescent="0.25">
      <c r="B10" s="30" t="s">
        <v>7</v>
      </c>
      <c r="C10" s="30" t="s">
        <v>12</v>
      </c>
      <c r="D10" s="30" t="s">
        <v>13</v>
      </c>
      <c r="E10" s="31">
        <v>24170</v>
      </c>
      <c r="F10" s="31">
        <v>31753</v>
      </c>
      <c r="G10" s="32">
        <v>953844.67</v>
      </c>
      <c r="H10" s="32">
        <v>2796.27</v>
      </c>
      <c r="I10" s="32">
        <f t="shared" si="0"/>
        <v>1.3137360364087711</v>
      </c>
      <c r="J10" s="39">
        <f>G10/G6-1</f>
        <v>7.1171450020164784E-2</v>
      </c>
      <c r="K10" s="32">
        <f t="shared" si="1"/>
        <v>39.463991311543239</v>
      </c>
      <c r="L10" s="39">
        <f>K10/K6-1</f>
        <v>-4.897525254519175E-2</v>
      </c>
      <c r="M10" s="52">
        <f>N34</f>
        <v>3.9837618515579094</v>
      </c>
      <c r="N10" s="52" t="str">
        <f>IF(M10&gt;$Q$18,"yes","no")</f>
        <v>yes</v>
      </c>
      <c r="O10" s="32">
        <f t="shared" si="2"/>
        <v>30.039513431801719</v>
      </c>
      <c r="P10" s="39">
        <f>O10/O6-1</f>
        <v>-6.400267526660508E-2</v>
      </c>
      <c r="Q10" s="52">
        <f>O34</f>
        <v>4.5966503697691481</v>
      </c>
      <c r="R10" s="52" t="str">
        <f t="shared" ref="R10:R12" si="3">IF(Q10&gt;$Q$18,"yes","no")</f>
        <v>yes</v>
      </c>
    </row>
    <row r="11" spans="2:19" x14ac:dyDescent="0.25">
      <c r="B11" s="33" t="s">
        <v>7</v>
      </c>
      <c r="C11" s="33" t="s">
        <v>12</v>
      </c>
      <c r="D11" s="33" t="s">
        <v>10</v>
      </c>
      <c r="E11" s="34">
        <v>16065</v>
      </c>
      <c r="F11" s="34">
        <v>19926</v>
      </c>
      <c r="G11" s="35">
        <v>625043.06999999995</v>
      </c>
      <c r="H11" s="35">
        <v>2643.56</v>
      </c>
      <c r="I11" s="35">
        <f t="shared" si="0"/>
        <v>1.2403361344537815</v>
      </c>
      <c r="J11" s="40">
        <f>G11/G7-1</f>
        <v>-1.2678249053563406E-2</v>
      </c>
      <c r="K11" s="35">
        <f t="shared" si="1"/>
        <v>38.907131652661064</v>
      </c>
      <c r="L11" s="40">
        <f>K11/K7-1</f>
        <v>-2.967895076001148E-3</v>
      </c>
      <c r="M11" s="53">
        <f>N42</f>
        <v>0.19526736209585849</v>
      </c>
      <c r="N11" s="53" t="str">
        <f>IF(M11&gt;$Q$18,"yes","no")</f>
        <v>no</v>
      </c>
      <c r="O11" s="35">
        <f t="shared" si="2"/>
        <v>31.368215898825653</v>
      </c>
      <c r="P11" s="40">
        <f>O11/O7-1</f>
        <v>-1.0002580351811563E-2</v>
      </c>
      <c r="Q11" s="53">
        <f>O42</f>
        <v>0.59413824586229957</v>
      </c>
      <c r="R11" s="53" t="str">
        <f t="shared" si="3"/>
        <v>no</v>
      </c>
    </row>
    <row r="12" spans="2:19" x14ac:dyDescent="0.25">
      <c r="B12" s="36" t="s">
        <v>7</v>
      </c>
      <c r="C12" s="36" t="s">
        <v>12</v>
      </c>
      <c r="D12" s="36" t="s">
        <v>11</v>
      </c>
      <c r="E12" s="37">
        <v>11922</v>
      </c>
      <c r="F12" s="37">
        <v>14780</v>
      </c>
      <c r="G12" s="38">
        <v>456800.44</v>
      </c>
      <c r="H12" s="38">
        <v>2635.6</v>
      </c>
      <c r="I12" s="38">
        <f t="shared" si="0"/>
        <v>1.2397248783761114</v>
      </c>
      <c r="J12" s="41">
        <f>G12/G8-1</f>
        <v>-9.9233645076057808E-4</v>
      </c>
      <c r="K12" s="38">
        <f t="shared" si="1"/>
        <v>38.315755745680256</v>
      </c>
      <c r="L12" s="41">
        <f>K12/K8-1</f>
        <v>8.225147443755132E-3</v>
      </c>
      <c r="M12" s="54">
        <f>N50</f>
        <v>0.45569553108383004</v>
      </c>
      <c r="N12" s="54" t="str">
        <f>IF(M12&gt;$Q$18,"yes","no")</f>
        <v>no</v>
      </c>
      <c r="O12" s="38">
        <f t="shared" si="2"/>
        <v>30.906660351826794</v>
      </c>
      <c r="P12" s="41">
        <f>O12/O8-1</f>
        <v>-4.6050436573130682E-5</v>
      </c>
      <c r="Q12" s="54">
        <f>O50</f>
        <v>2.3059425603377008E-3</v>
      </c>
      <c r="R12" s="54" t="str">
        <f t="shared" si="3"/>
        <v>no</v>
      </c>
    </row>
    <row r="13" spans="2:19" x14ac:dyDescent="0.25">
      <c r="B13" s="17" t="s">
        <v>25</v>
      </c>
    </row>
    <row r="15" spans="2:19" ht="41.4" x14ac:dyDescent="0.25">
      <c r="B15" s="21" t="s">
        <v>26</v>
      </c>
    </row>
    <row r="16" spans="2:19" ht="16.2" thickBot="1" x14ac:dyDescent="0.3">
      <c r="F16" s="64" t="s">
        <v>42</v>
      </c>
      <c r="G16" s="65"/>
      <c r="H16" s="65"/>
      <c r="I16" s="65"/>
      <c r="J16" s="65"/>
      <c r="K16" s="65"/>
      <c r="L16" s="65"/>
      <c r="M16" s="66"/>
      <c r="P16" s="50" t="s">
        <v>56</v>
      </c>
    </row>
    <row r="17" spans="2:20" ht="16.2" thickBot="1" x14ac:dyDescent="0.3">
      <c r="F17" s="67" t="s">
        <v>39</v>
      </c>
      <c r="G17" s="68"/>
      <c r="H17" s="68"/>
      <c r="I17" s="68"/>
      <c r="J17" s="68"/>
      <c r="K17" s="68"/>
      <c r="L17" s="68"/>
      <c r="M17" s="69"/>
      <c r="P17" s="46">
        <v>0.99</v>
      </c>
      <c r="Q17" s="47">
        <v>0.95</v>
      </c>
      <c r="R17" s="47">
        <v>0.9</v>
      </c>
      <c r="S17" s="47">
        <v>0.85</v>
      </c>
      <c r="T17" s="47">
        <v>0.8</v>
      </c>
    </row>
    <row r="18" spans="2:20" ht="16.2" thickBot="1" x14ac:dyDescent="0.3">
      <c r="F18" s="67" t="s">
        <v>40</v>
      </c>
      <c r="G18" s="68"/>
      <c r="H18" s="68"/>
      <c r="I18" s="68"/>
      <c r="J18" s="68"/>
      <c r="K18" s="68"/>
      <c r="L18" s="68"/>
      <c r="M18" s="69"/>
      <c r="O18" s="44"/>
      <c r="P18" s="48">
        <v>2.5758000000000001</v>
      </c>
      <c r="Q18" s="49">
        <v>1.96</v>
      </c>
      <c r="R18" s="49">
        <v>1.6449</v>
      </c>
      <c r="S18" s="49">
        <v>1.4395</v>
      </c>
      <c r="T18" s="49">
        <v>1.2815000000000001</v>
      </c>
    </row>
    <row r="19" spans="2:20" ht="15.6" x14ac:dyDescent="0.25">
      <c r="F19" s="70" t="s">
        <v>41</v>
      </c>
      <c r="G19" s="71"/>
      <c r="H19" s="71"/>
      <c r="I19" s="71"/>
      <c r="J19" s="71"/>
      <c r="K19" s="71"/>
      <c r="L19" s="71"/>
      <c r="M19" s="72"/>
    </row>
    <row r="20" spans="2:20" x14ac:dyDescent="0.25">
      <c r="B20" s="12" t="s">
        <v>20</v>
      </c>
      <c r="C20" s="12" t="s">
        <v>21</v>
      </c>
      <c r="D20" s="12" t="s">
        <v>22</v>
      </c>
    </row>
    <row r="21" spans="2:20" x14ac:dyDescent="0.25">
      <c r="B21" s="14" t="s">
        <v>11</v>
      </c>
      <c r="C21" s="19">
        <f>C22-14</f>
        <v>43095</v>
      </c>
      <c r="D21" s="19">
        <f>C22-1</f>
        <v>43108</v>
      </c>
    </row>
    <row r="22" spans="2:20" ht="13.8" customHeight="1" x14ac:dyDescent="0.25">
      <c r="B22" s="14" t="s">
        <v>9</v>
      </c>
      <c r="C22" s="19">
        <v>43109</v>
      </c>
      <c r="D22" s="19">
        <v>43113</v>
      </c>
      <c r="F22" s="27" t="s">
        <v>9</v>
      </c>
      <c r="G22" s="14" t="s">
        <v>4</v>
      </c>
      <c r="H22" s="14" t="s">
        <v>43</v>
      </c>
      <c r="I22" s="14" t="s">
        <v>6</v>
      </c>
      <c r="J22" s="14" t="s">
        <v>34</v>
      </c>
      <c r="K22" s="14" t="s">
        <v>35</v>
      </c>
      <c r="M22" s="27" t="s">
        <v>9</v>
      </c>
      <c r="N22" s="14" t="s">
        <v>34</v>
      </c>
      <c r="O22" s="14" t="s">
        <v>35</v>
      </c>
    </row>
    <row r="23" spans="2:20" ht="27.6" customHeight="1" x14ac:dyDescent="0.25">
      <c r="B23" s="14" t="s">
        <v>10</v>
      </c>
      <c r="C23" s="19">
        <f>D22+1</f>
        <v>43114</v>
      </c>
      <c r="D23" s="19">
        <f>D22+14</f>
        <v>43127</v>
      </c>
      <c r="F23" s="14" t="s">
        <v>51</v>
      </c>
      <c r="G23" s="15"/>
      <c r="H23" s="15"/>
      <c r="I23" s="14"/>
      <c r="J23" s="16">
        <f>K9</f>
        <v>31.341302068439614</v>
      </c>
      <c r="K23" s="16">
        <f>O9</f>
        <v>27.800930075251539</v>
      </c>
      <c r="M23" s="14" t="s">
        <v>48</v>
      </c>
      <c r="N23" s="45">
        <f>ABS(J23-J24)</f>
        <v>6.0551006629275257</v>
      </c>
      <c r="O23" s="45">
        <f>ABS(K23-K24)</f>
        <v>5.3434737362344258</v>
      </c>
    </row>
    <row r="24" spans="2:20" x14ac:dyDescent="0.25">
      <c r="F24" s="14" t="s">
        <v>52</v>
      </c>
      <c r="G24" s="15"/>
      <c r="H24" s="15"/>
      <c r="I24" s="14"/>
      <c r="J24" s="16">
        <f>K5</f>
        <v>37.396402731367139</v>
      </c>
      <c r="K24" s="16">
        <f>O5</f>
        <v>33.144403811485965</v>
      </c>
      <c r="M24" s="14" t="s">
        <v>49</v>
      </c>
      <c r="N24" s="45">
        <f>SQRT(((G25*$I27)+(G26*$I28))/(G25+G26-2))</f>
        <v>46.298655720537901</v>
      </c>
      <c r="O24" s="45">
        <f>SQRT(((H25*$I27)+(H26*$I28))/(H25+H26-2))</f>
        <v>46.298650041456639</v>
      </c>
    </row>
    <row r="25" spans="2:20" x14ac:dyDescent="0.25">
      <c r="F25" s="14" t="s">
        <v>44</v>
      </c>
      <c r="G25" s="15">
        <f>E9</f>
        <v>10491</v>
      </c>
      <c r="H25" s="15">
        <f>F9</f>
        <v>11827</v>
      </c>
      <c r="I25" s="14"/>
      <c r="J25" s="14"/>
      <c r="K25" s="14"/>
      <c r="M25" s="14" t="s">
        <v>50</v>
      </c>
      <c r="N25" s="45">
        <f>SQRT((G25+G26)/(G25*G26))</f>
        <v>1.5511456537088289E-2</v>
      </c>
      <c r="O25" s="45">
        <f>SQRT((H25+H26)/(H25*H26))</f>
        <v>1.4605434376049364E-2</v>
      </c>
    </row>
    <row r="26" spans="2:20" x14ac:dyDescent="0.25">
      <c r="F26" s="14" t="s">
        <v>45</v>
      </c>
      <c r="G26" s="15">
        <f>E5</f>
        <v>6883</v>
      </c>
      <c r="H26" s="15">
        <f>F5</f>
        <v>7766</v>
      </c>
      <c r="I26" s="14"/>
      <c r="J26" s="14"/>
      <c r="K26" s="14"/>
      <c r="M26" s="14" t="s">
        <v>54</v>
      </c>
      <c r="N26" s="45">
        <f>N23/(N24*N25)</f>
        <v>8.4314138271180568</v>
      </c>
      <c r="O26" s="45">
        <f>O23/(O24*O25)</f>
        <v>7.902070011917389</v>
      </c>
    </row>
    <row r="27" spans="2:20" x14ac:dyDescent="0.25">
      <c r="F27" s="14" t="s">
        <v>46</v>
      </c>
      <c r="G27" s="14"/>
      <c r="H27" s="14"/>
      <c r="I27" s="16">
        <f>H9</f>
        <v>2088.83</v>
      </c>
      <c r="J27" s="14"/>
      <c r="K27" s="14"/>
      <c r="P27" s="44"/>
    </row>
    <row r="28" spans="2:20" x14ac:dyDescent="0.25">
      <c r="F28" s="14" t="s">
        <v>47</v>
      </c>
      <c r="G28" s="14"/>
      <c r="H28" s="14"/>
      <c r="I28" s="16">
        <f>H5</f>
        <v>2226.37</v>
      </c>
      <c r="J28" s="14"/>
      <c r="K28" s="14"/>
    </row>
    <row r="30" spans="2:20" ht="27.6" x14ac:dyDescent="0.25">
      <c r="F30" s="30" t="s">
        <v>13</v>
      </c>
      <c r="G30" s="14" t="s">
        <v>4</v>
      </c>
      <c r="H30" s="14" t="s">
        <v>43</v>
      </c>
      <c r="I30" s="14" t="s">
        <v>6</v>
      </c>
      <c r="J30" s="14" t="s">
        <v>34</v>
      </c>
      <c r="K30" s="14" t="s">
        <v>35</v>
      </c>
      <c r="M30" s="30" t="s">
        <v>13</v>
      </c>
      <c r="N30" s="14" t="s">
        <v>34</v>
      </c>
      <c r="O30" s="14" t="s">
        <v>35</v>
      </c>
    </row>
    <row r="31" spans="2:20" x14ac:dyDescent="0.25">
      <c r="F31" s="14" t="s">
        <v>51</v>
      </c>
      <c r="G31" s="15"/>
      <c r="H31" s="15"/>
      <c r="I31" s="14"/>
      <c r="J31" s="16">
        <f>K10</f>
        <v>39.463991311543239</v>
      </c>
      <c r="K31" s="16">
        <f>O10</f>
        <v>30.039513431801719</v>
      </c>
      <c r="M31" s="14" t="s">
        <v>48</v>
      </c>
      <c r="N31" s="45">
        <f>ABS(J31-J32)</f>
        <v>2.0322909010482135</v>
      </c>
      <c r="O31" s="45">
        <f>ABS(K31-K32)</f>
        <v>2.054075553998036</v>
      </c>
    </row>
    <row r="32" spans="2:20" x14ac:dyDescent="0.25">
      <c r="F32" s="14" t="s">
        <v>52</v>
      </c>
      <c r="G32" s="15"/>
      <c r="H32" s="15"/>
      <c r="I32" s="14"/>
      <c r="J32" s="16">
        <f>K6</f>
        <v>41.496282212591453</v>
      </c>
      <c r="K32" s="16">
        <f>O6</f>
        <v>32.093588985799755</v>
      </c>
      <c r="M32" s="14" t="s">
        <v>49</v>
      </c>
      <c r="N32" s="45">
        <f>SQRT(((G33*$I35)+(G34*$I36))/(G33+G34-2))</f>
        <v>54.389503442178061</v>
      </c>
      <c r="O32" s="45">
        <f>SQRT(((H33*$I35)+(H34*$I36))/(H33+H34-2))</f>
        <v>54.376679207874126</v>
      </c>
    </row>
    <row r="33" spans="6:15" x14ac:dyDescent="0.25">
      <c r="F33" s="14" t="s">
        <v>44</v>
      </c>
      <c r="G33" s="15">
        <f>E10</f>
        <v>24170</v>
      </c>
      <c r="H33" s="15">
        <f>F10</f>
        <v>31753</v>
      </c>
      <c r="I33" s="14"/>
      <c r="J33" s="14"/>
      <c r="K33" s="14"/>
      <c r="M33" s="14" t="s">
        <v>50</v>
      </c>
      <c r="N33" s="45">
        <f>SQRT((G33+G34)/(G33*G34))</f>
        <v>9.3794508158054311E-3</v>
      </c>
      <c r="O33" s="45">
        <f>SQRT((H33+H34)/(H33*H34))</f>
        <v>8.2179266506705647E-3</v>
      </c>
    </row>
    <row r="34" spans="6:15" x14ac:dyDescent="0.25">
      <c r="F34" s="14" t="s">
        <v>45</v>
      </c>
      <c r="G34" s="15">
        <f>E6</f>
        <v>21459</v>
      </c>
      <c r="H34" s="15">
        <f>F6</f>
        <v>27746</v>
      </c>
      <c r="I34" s="14"/>
      <c r="J34" s="14"/>
      <c r="K34" s="14"/>
      <c r="M34" s="14" t="s">
        <v>54</v>
      </c>
      <c r="N34" s="45">
        <f>N31/(N32*N33)</f>
        <v>3.9837618515579094</v>
      </c>
      <c r="O34" s="45">
        <f>O31/(O32*O33)</f>
        <v>4.5966503697691481</v>
      </c>
    </row>
    <row r="35" spans="6:15" x14ac:dyDescent="0.25">
      <c r="F35" s="14" t="s">
        <v>46</v>
      </c>
      <c r="G35" s="14"/>
      <c r="H35" s="14"/>
      <c r="I35" s="16">
        <f>H10</f>
        <v>2796.27</v>
      </c>
      <c r="J35" s="14"/>
      <c r="K35" s="14"/>
    </row>
    <row r="36" spans="6:15" x14ac:dyDescent="0.25">
      <c r="F36" s="14" t="s">
        <v>47</v>
      </c>
      <c r="G36" s="14"/>
      <c r="H36" s="14"/>
      <c r="I36" s="16">
        <f>H6</f>
        <v>3140.35</v>
      </c>
      <c r="J36" s="14"/>
      <c r="K36" s="14"/>
    </row>
    <row r="38" spans="6:15" x14ac:dyDescent="0.25">
      <c r="F38" s="33" t="s">
        <v>10</v>
      </c>
      <c r="G38" s="14" t="s">
        <v>4</v>
      </c>
      <c r="H38" s="14" t="s">
        <v>43</v>
      </c>
      <c r="I38" s="14" t="s">
        <v>6</v>
      </c>
      <c r="J38" s="14" t="s">
        <v>34</v>
      </c>
      <c r="K38" s="14" t="s">
        <v>35</v>
      </c>
      <c r="M38" s="33" t="s">
        <v>10</v>
      </c>
      <c r="N38" s="14" t="s">
        <v>34</v>
      </c>
      <c r="O38" s="14" t="s">
        <v>35</v>
      </c>
    </row>
    <row r="39" spans="6:15" x14ac:dyDescent="0.25">
      <c r="F39" s="14" t="s">
        <v>51</v>
      </c>
      <c r="G39" s="15"/>
      <c r="H39" s="15"/>
      <c r="I39" s="14"/>
      <c r="J39" s="16">
        <f>K11</f>
        <v>38.907131652661064</v>
      </c>
      <c r="K39" s="16">
        <f>O11</f>
        <v>31.368215898825653</v>
      </c>
      <c r="M39" s="14" t="s">
        <v>48</v>
      </c>
      <c r="N39" s="45">
        <f>ABS(J39-J40)</f>
        <v>0.11581601423161914</v>
      </c>
      <c r="O39" s="45">
        <f>ABS(K39-K40)</f>
        <v>0.31693325032349762</v>
      </c>
    </row>
    <row r="40" spans="6:15" x14ac:dyDescent="0.25">
      <c r="F40" s="14" t="s">
        <v>52</v>
      </c>
      <c r="G40" s="15"/>
      <c r="H40" s="15"/>
      <c r="I40" s="14"/>
      <c r="J40" s="16">
        <f>K7</f>
        <v>39.022947666892684</v>
      </c>
      <c r="K40" s="16">
        <f>O7</f>
        <v>31.685149149149151</v>
      </c>
      <c r="M40" s="14" t="s">
        <v>49</v>
      </c>
      <c r="N40" s="45">
        <f>SQRT(((G41*$I43)+(G42*$I44))/(G41+G42-2))</f>
        <v>53.287375648052013</v>
      </c>
      <c r="O40" s="45">
        <f>SQRT(((H41*$I43)+(H42*$I44))/(H41+H42-2))</f>
        <v>53.280586983236844</v>
      </c>
    </row>
    <row r="41" spans="6:15" x14ac:dyDescent="0.25">
      <c r="F41" s="14" t="s">
        <v>44</v>
      </c>
      <c r="G41" s="15">
        <f>E11</f>
        <v>16065</v>
      </c>
      <c r="H41" s="15">
        <f>F11</f>
        <v>19926</v>
      </c>
      <c r="I41" s="14"/>
      <c r="J41" s="14"/>
      <c r="K41" s="14"/>
      <c r="M41" s="14" t="s">
        <v>50</v>
      </c>
      <c r="N41" s="45">
        <f>SQRT((G41+G42)/(G41*G42))</f>
        <v>1.1130498699627981E-2</v>
      </c>
      <c r="O41" s="45">
        <f>SQRT((H41+H42)/(H41*H42))</f>
        <v>1.00117799162839E-2</v>
      </c>
    </row>
    <row r="42" spans="6:15" x14ac:dyDescent="0.25">
      <c r="F42" s="14" t="s">
        <v>45</v>
      </c>
      <c r="G42" s="15">
        <f>E7</f>
        <v>16223</v>
      </c>
      <c r="H42" s="15">
        <f>F7</f>
        <v>19980</v>
      </c>
      <c r="I42" s="14"/>
      <c r="J42" s="14"/>
      <c r="K42" s="14"/>
      <c r="M42" s="14" t="s">
        <v>54</v>
      </c>
      <c r="N42" s="45">
        <f>N39/(N40*N41)</f>
        <v>0.19526736209585849</v>
      </c>
      <c r="O42" s="45">
        <f>O39/(O40*O41)</f>
        <v>0.59413824586229957</v>
      </c>
    </row>
    <row r="43" spans="6:15" x14ac:dyDescent="0.25">
      <c r="F43" s="14" t="s">
        <v>46</v>
      </c>
      <c r="G43" s="14"/>
      <c r="H43" s="14"/>
      <c r="I43" s="16">
        <f>H11</f>
        <v>2643.56</v>
      </c>
      <c r="J43" s="14"/>
      <c r="K43" s="14"/>
    </row>
    <row r="44" spans="6:15" x14ac:dyDescent="0.25">
      <c r="F44" s="14" t="s">
        <v>47</v>
      </c>
      <c r="G44" s="14"/>
      <c r="H44" s="14"/>
      <c r="I44" s="16">
        <f>H7</f>
        <v>3033.27</v>
      </c>
      <c r="J44" s="14"/>
      <c r="K44" s="14"/>
    </row>
    <row r="46" spans="6:15" x14ac:dyDescent="0.25">
      <c r="F46" s="36" t="s">
        <v>11</v>
      </c>
      <c r="G46" s="14" t="s">
        <v>4</v>
      </c>
      <c r="H46" s="14" t="s">
        <v>43</v>
      </c>
      <c r="I46" s="14" t="s">
        <v>6</v>
      </c>
      <c r="J46" s="14" t="s">
        <v>34</v>
      </c>
      <c r="K46" s="14" t="s">
        <v>35</v>
      </c>
      <c r="M46" s="36" t="s">
        <v>11</v>
      </c>
      <c r="N46" s="14" t="s">
        <v>34</v>
      </c>
      <c r="O46" s="14" t="s">
        <v>35</v>
      </c>
    </row>
    <row r="47" spans="6:15" x14ac:dyDescent="0.25">
      <c r="F47" s="14" t="s">
        <v>51</v>
      </c>
      <c r="G47" s="15"/>
      <c r="H47" s="15"/>
      <c r="I47" s="14"/>
      <c r="J47" s="16">
        <f>K12</f>
        <v>38.315755745680256</v>
      </c>
      <c r="K47" s="16">
        <f>O12</f>
        <v>30.906660351826794</v>
      </c>
      <c r="M47" s="14" t="s">
        <v>48</v>
      </c>
      <c r="N47" s="45">
        <f>ABS(J47-J48)</f>
        <v>0.31258170977599775</v>
      </c>
      <c r="O47" s="45">
        <f>ABS(K47-K48)</f>
        <v>1.423330747222451E-3</v>
      </c>
    </row>
    <row r="48" spans="6:15" x14ac:dyDescent="0.25">
      <c r="F48" s="14" t="s">
        <v>52</v>
      </c>
      <c r="G48" s="15"/>
      <c r="H48" s="15"/>
      <c r="I48" s="14"/>
      <c r="J48" s="16">
        <f>K8</f>
        <v>38.003174035904259</v>
      </c>
      <c r="K48" s="16">
        <f>O8</f>
        <v>30.908083682574016</v>
      </c>
      <c r="M48" s="14" t="s">
        <v>49</v>
      </c>
      <c r="N48" s="45">
        <f>SQRT(((G49*$I51)+(G50*$I52))/(G49+G50-2))</f>
        <v>53.081506566273696</v>
      </c>
      <c r="O48" s="45">
        <f>SQRT(((H49*$I51)+(H50*$I52))/(H49+H50-2))</f>
        <v>53.074063056726537</v>
      </c>
    </row>
    <row r="49" spans="6:15" x14ac:dyDescent="0.25">
      <c r="F49" s="14" t="s">
        <v>44</v>
      </c>
      <c r="G49" s="15">
        <f>E12</f>
        <v>11922</v>
      </c>
      <c r="H49" s="15">
        <f>F12</f>
        <v>14780</v>
      </c>
      <c r="I49" s="14"/>
      <c r="J49" s="14"/>
      <c r="K49" s="14"/>
      <c r="M49" s="14" t="s">
        <v>50</v>
      </c>
      <c r="N49" s="45">
        <f>SQRT((G49+G50)/(G49*G50))</f>
        <v>1.2922470584069364E-2</v>
      </c>
      <c r="O49" s="45">
        <f>SQRT((H49+H50)/(H49*H50))</f>
        <v>1.1629874013977217E-2</v>
      </c>
    </row>
    <row r="50" spans="6:15" x14ac:dyDescent="0.25">
      <c r="F50" s="14" t="s">
        <v>45</v>
      </c>
      <c r="G50" s="15">
        <f>E8</f>
        <v>12032</v>
      </c>
      <c r="H50" s="15">
        <f>F8</f>
        <v>14794</v>
      </c>
      <c r="I50" s="14"/>
      <c r="J50" s="14"/>
      <c r="K50" s="14"/>
      <c r="M50" s="14" t="s">
        <v>54</v>
      </c>
      <c r="N50" s="45">
        <f>N47/(N48*N49)</f>
        <v>0.45569553108383004</v>
      </c>
      <c r="O50" s="45">
        <f>O47/(O48*O49)</f>
        <v>2.3059425603377008E-3</v>
      </c>
    </row>
    <row r="51" spans="6:15" x14ac:dyDescent="0.25">
      <c r="F51" s="14" t="s">
        <v>46</v>
      </c>
      <c r="G51" s="14"/>
      <c r="H51" s="14"/>
      <c r="I51" s="16">
        <f>H12</f>
        <v>2635.6</v>
      </c>
      <c r="J51" s="14"/>
      <c r="K51" s="14"/>
    </row>
    <row r="52" spans="6:15" x14ac:dyDescent="0.25">
      <c r="F52" s="14" t="s">
        <v>47</v>
      </c>
      <c r="G52" s="14"/>
      <c r="H52" s="14"/>
      <c r="I52" s="16">
        <f>H8</f>
        <v>2997.56</v>
      </c>
      <c r="J52" s="14"/>
      <c r="K52" s="14"/>
    </row>
  </sheetData>
  <mergeCells count="13">
    <mergeCell ref="F19:M19"/>
    <mergeCell ref="G3:G4"/>
    <mergeCell ref="H3:H4"/>
    <mergeCell ref="I3:J3"/>
    <mergeCell ref="C3:C4"/>
    <mergeCell ref="D3:D4"/>
    <mergeCell ref="E3:E4"/>
    <mergeCell ref="F3:F4"/>
    <mergeCell ref="K3:N3"/>
    <mergeCell ref="F16:M16"/>
    <mergeCell ref="F17:M17"/>
    <mergeCell ref="F18:M18"/>
    <mergeCell ref="O3:R3"/>
  </mergeCells>
  <pageMargins left="0.7" right="0.7" top="0.75" bottom="0.75" header="0.3" footer="0.3"/>
  <pageSetup paperSize="9" orientation="portrait" horizontalDpi="300" verticalDpi="300" r:id="rId1"/>
  <ignoredErrors>
    <ignoredError sqref="O10:O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E096-4FC4-41BE-B296-DC6D80BBAEBE}">
  <dimension ref="B2:AD41"/>
  <sheetViews>
    <sheetView topLeftCell="C4" zoomScale="70" zoomScaleNormal="70" workbookViewId="0">
      <selection activeCell="H37" sqref="H37"/>
    </sheetView>
  </sheetViews>
  <sheetFormatPr defaultRowHeight="13.8" x14ac:dyDescent="0.25"/>
  <cols>
    <col min="1" max="1" width="8.796875" style="11"/>
    <col min="2" max="2" width="36" style="11" bestFit="1" customWidth="1"/>
    <col min="3" max="3" width="16.69921875" style="11" customWidth="1"/>
    <col min="4" max="4" width="26.09765625" style="11" customWidth="1"/>
    <col min="5" max="5" width="13.59765625" style="11" customWidth="1"/>
    <col min="6" max="6" width="18.296875" style="11" customWidth="1"/>
    <col min="7" max="7" width="25.09765625" style="11" customWidth="1"/>
    <col min="8" max="8" width="18.5" style="11" customWidth="1"/>
    <col min="9" max="9" width="11" style="11" customWidth="1"/>
    <col min="10" max="11" width="20.296875" style="11" customWidth="1"/>
    <col min="12" max="12" width="20" style="11" customWidth="1"/>
    <col min="13" max="16" width="20.296875" style="11" customWidth="1"/>
    <col min="17" max="17" width="20" style="11" customWidth="1"/>
    <col min="18" max="18" width="20.296875" style="11" customWidth="1"/>
    <col min="19" max="19" width="22.59765625" style="11" customWidth="1"/>
    <col min="20" max="20" width="18" style="11" customWidth="1"/>
    <col min="21" max="22" width="8.796875" style="11"/>
    <col min="23" max="23" width="9.59765625" style="11" bestFit="1" customWidth="1"/>
    <col min="24" max="24" width="8.796875" style="11"/>
    <col min="25" max="25" width="12.8984375" style="11" customWidth="1"/>
    <col min="26" max="27" width="11" style="11" customWidth="1"/>
    <col min="28" max="16384" width="8.796875" style="11"/>
  </cols>
  <sheetData>
    <row r="2" spans="2:10" x14ac:dyDescent="0.25">
      <c r="B2" s="10" t="s">
        <v>23</v>
      </c>
    </row>
    <row r="3" spans="2:10" ht="27.6" customHeight="1" x14ac:dyDescent="0.25"/>
    <row r="4" spans="2:10" x14ac:dyDescent="0.25">
      <c r="B4" s="21"/>
    </row>
    <row r="6" spans="2:10" x14ac:dyDescent="0.25">
      <c r="B6" s="18" t="s">
        <v>0</v>
      </c>
      <c r="C6" s="18" t="s">
        <v>3</v>
      </c>
      <c r="D6" s="18" t="s">
        <v>1</v>
      </c>
      <c r="E6" s="18" t="s">
        <v>14</v>
      </c>
      <c r="F6" s="18" t="s">
        <v>15</v>
      </c>
      <c r="G6" s="18" t="s">
        <v>16</v>
      </c>
      <c r="H6" s="18" t="s">
        <v>17</v>
      </c>
      <c r="I6" s="18" t="s">
        <v>18</v>
      </c>
    </row>
    <row r="7" spans="2:10" x14ac:dyDescent="0.25">
      <c r="B7" s="14" t="s">
        <v>19</v>
      </c>
      <c r="C7" s="19">
        <v>43474</v>
      </c>
      <c r="D7" s="14" t="s">
        <v>12</v>
      </c>
      <c r="E7" s="15">
        <v>214206</v>
      </c>
      <c r="F7" s="15">
        <v>29565</v>
      </c>
      <c r="G7" s="15">
        <v>6702</v>
      </c>
      <c r="H7" s="14">
        <v>30</v>
      </c>
      <c r="I7" s="14">
        <v>1</v>
      </c>
    </row>
    <row r="8" spans="2:10" x14ac:dyDescent="0.25">
      <c r="B8" s="14" t="s">
        <v>19</v>
      </c>
      <c r="C8" s="19">
        <v>43474</v>
      </c>
      <c r="D8" s="14" t="s">
        <v>8</v>
      </c>
      <c r="E8" s="15">
        <v>214206</v>
      </c>
      <c r="F8" s="15">
        <v>28599</v>
      </c>
      <c r="G8" s="15">
        <v>4500</v>
      </c>
      <c r="H8" s="14">
        <v>82</v>
      </c>
      <c r="I8" s="14">
        <v>9</v>
      </c>
    </row>
    <row r="11" spans="2:10" ht="27.6" x14ac:dyDescent="0.25">
      <c r="B11" s="18" t="s">
        <v>0</v>
      </c>
      <c r="C11" s="81" t="s">
        <v>3</v>
      </c>
      <c r="D11" s="81" t="s">
        <v>1</v>
      </c>
      <c r="E11" s="24" t="s">
        <v>27</v>
      </c>
      <c r="F11" s="61" t="s">
        <v>28</v>
      </c>
      <c r="G11" s="63"/>
      <c r="H11" s="13" t="s">
        <v>29</v>
      </c>
      <c r="I11" s="61" t="s">
        <v>30</v>
      </c>
      <c r="J11" s="63"/>
    </row>
    <row r="12" spans="2:10" x14ac:dyDescent="0.25">
      <c r="B12" s="18"/>
      <c r="C12" s="82"/>
      <c r="D12" s="82"/>
      <c r="E12" s="22" t="s">
        <v>31</v>
      </c>
      <c r="F12" s="22" t="s">
        <v>31</v>
      </c>
      <c r="G12" s="22" t="s">
        <v>32</v>
      </c>
      <c r="H12" s="22" t="s">
        <v>31</v>
      </c>
      <c r="I12" s="22" t="s">
        <v>31</v>
      </c>
      <c r="J12" s="22" t="s">
        <v>32</v>
      </c>
    </row>
    <row r="13" spans="2:10" x14ac:dyDescent="0.25">
      <c r="B13" s="14" t="s">
        <v>19</v>
      </c>
      <c r="C13" s="19">
        <v>43474</v>
      </c>
      <c r="D13" s="14" t="s">
        <v>12</v>
      </c>
      <c r="E13" s="26">
        <f>F7/E7</f>
        <v>0.13802134393994567</v>
      </c>
      <c r="F13" s="26">
        <f>$G7/E7</f>
        <v>3.1287639001708632E-2</v>
      </c>
      <c r="G13" s="26">
        <f>$G7/F7</f>
        <v>0.22668696093353627</v>
      </c>
      <c r="H13" s="26">
        <f>H7/E7</f>
        <v>1.4005209938096973E-4</v>
      </c>
      <c r="I13" s="26">
        <f>$I7/E7</f>
        <v>4.6684033126989904E-6</v>
      </c>
      <c r="J13" s="26">
        <f>$I7/F7</f>
        <v>3.3823778116015561E-5</v>
      </c>
    </row>
    <row r="14" spans="2:10" x14ac:dyDescent="0.25">
      <c r="B14" s="14" t="s">
        <v>19</v>
      </c>
      <c r="C14" s="19">
        <v>43474</v>
      </c>
      <c r="D14" s="14" t="s">
        <v>8</v>
      </c>
      <c r="E14" s="26">
        <f>F8/E8</f>
        <v>0.13351166633987843</v>
      </c>
      <c r="F14" s="26">
        <f>$G8/E8</f>
        <v>2.1007814907145459E-2</v>
      </c>
      <c r="G14" s="26">
        <f>$G8/F8</f>
        <v>0.1573481590265394</v>
      </c>
      <c r="H14" s="26">
        <f>H8/E8</f>
        <v>3.8280907164131724E-4</v>
      </c>
      <c r="I14" s="26">
        <f>$I8/E8</f>
        <v>4.2015629814290913E-5</v>
      </c>
      <c r="J14" s="26">
        <f>$I8/F8</f>
        <v>3.1469631805307877E-4</v>
      </c>
    </row>
    <row r="15" spans="2:10" ht="13.8" customHeight="1" x14ac:dyDescent="0.25">
      <c r="D15" s="56" t="s">
        <v>38</v>
      </c>
      <c r="E15" s="85">
        <f>E13-E14</f>
        <v>4.5096776000672356E-3</v>
      </c>
      <c r="F15" s="85">
        <f t="shared" ref="F15:J15" si="0">F13-F14</f>
        <v>1.0279824094563173E-2</v>
      </c>
      <c r="G15" s="85">
        <f t="shared" si="0"/>
        <v>6.9338801906996872E-2</v>
      </c>
      <c r="H15" s="85">
        <f t="shared" si="0"/>
        <v>-2.4275697226034751E-4</v>
      </c>
      <c r="I15" s="85">
        <f t="shared" si="0"/>
        <v>-3.7347226501591924E-5</v>
      </c>
      <c r="J15" s="85">
        <f t="shared" si="0"/>
        <v>-2.808725399370632E-4</v>
      </c>
    </row>
    <row r="16" spans="2:10" ht="13.8" customHeight="1" x14ac:dyDescent="0.25">
      <c r="D16" s="22" t="s">
        <v>53</v>
      </c>
      <c r="E16" s="60">
        <f>H37</f>
        <v>1.9218106054951375E-2</v>
      </c>
      <c r="F16" s="60">
        <f t="shared" ref="F16:J16" si="1">I37</f>
        <v>0.20205959331855491</v>
      </c>
      <c r="G16" s="60">
        <f t="shared" si="1"/>
        <v>0.22520663157196077</v>
      </c>
      <c r="H16" s="60">
        <f t="shared" si="1"/>
        <v>0.46443330416877499</v>
      </c>
      <c r="I16" s="60">
        <f t="shared" si="1"/>
        <v>0.80003062589811857</v>
      </c>
      <c r="J16" s="60">
        <f t="shared" si="1"/>
        <v>0.80613227070474269</v>
      </c>
    </row>
    <row r="17" spans="2:30" ht="41.4" x14ac:dyDescent="0.25">
      <c r="D17" s="22" t="s">
        <v>60</v>
      </c>
      <c r="E17" s="59" t="str">
        <f>IF(E$16&gt;$H$25,"yes","no")</f>
        <v>no</v>
      </c>
      <c r="F17" s="59" t="str">
        <f>IF(F$16&gt;$H$25,"yes","no")</f>
        <v>no</v>
      </c>
      <c r="G17" s="59" t="str">
        <f>IF(G$16&gt;$H$25,"yes","no")</f>
        <v>no</v>
      </c>
      <c r="H17" s="59" t="str">
        <f>IF(H$16&gt;$H$25,"yes","no")</f>
        <v>no</v>
      </c>
      <c r="I17" s="59" t="str">
        <f>IF(I$16&gt;$H$25,"yes","no")</f>
        <v>no</v>
      </c>
      <c r="J17" s="59" t="str">
        <f>IF(J$16&gt;$H$25,"yes","no")</f>
        <v>no</v>
      </c>
      <c r="P17" s="44"/>
    </row>
    <row r="19" spans="2:30" x14ac:dyDescent="0.25">
      <c r="B19" s="12" t="s">
        <v>20</v>
      </c>
      <c r="C19" s="12" t="s">
        <v>21</v>
      </c>
      <c r="D19" s="12" t="s">
        <v>22</v>
      </c>
      <c r="AD19" s="44"/>
    </row>
    <row r="20" spans="2:30" x14ac:dyDescent="0.25">
      <c r="B20" s="14" t="s">
        <v>11</v>
      </c>
      <c r="C20" s="19">
        <f>C21-14</f>
        <v>43095</v>
      </c>
      <c r="D20" s="19">
        <f>C21-1</f>
        <v>43108</v>
      </c>
    </row>
    <row r="21" spans="2:30" x14ac:dyDescent="0.25">
      <c r="B21" s="14" t="s">
        <v>9</v>
      </c>
      <c r="C21" s="19">
        <v>43109</v>
      </c>
      <c r="D21" s="19">
        <v>43113</v>
      </c>
    </row>
    <row r="22" spans="2:30" ht="13.8" customHeight="1" x14ac:dyDescent="0.25">
      <c r="B22" s="14" t="s">
        <v>10</v>
      </c>
      <c r="C22" s="19">
        <f>D21+1</f>
        <v>43114</v>
      </c>
      <c r="D22" s="19">
        <f>D21+14</f>
        <v>43127</v>
      </c>
    </row>
    <row r="23" spans="2:30" ht="27.6" customHeight="1" thickBot="1" x14ac:dyDescent="0.3">
      <c r="G23" s="50" t="s">
        <v>61</v>
      </c>
    </row>
    <row r="24" spans="2:30" ht="15" thickBot="1" x14ac:dyDescent="0.3">
      <c r="G24" s="46">
        <v>0.99</v>
      </c>
      <c r="H24" s="47">
        <v>0.95</v>
      </c>
      <c r="I24" s="47">
        <v>0.9</v>
      </c>
      <c r="J24" s="47">
        <v>0.85</v>
      </c>
      <c r="K24" s="47">
        <v>0.8</v>
      </c>
    </row>
    <row r="25" spans="2:30" ht="16.2" thickBot="1" x14ac:dyDescent="0.35">
      <c r="E25" s="84"/>
      <c r="G25" s="48">
        <v>2.5758000000000001</v>
      </c>
      <c r="H25" s="49">
        <v>1.96</v>
      </c>
      <c r="I25" s="49">
        <v>1.6449</v>
      </c>
      <c r="J25" s="49">
        <v>1.4395</v>
      </c>
      <c r="K25" s="49">
        <v>1.2815000000000001</v>
      </c>
    </row>
    <row r="26" spans="2:30" ht="15.6" x14ac:dyDescent="0.3">
      <c r="E26" s="84"/>
    </row>
    <row r="28" spans="2:30" ht="15.6" x14ac:dyDescent="0.25">
      <c r="G28" s="80" t="s">
        <v>59</v>
      </c>
      <c r="H28" s="80"/>
      <c r="I28" s="80"/>
      <c r="J28" s="80"/>
      <c r="K28" s="80"/>
      <c r="L28" s="80"/>
      <c r="M28" s="80"/>
    </row>
    <row r="31" spans="2:30" ht="27.6" x14ac:dyDescent="0.25">
      <c r="G31" s="79" t="s">
        <v>9</v>
      </c>
      <c r="H31" s="22" t="s">
        <v>27</v>
      </c>
      <c r="I31" s="83" t="s">
        <v>28</v>
      </c>
      <c r="J31" s="83"/>
      <c r="K31" s="13" t="s">
        <v>29</v>
      </c>
      <c r="L31" s="83" t="s">
        <v>30</v>
      </c>
      <c r="M31" s="83"/>
    </row>
    <row r="32" spans="2:30" x14ac:dyDescent="0.25">
      <c r="G32" s="79"/>
      <c r="H32" s="22" t="s">
        <v>31</v>
      </c>
      <c r="I32" s="22" t="s">
        <v>31</v>
      </c>
      <c r="J32" s="22" t="s">
        <v>32</v>
      </c>
      <c r="K32" s="22" t="s">
        <v>31</v>
      </c>
      <c r="L32" s="22" t="s">
        <v>31</v>
      </c>
      <c r="M32" s="22" t="s">
        <v>32</v>
      </c>
    </row>
    <row r="33" spans="2:16" x14ac:dyDescent="0.25">
      <c r="G33" s="14" t="s">
        <v>51</v>
      </c>
      <c r="H33" s="26">
        <f>E13</f>
        <v>0.13802134393994567</v>
      </c>
      <c r="I33" s="26">
        <f>F13</f>
        <v>3.1287639001708632E-2</v>
      </c>
      <c r="J33" s="26">
        <f>G13</f>
        <v>0.22668696093353627</v>
      </c>
      <c r="K33" s="26">
        <f>H13</f>
        <v>1.4005209938096973E-4</v>
      </c>
      <c r="L33" s="26">
        <f>I13</f>
        <v>4.6684033126989904E-6</v>
      </c>
      <c r="M33" s="26">
        <f>J13</f>
        <v>3.3823778116015561E-5</v>
      </c>
    </row>
    <row r="34" spans="2:16" ht="15.6" x14ac:dyDescent="0.3">
      <c r="B34" s="43"/>
      <c r="G34" s="14" t="s">
        <v>52</v>
      </c>
      <c r="H34" s="26">
        <f>E14</f>
        <v>0.13351166633987843</v>
      </c>
      <c r="I34" s="26">
        <f>F14</f>
        <v>2.1007814907145459E-2</v>
      </c>
      <c r="J34" s="26">
        <f>G14</f>
        <v>0.1573481590265394</v>
      </c>
      <c r="K34" s="26">
        <f>H14</f>
        <v>3.8280907164131724E-4</v>
      </c>
      <c r="L34" s="26">
        <f>I14</f>
        <v>4.2015629814290913E-5</v>
      </c>
      <c r="M34" s="26">
        <f>J14</f>
        <v>3.1469631805307877E-4</v>
      </c>
      <c r="P34" s="20"/>
    </row>
    <row r="35" spans="2:16" x14ac:dyDescent="0.25">
      <c r="G35" s="14" t="s">
        <v>58</v>
      </c>
      <c r="H35" s="25">
        <f>SQRT(H33*(1-H33))</f>
        <v>0.3449223862798077</v>
      </c>
      <c r="I35" s="25">
        <f>SQRT(I33*(1-I33))</f>
        <v>0.17409400520238311</v>
      </c>
      <c r="J35" s="25">
        <f t="shared" ref="J35:M35" si="2">SQRT(J33*(1-J33))</f>
        <v>0.4186884076210538</v>
      </c>
      <c r="K35" s="25">
        <f t="shared" si="2"/>
        <v>1.1833532219520456E-2</v>
      </c>
      <c r="L35" s="25">
        <f t="shared" si="2"/>
        <v>2.1606437741352692E-3</v>
      </c>
      <c r="M35" s="25">
        <f t="shared" si="2"/>
        <v>5.8157230047561174E-3</v>
      </c>
    </row>
    <row r="36" spans="2:16" x14ac:dyDescent="0.25">
      <c r="G36" s="14" t="s">
        <v>57</v>
      </c>
      <c r="H36" s="25">
        <f>SQRT(H34*(1-H34))</f>
        <v>0.34012688998523388</v>
      </c>
      <c r="I36" s="25">
        <f t="shared" ref="I36:M36" si="3">SQRT(I34*(1-I34))</f>
        <v>0.14341020403016158</v>
      </c>
      <c r="J36" s="25">
        <f t="shared" si="3"/>
        <v>0.36412870784586354</v>
      </c>
      <c r="K36" s="25">
        <f t="shared" si="3"/>
        <v>1.9561761905717654E-2</v>
      </c>
      <c r="L36" s="25">
        <f t="shared" si="3"/>
        <v>6.481810279631935E-3</v>
      </c>
      <c r="M36" s="25">
        <f t="shared" si="3"/>
        <v>1.7736890490739423E-2</v>
      </c>
    </row>
    <row r="37" spans="2:16" x14ac:dyDescent="0.25">
      <c r="G37" s="58" t="s">
        <v>53</v>
      </c>
      <c r="H37" s="60">
        <f>SQRT((H33-H34)^2)/(H35^2+H36^2)</f>
        <v>1.9218106054951375E-2</v>
      </c>
      <c r="I37" s="60">
        <f>SQRT((I33-I34)^2)/(I35^2+I36^2)</f>
        <v>0.20205959331855491</v>
      </c>
      <c r="J37" s="60">
        <f t="shared" ref="J37:L37" si="4">SQRT((J33-J34)^2)/(J35^2+J36^2)</f>
        <v>0.22520663157196077</v>
      </c>
      <c r="K37" s="60">
        <f t="shared" si="4"/>
        <v>0.46443330416877499</v>
      </c>
      <c r="L37" s="60">
        <f t="shared" si="4"/>
        <v>0.80003062589811857</v>
      </c>
      <c r="M37" s="60">
        <f>SQRT((M33-M34)^2)/(M35^2+M36^2)</f>
        <v>0.80613227070474269</v>
      </c>
    </row>
    <row r="39" spans="2:16" x14ac:dyDescent="0.25">
      <c r="H39" s="55"/>
    </row>
    <row r="41" spans="2:16" x14ac:dyDescent="0.25">
      <c r="H41" s="55"/>
    </row>
  </sheetData>
  <mergeCells count="8">
    <mergeCell ref="G31:G32"/>
    <mergeCell ref="G28:M28"/>
    <mergeCell ref="C11:C12"/>
    <mergeCell ref="D11:D12"/>
    <mergeCell ref="F11:G11"/>
    <mergeCell ref="I11:J11"/>
    <mergeCell ref="I31:J31"/>
    <mergeCell ref="L31:M3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Averages Calculations</vt:lpstr>
      <vt:lpstr>Conversions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Ritwiz Arya</dc:creator>
  <cp:lastModifiedBy>user</cp:lastModifiedBy>
  <dcterms:created xsi:type="dcterms:W3CDTF">2020-03-20T01:51:54Z</dcterms:created>
  <dcterms:modified xsi:type="dcterms:W3CDTF">2020-05-21T12:16:43Z</dcterms:modified>
</cp:coreProperties>
</file>