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elip\OneDrive\Área de Trabalho\UNB\2º Semestre\Física experimental\"/>
    </mc:Choice>
  </mc:AlternateContent>
  <xr:revisionPtr revIDLastSave="0" documentId="13_ncr:1_{3DBDA582-F04B-4368-A62F-E57D645FA101}" xr6:coauthVersionLast="47" xr6:coauthVersionMax="47" xr10:uidLastSave="{00000000-0000-0000-0000-000000000000}"/>
  <bookViews>
    <workbookView xWindow="16284" yWindow="-1824" windowWidth="23256" windowHeight="131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20" i="1"/>
  <c r="C32" i="1"/>
  <c r="B32" i="1"/>
  <c r="C29" i="1"/>
  <c r="C28" i="1"/>
  <c r="F28" i="1"/>
  <c r="E28" i="1"/>
  <c r="C27" i="1"/>
  <c r="F27" i="1"/>
  <c r="E27" i="1"/>
  <c r="I17" i="1"/>
  <c r="I2" i="1"/>
  <c r="I23" i="1"/>
  <c r="I22" i="1"/>
  <c r="I19" i="1"/>
  <c r="L19" i="1"/>
  <c r="K19" i="1"/>
  <c r="I18" i="1"/>
  <c r="C31" i="1"/>
  <c r="B31" i="1"/>
  <c r="B29" i="1"/>
  <c r="B28" i="1"/>
  <c r="B27" i="1"/>
  <c r="H24" i="1"/>
  <c r="H23" i="1"/>
  <c r="H22" i="1"/>
  <c r="H19" i="1"/>
  <c r="H18" i="1"/>
  <c r="H17" i="1"/>
  <c r="E25" i="1"/>
  <c r="D24" i="1"/>
  <c r="D25" i="1" s="1"/>
  <c r="E24" i="1"/>
  <c r="E23" i="1"/>
  <c r="D23" i="1"/>
  <c r="C13" i="1"/>
  <c r="C12" i="1"/>
  <c r="G13" i="1"/>
  <c r="G14" i="1"/>
  <c r="G12" i="1"/>
  <c r="F14" i="1"/>
  <c r="F13" i="1"/>
  <c r="F12" i="1"/>
  <c r="B14" i="1"/>
  <c r="B13" i="1"/>
  <c r="B12" i="1"/>
  <c r="I9" i="1"/>
  <c r="I8" i="1"/>
  <c r="H10" i="1"/>
  <c r="H9" i="1"/>
  <c r="H8" i="1"/>
  <c r="I5" i="1"/>
  <c r="L5" i="1"/>
  <c r="K5" i="1"/>
  <c r="H5" i="1"/>
  <c r="I4" i="1"/>
  <c r="L4" i="1"/>
  <c r="K4" i="1"/>
  <c r="H4" i="1"/>
  <c r="I3" i="1"/>
  <c r="H3" i="1"/>
  <c r="H2" i="1"/>
  <c r="E10" i="1"/>
  <c r="D10" i="1"/>
  <c r="E9" i="1"/>
  <c r="D9" i="1"/>
  <c r="E8" i="1"/>
  <c r="D8" i="1"/>
</calcChain>
</file>

<file path=xl/sharedStrings.xml><?xml version="1.0" encoding="utf-8"?>
<sst xmlns="http://schemas.openxmlformats.org/spreadsheetml/2006/main" count="41" uniqueCount="26">
  <si>
    <t>Colisão Elástica</t>
  </si>
  <si>
    <t>massa A</t>
  </si>
  <si>
    <t>massa B</t>
  </si>
  <si>
    <t>Intervalos de tempo 1</t>
  </si>
  <si>
    <t>Intervalos de tempo 2</t>
  </si>
  <si>
    <t>média</t>
  </si>
  <si>
    <t>erro aleatório</t>
  </si>
  <si>
    <t>erro absoluto</t>
  </si>
  <si>
    <t>VAi</t>
  </si>
  <si>
    <t>VBf</t>
  </si>
  <si>
    <t>VAf</t>
  </si>
  <si>
    <t>Pi</t>
  </si>
  <si>
    <t>erro VBf</t>
  </si>
  <si>
    <t>Pf</t>
  </si>
  <si>
    <t>erro P</t>
  </si>
  <si>
    <t>Ki</t>
  </si>
  <si>
    <t>Kf</t>
  </si>
  <si>
    <t>erro K</t>
  </si>
  <si>
    <t>VAi^2</t>
  </si>
  <si>
    <t>VAf^2</t>
  </si>
  <si>
    <t>VBf^2</t>
  </si>
  <si>
    <t>Colisão Inelástica</t>
  </si>
  <si>
    <t>VABf</t>
  </si>
  <si>
    <t>erro VABf</t>
  </si>
  <si>
    <t>Q</t>
  </si>
  <si>
    <t>equação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</si>
</sst>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0" workbookViewId="0">
      <selection activeCell="H7" sqref="H7"/>
    </sheetView>
  </sheetViews>
  <sheetFormatPr defaultColWidth="9.140625" defaultRowHeight="15" x14ac:dyDescent="0.25"/>
  <cols>
    <col min="1" max="1" width="9.140625" style="1"/>
    <col min="2" max="2" width="10.140625" style="1" bestFit="1" customWidth="1"/>
    <col min="3" max="3" width="13.28515625" style="1" bestFit="1" customWidth="1"/>
    <col min="4" max="5" width="20.5703125" style="1" bestFit="1" customWidth="1"/>
    <col min="6" max="7" width="9.140625" style="1"/>
    <col min="8" max="8" width="10.42578125" style="1" bestFit="1" customWidth="1"/>
    <col min="9" max="9" width="9.42578125" style="1" bestFit="1" customWidth="1"/>
    <col min="10" max="16384" width="9.140625" style="1"/>
  </cols>
  <sheetData>
    <row r="1" spans="1:12" s="2" customFormat="1" x14ac:dyDescent="0.25">
      <c r="A1" s="8" t="s">
        <v>0</v>
      </c>
      <c r="B1" s="8"/>
    </row>
    <row r="2" spans="1:12" x14ac:dyDescent="0.25">
      <c r="A2" s="1" t="s">
        <v>1</v>
      </c>
      <c r="B2" s="1" t="s">
        <v>2</v>
      </c>
      <c r="D2" s="1" t="s">
        <v>3</v>
      </c>
      <c r="E2" s="1" t="s">
        <v>4</v>
      </c>
      <c r="G2" s="1" t="s">
        <v>8</v>
      </c>
      <c r="H2" s="5">
        <f>(10/D8)</f>
        <v>72.358900144717794</v>
      </c>
      <c r="I2" s="5">
        <f>(0.05/10+D10/D8)*H2</f>
        <v>1.0812816314562226</v>
      </c>
    </row>
    <row r="3" spans="1:12" x14ac:dyDescent="0.25">
      <c r="A3" s="1">
        <v>236.5</v>
      </c>
      <c r="B3" s="1">
        <v>329.5</v>
      </c>
      <c r="D3" s="1">
        <v>0.13800000000000001</v>
      </c>
      <c r="E3" s="4">
        <v>0.18</v>
      </c>
      <c r="G3" s="1" t="s">
        <v>9</v>
      </c>
      <c r="H3" s="5">
        <f>10/E8</f>
        <v>55.617352614015587</v>
      </c>
      <c r="I3" s="5">
        <f>(0.05/10+E10/E8)*H3</f>
        <v>0.64928155248508757</v>
      </c>
    </row>
    <row r="4" spans="1:12" x14ac:dyDescent="0.25">
      <c r="D4" s="1">
        <v>0.13900000000000001</v>
      </c>
      <c r="E4" s="4">
        <v>0.18</v>
      </c>
      <c r="G4" s="1" t="s">
        <v>10</v>
      </c>
      <c r="H4" s="5">
        <f>((A3-B3)/(A3+B3))*H2</f>
        <v>-11.889359917771651</v>
      </c>
      <c r="I4" s="5">
        <f>-((L4/K4)+I2/H2)*H4</f>
        <v>7.0829772965516874E-2</v>
      </c>
      <c r="K4" s="1">
        <f>(A3-B3)/(A3+B3)</f>
        <v>-0.16431095406360424</v>
      </c>
      <c r="L4" s="1">
        <f>(1/(A3-B3)+1/(A3+B3))*K4</f>
        <v>1.4764824133151869E-3</v>
      </c>
    </row>
    <row r="5" spans="1:12" x14ac:dyDescent="0.25">
      <c r="D5" s="1">
        <v>0.13700000000000001</v>
      </c>
      <c r="E5" s="1">
        <v>0.17899999999999999</v>
      </c>
      <c r="G5" s="1" t="s">
        <v>9</v>
      </c>
      <c r="H5" s="5">
        <f>((2*A3)/(A3+B3))*H2</f>
        <v>60.469540226946144</v>
      </c>
      <c r="I5" s="5">
        <f>(L5/K5+I2/H2)*H5</f>
        <v>1.1382944382516911</v>
      </c>
      <c r="K5" s="1">
        <f>(2*A3)/(A3+B3)</f>
        <v>0.83568904593639581</v>
      </c>
      <c r="L5" s="1">
        <f>((1/(2*A3))+(1/(A3+B3)))*K5</f>
        <v>3.2432668656120068E-3</v>
      </c>
    </row>
    <row r="6" spans="1:12" x14ac:dyDescent="0.25">
      <c r="D6" s="1">
        <v>0.13800000000000001</v>
      </c>
      <c r="E6" s="4">
        <v>0.18</v>
      </c>
      <c r="G6" s="1" t="s">
        <v>12</v>
      </c>
      <c r="H6" s="3">
        <f>(H5-H3)/H5</f>
        <v>8.024184729567943E-2</v>
      </c>
    </row>
    <row r="7" spans="1:12" x14ac:dyDescent="0.25">
      <c r="D7" s="1">
        <v>0.13900000000000001</v>
      </c>
      <c r="E7" s="4">
        <v>0.18</v>
      </c>
    </row>
    <row r="8" spans="1:12" x14ac:dyDescent="0.25">
      <c r="C8" s="1" t="s">
        <v>5</v>
      </c>
      <c r="D8" s="4">
        <f>AVERAGE(D3:D7)</f>
        <v>0.13820000000000002</v>
      </c>
      <c r="E8" s="4">
        <f>AVERAGE(E3:E7)</f>
        <v>0.17979999999999996</v>
      </c>
      <c r="G8" s="1" t="s">
        <v>11</v>
      </c>
      <c r="H8" s="5">
        <f>A3*H2+B3*0</f>
        <v>17112.879884225757</v>
      </c>
      <c r="I8" s="5">
        <f>(0.5/A3+I2/H2)*H8</f>
        <v>291.90255591175548</v>
      </c>
    </row>
    <row r="9" spans="1:12" x14ac:dyDescent="0.25">
      <c r="C9" s="1" t="s">
        <v>6</v>
      </c>
      <c r="D9" s="4">
        <f>(((D3-D8)^2+(D4-D8)^2+(D5-D8)^2+(D6-D8)^2+(D7-D8)^2)/20)^(1/2)</f>
        <v>3.7416573867739446E-4</v>
      </c>
      <c r="E9" s="4">
        <f>(((E3-E8)^2+(E4-E8)^2+(E5-E8)^2+(E6-E8)^2+(E7-E8)^2)/20)^(1/2)</f>
        <v>2.0000000000000017E-4</v>
      </c>
      <c r="G9" s="1" t="s">
        <v>13</v>
      </c>
      <c r="H9" s="5">
        <f>A3*H4+B3*H3</f>
        <v>15514.084065765139</v>
      </c>
      <c r="I9" s="5">
        <f>((0.5/A3+I4/H4)*(A3*H4)+(0.5/B3+I3/H3)*(B3*H3))</f>
        <v>252.55350919830303</v>
      </c>
    </row>
    <row r="10" spans="1:12" x14ac:dyDescent="0.25">
      <c r="C10" s="1" t="s">
        <v>7</v>
      </c>
      <c r="D10" s="4">
        <f>D9+0.001</f>
        <v>1.3741657386773945E-3</v>
      </c>
      <c r="E10" s="4">
        <f>E9+0.001</f>
        <v>1.2000000000000001E-3</v>
      </c>
      <c r="G10" s="1" t="s">
        <v>14</v>
      </c>
      <c r="H10" s="3">
        <f>(H8-H9)/H8</f>
        <v>9.3426461780658526E-2</v>
      </c>
    </row>
    <row r="12" spans="1:12" x14ac:dyDescent="0.25">
      <c r="A12" s="1" t="s">
        <v>15</v>
      </c>
      <c r="B12" s="5">
        <f>((A3*H2^2)+(B3*0))/2</f>
        <v>619134.5833656207</v>
      </c>
      <c r="C12" s="5">
        <f>(((0.5/A3)+(G12/F12))*(F12*A3))/2</f>
        <v>19812.795287668312</v>
      </c>
      <c r="E12" s="1" t="s">
        <v>18</v>
      </c>
      <c r="F12" s="5">
        <f>H2^2</f>
        <v>5235.8104301532403</v>
      </c>
      <c r="G12" s="1">
        <f>(I2/H2+I2/H2)*F12</f>
        <v>156.48069919771669</v>
      </c>
    </row>
    <row r="13" spans="1:12" x14ac:dyDescent="0.25">
      <c r="A13" s="1" t="s">
        <v>16</v>
      </c>
      <c r="B13" s="5">
        <f>((A3*H4^2)+(B3*H3^2))/2</f>
        <v>526334.96393951296</v>
      </c>
      <c r="C13" s="5">
        <f>(((0.5/A3+G13/F13)*F13*A3)+((0.5/B3+G14/F14)*F14*B3))/2</f>
        <v>12906.503520808652</v>
      </c>
      <c r="E13" s="1" t="s">
        <v>19</v>
      </c>
      <c r="F13" s="5">
        <f>H4^2</f>
        <v>141.35687925431512</v>
      </c>
      <c r="G13" s="1">
        <f>-(I4/H4+I4/H4)*F13</f>
        <v>1.6842413273621648</v>
      </c>
    </row>
    <row r="14" spans="1:12" x14ac:dyDescent="0.25">
      <c r="A14" s="1" t="s">
        <v>17</v>
      </c>
      <c r="B14" s="3">
        <f>(B12-B13)/B12</f>
        <v>0.14988602142307775</v>
      </c>
      <c r="E14" s="1" t="s">
        <v>20</v>
      </c>
      <c r="F14" s="5">
        <f>H3^2</f>
        <v>3093.2899117917464</v>
      </c>
      <c r="G14" s="1">
        <f>(I3/H3+I3/H3)*F14</f>
        <v>72.222642100677163</v>
      </c>
    </row>
    <row r="16" spans="1:12" s="6" customFormat="1" x14ac:dyDescent="0.25">
      <c r="A16" s="9" t="s">
        <v>21</v>
      </c>
      <c r="B16" s="9"/>
    </row>
    <row r="17" spans="1:12" x14ac:dyDescent="0.25">
      <c r="A17" s="1" t="s">
        <v>1</v>
      </c>
      <c r="B17" s="1" t="s">
        <v>2</v>
      </c>
      <c r="D17" s="1" t="s">
        <v>3</v>
      </c>
      <c r="E17" s="1" t="s">
        <v>4</v>
      </c>
      <c r="G17" s="1" t="s">
        <v>8</v>
      </c>
      <c r="H17" s="5">
        <f>10/D23</f>
        <v>76.33587786259541</v>
      </c>
      <c r="I17" s="5">
        <f>(0.05/10+D25/D23)*H17</f>
        <v>0.96439601421828547</v>
      </c>
    </row>
    <row r="18" spans="1:12" x14ac:dyDescent="0.25">
      <c r="A18" s="1">
        <v>226</v>
      </c>
      <c r="B18" s="1">
        <v>221</v>
      </c>
      <c r="D18" s="1">
        <v>0.13100000000000001</v>
      </c>
      <c r="E18" s="1">
        <v>0.28399999999999997</v>
      </c>
      <c r="G18" s="1" t="s">
        <v>9</v>
      </c>
      <c r="H18" s="5">
        <f>10/E23</f>
        <v>35.087719298245617</v>
      </c>
      <c r="I18" s="5">
        <f>(0.05/10+E25/E23)*H18</f>
        <v>0.41535035987079294</v>
      </c>
    </row>
    <row r="19" spans="1:12" x14ac:dyDescent="0.25">
      <c r="D19" s="1">
        <v>0.13100000000000001</v>
      </c>
      <c r="E19" s="1">
        <v>0.28199999999999997</v>
      </c>
      <c r="G19" s="1" t="s">
        <v>22</v>
      </c>
      <c r="H19" s="5">
        <f>(A18/(A18+B18))*H17</f>
        <v>38.594873371245107</v>
      </c>
      <c r="I19" s="5">
        <f>(L19/K19+I17/H17)*H19</f>
        <v>0.65932060741806564</v>
      </c>
      <c r="K19" s="1">
        <f>A18/(A18+B18)</f>
        <v>0.50559284116331094</v>
      </c>
      <c r="L19" s="1">
        <f>(0.5/A18+1/(A18+B18))*K19</f>
        <v>2.249648414235595E-3</v>
      </c>
    </row>
    <row r="20" spans="1:12" x14ac:dyDescent="0.25">
      <c r="D20" s="1">
        <v>0.13100000000000001</v>
      </c>
      <c r="E20" s="1">
        <v>0.28499999999999998</v>
      </c>
      <c r="G20" s="1" t="s">
        <v>23</v>
      </c>
      <c r="H20" s="3">
        <f>(H19-H18)/H19</f>
        <v>9.0870982766650982E-2</v>
      </c>
      <c r="I20" s="7"/>
    </row>
    <row r="21" spans="1:12" x14ac:dyDescent="0.25">
      <c r="D21" s="1">
        <v>0.13100000000000001</v>
      </c>
      <c r="E21" s="1">
        <v>0.28699999999999998</v>
      </c>
    </row>
    <row r="22" spans="1:12" x14ac:dyDescent="0.25">
      <c r="D22" s="1">
        <v>0.13100000000000001</v>
      </c>
      <c r="E22" s="1">
        <v>0.28699999999999998</v>
      </c>
      <c r="G22" s="1" t="s">
        <v>11</v>
      </c>
      <c r="H22" s="5">
        <f>A18*H17</f>
        <v>17251.908396946561</v>
      </c>
      <c r="I22" s="5">
        <f>(0.5/A18+I17/H17)*H22</f>
        <v>256.12143814463019</v>
      </c>
    </row>
    <row r="23" spans="1:12" x14ac:dyDescent="0.25">
      <c r="C23" s="1" t="s">
        <v>5</v>
      </c>
      <c r="D23" s="1">
        <f>AVERAGE(D18:D22)</f>
        <v>0.13100000000000001</v>
      </c>
      <c r="E23" s="1">
        <f>AVERAGE(E18:E22)</f>
        <v>0.28499999999999998</v>
      </c>
      <c r="G23" s="1" t="s">
        <v>13</v>
      </c>
      <c r="H23" s="5">
        <f>(A18+B18)*H18</f>
        <v>15684.21052631579</v>
      </c>
      <c r="I23" s="5">
        <f>(1/(A18+B18)+I18/H18)*H23</f>
        <v>220.74933016049002</v>
      </c>
    </row>
    <row r="24" spans="1:12" x14ac:dyDescent="0.25">
      <c r="C24" s="1" t="s">
        <v>6</v>
      </c>
      <c r="D24" s="4">
        <f>_xlfn.STDEV.S(D18:D22)/SQRT(5)</f>
        <v>0</v>
      </c>
      <c r="E24" s="4">
        <f>_xlfn.STDEV.S(E18:E22)/SQRT(5)</f>
        <v>9.4868329805051469E-4</v>
      </c>
      <c r="G24" s="1" t="s">
        <v>14</v>
      </c>
      <c r="H24" s="3">
        <f>(H22-H23)/H22</f>
        <v>9.0870982766650898E-2</v>
      </c>
    </row>
    <row r="25" spans="1:12" x14ac:dyDescent="0.25">
      <c r="C25" s="1" t="s">
        <v>7</v>
      </c>
      <c r="D25" s="1">
        <f>D24+0.001</f>
        <v>1E-3</v>
      </c>
      <c r="E25" s="4">
        <f>E24+0.001</f>
        <v>1.9486832980505147E-3</v>
      </c>
    </row>
    <row r="27" spans="1:12" x14ac:dyDescent="0.25">
      <c r="A27" s="1" t="s">
        <v>15</v>
      </c>
      <c r="B27" s="5">
        <f>(A18*H17^2)/2</f>
        <v>658469.78614299849</v>
      </c>
      <c r="C27" s="5">
        <f>((0.5/A18+F27/E27)*B27)/2</f>
        <v>9047.2316289687533</v>
      </c>
      <c r="E27" s="5">
        <f>H17*H17</f>
        <v>5827.1662490530844</v>
      </c>
      <c r="F27" s="5">
        <f>(I17/H17+I17/H17)*E27</f>
        <v>147.23603270508175</v>
      </c>
    </row>
    <row r="28" spans="1:12" x14ac:dyDescent="0.25">
      <c r="A28" s="1" t="s">
        <v>16</v>
      </c>
      <c r="B28" s="5">
        <f>((A18+B18)*H18^2)/2</f>
        <v>275161.58818097884</v>
      </c>
      <c r="C28" s="5">
        <f>((1/(A18+B18)+F28/E28)*B28)/2</f>
        <v>3565.0082545853907</v>
      </c>
      <c r="E28" s="5">
        <f>H18*H18</f>
        <v>1231.1480455524779</v>
      </c>
      <c r="F28" s="5">
        <f>(I18/H18+I18/H18)*E28</f>
        <v>29.147393675143366</v>
      </c>
    </row>
    <row r="29" spans="1:12" x14ac:dyDescent="0.25">
      <c r="A29" s="1" t="s">
        <v>24</v>
      </c>
      <c r="B29" s="5">
        <f>B28-B27</f>
        <v>-383308.19796201965</v>
      </c>
      <c r="C29" s="5">
        <f>C27+C28</f>
        <v>12612.239883554144</v>
      </c>
    </row>
    <row r="31" spans="1:12" x14ac:dyDescent="0.25">
      <c r="A31" s="1" t="s">
        <v>25</v>
      </c>
      <c r="B31" s="4">
        <f>B28/B27</f>
        <v>0.41788035528971496</v>
      </c>
      <c r="C31" s="4">
        <f>A18/(A18+B18)</f>
        <v>0.50559284116331094</v>
      </c>
    </row>
    <row r="32" spans="1:12" x14ac:dyDescent="0.25">
      <c r="B32" s="4">
        <f>(C28/B28+C27/B27)*B31</f>
        <v>1.1155665418021102E-2</v>
      </c>
      <c r="C32" s="4">
        <f>(0.5/A18+1/(A18+B18))*C31</f>
        <v>2.249648414235595E-3</v>
      </c>
    </row>
  </sheetData>
  <mergeCells count="2">
    <mergeCell ref="A1:B1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Amorim</dc:creator>
  <cp:lastModifiedBy>Felipe Amorim</cp:lastModifiedBy>
  <dcterms:created xsi:type="dcterms:W3CDTF">2015-06-05T18:19:34Z</dcterms:created>
  <dcterms:modified xsi:type="dcterms:W3CDTF">2023-01-30T22:36:08Z</dcterms:modified>
</cp:coreProperties>
</file>