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isi\Dropbox\Lean Seix Sigma I4.0\analises_r\"/>
    </mc:Choice>
  </mc:AlternateContent>
  <xr:revisionPtr revIDLastSave="0" documentId="13_ncr:1_{EE807C89-F84A-40BB-81FE-CE38FB841E2D}" xr6:coauthVersionLast="47" xr6:coauthVersionMax="47" xr10:uidLastSave="{00000000-0000-0000-0000-000000000000}"/>
  <bookViews>
    <workbookView xWindow="-110" yWindow="-110" windowWidth="19420" windowHeight="10300" xr2:uid="{79994EC8-E7E4-4617-AADD-222E570302D0}"/>
  </bookViews>
  <sheets>
    <sheet name="dataset" sheetId="1" r:id="rId1"/>
    <sheet name="scheme" sheetId="2" r:id="rId2"/>
  </sheets>
  <definedNames>
    <definedName name="_xlnm._FilterDatabase" localSheetId="0" hidden="1">dataset!$B$1:$L$119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</calcChain>
</file>

<file path=xl/sharedStrings.xml><?xml version="1.0" encoding="utf-8"?>
<sst xmlns="http://schemas.openxmlformats.org/spreadsheetml/2006/main" count="366" uniqueCount="76">
  <si>
    <t>SEMANA</t>
  </si>
  <si>
    <t>TIPO DE PRODUTO</t>
  </si>
  <si>
    <t>LB02</t>
  </si>
  <si>
    <t>Peso Cru
10x (g)</t>
  </si>
  <si>
    <t>TEMPERATURA
ZONA 1
(°C)</t>
  </si>
  <si>
    <t>TEMPERATURA ZONA 2
(°C)</t>
  </si>
  <si>
    <t>TEMPERATURA ZONA 3
(°C)</t>
  </si>
  <si>
    <t>TEMPERATURA ZONA 4
(°C)</t>
  </si>
  <si>
    <t>Peso Assado
10x (g)</t>
  </si>
  <si>
    <t>ESPESSURA
10x (mm)</t>
  </si>
  <si>
    <t>COMPRIMENTO
(mm)</t>
  </si>
  <si>
    <t>LARGURA
(mm)</t>
  </si>
  <si>
    <t>SEMANA 1</t>
  </si>
  <si>
    <t>ADRIA BASE CLARA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</si>
  <si>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</si>
  <si>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</si>
  <si>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</si>
  <si>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</si>
  <si>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</si>
  <si>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</si>
  <si>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</si>
  <si>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</si>
  <si>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</si>
  <si>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AMORI BASE CLARA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</si>
  <si>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</si>
  <si>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</si>
  <si>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</si>
  <si>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</si>
  <si>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</si>
  <si>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</si>
  <si>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</si>
  <si>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</si>
  <si>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</si>
  <si>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</si>
  <si>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RUN20</t>
  </si>
  <si>
    <t>RUN21</t>
  </si>
  <si>
    <t>RUN22</t>
  </si>
  <si>
    <t>RUN23</t>
  </si>
  <si>
    <t>RUN24</t>
  </si>
  <si>
    <t>RUN25</t>
  </si>
  <si>
    <t>RUN26</t>
  </si>
  <si>
    <t>RUN27</t>
  </si>
  <si>
    <t>RUN28</t>
  </si>
  <si>
    <t>RUN29</t>
  </si>
  <si>
    <t>RUN30</t>
  </si>
  <si>
    <t>RUN31</t>
  </si>
  <si>
    <t>RUN32</t>
  </si>
  <si>
    <t>RUN33</t>
  </si>
  <si>
    <t>RUN34</t>
  </si>
  <si>
    <t>RUN35</t>
  </si>
  <si>
    <t>RUN36</t>
  </si>
  <si>
    <t>RUN37</t>
  </si>
  <si>
    <t>AMORI BASE ESCURA</t>
  </si>
  <si>
    <t>RUN38</t>
  </si>
  <si>
    <t>RUN39</t>
  </si>
  <si>
    <t>RUN40</t>
  </si>
  <si>
    <t>RUN41</t>
  </si>
  <si>
    <t>RUN42</t>
  </si>
  <si>
    <t>RUN43</t>
  </si>
  <si>
    <t>RUN44</t>
  </si>
  <si>
    <t>RUN45</t>
  </si>
  <si>
    <t>RUN46</t>
  </si>
  <si>
    <t>RUN47</t>
  </si>
  <si>
    <t>RUN48</t>
  </si>
  <si>
    <t>RUN49</t>
  </si>
  <si>
    <t>RUN50</t>
  </si>
  <si>
    <t>RUN51</t>
  </si>
  <si>
    <t>RUN52</t>
  </si>
  <si>
    <t>SEMANA 2</t>
  </si>
  <si>
    <t>VITARELLA BASE CLARA</t>
  </si>
  <si>
    <t>RUN53</t>
  </si>
  <si>
    <t>RUN54</t>
  </si>
  <si>
    <t>RUN55</t>
  </si>
  <si>
    <t>RUN56</t>
  </si>
  <si>
    <t>RUN57</t>
  </si>
  <si>
    <t>SEMANA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</si>
</sst>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3</xdr:row>
      <xdr:rowOff>114299</xdr:rowOff>
    </xdr:from>
    <xdr:to>
      <xdr:col>16</xdr:col>
      <xdr:colOff>224853</xdr:colOff>
      <xdr:row>25</xdr:row>
      <xdr:rowOff>85724</xdr:rowOff>
    </xdr:to>
    <xdr:pic>
      <xdr:nvPicPr>
        <xdr:cNvPr id="2" name="Imagem 7">
          <a:extLst>
            <a:ext uri="{FF2B5EF4-FFF2-40B4-BE49-F238E27FC236}">
              <a16:creationId xmlns:a16="http://schemas.microsoft.com/office/drawing/2014/main" id="{BF5C935A-ACFD-46A8-BC23-5765F3E712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634"/>
        <a:stretch/>
      </xdr:blipFill>
      <xdr:spPr bwMode="auto">
        <a:xfrm>
          <a:off x="638175" y="685799"/>
          <a:ext cx="9340278" cy="41624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304799</xdr:colOff>
      <xdr:row>27</xdr:row>
      <xdr:rowOff>47625</xdr:rowOff>
    </xdr:from>
    <xdr:to>
      <xdr:col>7</xdr:col>
      <xdr:colOff>276224</xdr:colOff>
      <xdr:row>41</xdr:row>
      <xdr:rowOff>101941</xdr:rowOff>
    </xdr:to>
    <xdr:pic>
      <xdr:nvPicPr>
        <xdr:cNvPr id="3" name="Imagem 9">
          <a:extLst>
            <a:ext uri="{FF2B5EF4-FFF2-40B4-BE49-F238E27FC236}">
              <a16:creationId xmlns:a16="http://schemas.microsoft.com/office/drawing/2014/main" id="{17368A20-3BA1-46BF-9B22-533D0B176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399" y="5191125"/>
          <a:ext cx="3629025" cy="27213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57148</xdr:colOff>
      <xdr:row>27</xdr:row>
      <xdr:rowOff>0</xdr:rowOff>
    </xdr:from>
    <xdr:to>
      <xdr:col>14</xdr:col>
      <xdr:colOff>609599</xdr:colOff>
      <xdr:row>41</xdr:row>
      <xdr:rowOff>33338</xdr:rowOff>
    </xdr:to>
    <xdr:pic>
      <xdr:nvPicPr>
        <xdr:cNvPr id="4" name="Imagem 12">
          <a:extLst>
            <a:ext uri="{FF2B5EF4-FFF2-40B4-BE49-F238E27FC236}">
              <a16:creationId xmlns:a16="http://schemas.microsoft.com/office/drawing/2014/main" id="{F399BDC3-8DD1-4B6F-96C4-CA5A58D44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48" y="5143500"/>
          <a:ext cx="3600451" cy="270033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16</xdr:col>
      <xdr:colOff>85725</xdr:colOff>
      <xdr:row>26</xdr:row>
      <xdr:rowOff>152400</xdr:rowOff>
    </xdr:from>
    <xdr:to>
      <xdr:col>18</xdr:col>
      <xdr:colOff>533263</xdr:colOff>
      <xdr:row>38</xdr:row>
      <xdr:rowOff>89535</xdr:rowOff>
    </xdr:to>
    <xdr:pic>
      <xdr:nvPicPr>
        <xdr:cNvPr id="5" name="Imagem 14">
          <a:extLst>
            <a:ext uri="{FF2B5EF4-FFF2-40B4-BE49-F238E27FC236}">
              <a16:creationId xmlns:a16="http://schemas.microsoft.com/office/drawing/2014/main" id="{5BFF164E-91FD-4D50-8DD6-CE1A48C1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9325" y="5105400"/>
          <a:ext cx="1666738" cy="222313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19</xdr:col>
      <xdr:colOff>73343</xdr:colOff>
      <xdr:row>26</xdr:row>
      <xdr:rowOff>145734</xdr:rowOff>
    </xdr:from>
    <xdr:to>
      <xdr:col>21</xdr:col>
      <xdr:colOff>523875</xdr:colOff>
      <xdr:row>38</xdr:row>
      <xdr:rowOff>86862</xdr:rowOff>
    </xdr:to>
    <xdr:pic>
      <xdr:nvPicPr>
        <xdr:cNvPr id="6" name="Imagem 23">
          <a:extLst>
            <a:ext uri="{FF2B5EF4-FFF2-40B4-BE49-F238E27FC236}">
              <a16:creationId xmlns:a16="http://schemas.microsoft.com/office/drawing/2014/main" id="{221963A7-4D7A-4E92-9602-2E98395E1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1377045" y="5377432"/>
          <a:ext cx="2227128" cy="16697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74F5-C04B-440B-BFE2-F9D0EC38B244}">
  <dimension ref="A1:V119"/>
  <sheetViews>
    <sheetView tabSelected="1" workbookViewId="0">
      <selection sqref="A1:XFD1"/>
    </sheetView>
  </sheetViews>
  <sheetFormatPr defaultColWidth="0" defaultRowHeight="14.5" x14ac:dyDescent="0.35"/>
  <cols>
    <col min="1" max="1" width="15.453125" style="11" customWidth="1"/>
    <col min="2" max="2" width="21.7265625" style="11" bestFit="1" customWidth="1"/>
    <col min="3" max="3" width="13.81640625" style="11" bestFit="1" customWidth="1"/>
    <col min="4" max="7" width="16" style="1" customWidth="1"/>
    <col min="8" max="8" width="13.453125" style="1" customWidth="1"/>
    <col min="9" max="9" width="12" style="1" customWidth="1"/>
    <col min="10" max="10" width="17.1796875" style="1" bestFit="1" customWidth="1"/>
    <col min="11" max="11" width="12.81640625" style="1" bestFit="1" customWidth="1"/>
    <col min="12" max="12" width="14.1796875" style="1" customWidth="1"/>
    <col min="13" max="22" width="0" style="1" hidden="1" customWidth="1"/>
    <col min="23" max="16384" width="9.1796875" style="1" hidden="1"/>
  </cols>
  <sheetData>
    <row r="1" spans="1:12" ht="43.5" x14ac:dyDescent="0.35">
      <c r="A1" s="2" t="s">
        <v>0</v>
      </c>
      <c r="B1" s="2" t="s">
        <v>1</v>
      </c>
      <c r="C1" s="3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3</v>
      </c>
      <c r="I1" s="4" t="s">
        <v>9</v>
      </c>
      <c r="J1" s="4" t="s">
        <v>10</v>
      </c>
      <c r="K1" s="4" t="s">
        <v>11</v>
      </c>
      <c r="L1" s="4" t="s">
        <v>8</v>
      </c>
    </row>
    <row r="2" spans="1:12" x14ac:dyDescent="0.35">
      <c r="A2" s="2" t="s">
        <v>12</v>
      </c>
      <c r="B2" s="2" t="s">
        <v>13</v>
      </c>
      <c r="C2" s="2" t="s">
        <v>14</v>
      </c>
      <c r="D2" s="5">
        <v>230</v>
      </c>
      <c r="E2" s="5">
        <v>235</v>
      </c>
      <c r="F2" s="5">
        <v>142</v>
      </c>
      <c r="G2" s="5">
        <v>195</v>
      </c>
      <c r="H2" s="5">
        <v>56.4</v>
      </c>
      <c r="I2" s="5">
        <v>83.2</v>
      </c>
      <c r="J2" s="6">
        <f>AVERAGE(40.5,40.2,40.6,40.2,40.6)</f>
        <v>40.42</v>
      </c>
      <c r="K2" s="6">
        <f>AVERAGE(40.2,40,40.3,40.1,40)</f>
        <v>40.119999999999997</v>
      </c>
      <c r="L2" s="5">
        <v>48.4</v>
      </c>
    </row>
    <row r="3" spans="1:12" x14ac:dyDescent="0.35">
      <c r="A3" s="2" t="s">
        <v>12</v>
      </c>
      <c r="B3" s="2" t="s">
        <v>13</v>
      </c>
      <c r="C3" s="2" t="s">
        <v>16</v>
      </c>
      <c r="D3" s="5">
        <v>230</v>
      </c>
      <c r="E3" s="5">
        <v>235</v>
      </c>
      <c r="F3" s="5">
        <v>142</v>
      </c>
      <c r="G3" s="5">
        <v>195</v>
      </c>
      <c r="H3" s="6">
        <v>57</v>
      </c>
      <c r="I3" s="5">
        <v>83.1</v>
      </c>
      <c r="J3" s="5">
        <f>AVERAGE(40.4,40.5,41,40.9,40.7)</f>
        <v>40.700000000000003</v>
      </c>
      <c r="K3" s="6">
        <f>AVERAGE(39.8,40.4,40.3,40.6,40.6)</f>
        <v>40.339999999999996</v>
      </c>
      <c r="L3" s="5">
        <v>49.1</v>
      </c>
    </row>
    <row r="4" spans="1:12" x14ac:dyDescent="0.35">
      <c r="A4" s="2" t="s">
        <v>12</v>
      </c>
      <c r="B4" s="2" t="s">
        <v>13</v>
      </c>
      <c r="C4" s="2" t="s">
        <v>17</v>
      </c>
      <c r="D4" s="5">
        <v>231</v>
      </c>
      <c r="E4" s="5">
        <v>235</v>
      </c>
      <c r="F4" s="5">
        <v>142</v>
      </c>
      <c r="G4" s="5">
        <v>195</v>
      </c>
      <c r="H4" s="5">
        <v>54.9</v>
      </c>
      <c r="I4" s="6">
        <v>83</v>
      </c>
      <c r="J4" s="6">
        <f>AVERAGE(39.1,40,39.4,39.1,39.7)</f>
        <v>39.46</v>
      </c>
      <c r="K4" s="6">
        <f>AVERAGE(39.6,39.4,39.5,39.2,39.7)</f>
        <v>39.479999999999997</v>
      </c>
      <c r="L4" s="5">
        <v>47.2</v>
      </c>
    </row>
    <row r="5" spans="1:12" x14ac:dyDescent="0.35">
      <c r="A5" s="2" t="s">
        <v>12</v>
      </c>
      <c r="B5" s="2" t="s">
        <v>13</v>
      </c>
      <c r="C5" s="2" t="s">
        <v>18</v>
      </c>
      <c r="D5" s="5">
        <v>231</v>
      </c>
      <c r="E5" s="5">
        <v>235</v>
      </c>
      <c r="F5" s="5">
        <v>142</v>
      </c>
      <c r="G5" s="5">
        <v>195</v>
      </c>
      <c r="H5" s="5">
        <v>54.4</v>
      </c>
      <c r="I5" s="5">
        <v>82.5</v>
      </c>
      <c r="J5" s="6">
        <f>AVERAGE(39.3,40.1,39.6,39.9,39.7)</f>
        <v>39.720000000000006</v>
      </c>
      <c r="K5" s="6">
        <f>AVERAGE(39.8,39.6,39.5,39.2,39.6)</f>
        <v>39.540000000000006</v>
      </c>
      <c r="L5" s="5">
        <v>46.7</v>
      </c>
    </row>
    <row r="6" spans="1:12" x14ac:dyDescent="0.35">
      <c r="A6" s="2" t="s">
        <v>12</v>
      </c>
      <c r="B6" s="2" t="s">
        <v>13</v>
      </c>
      <c r="C6" s="2" t="s">
        <v>19</v>
      </c>
      <c r="D6" s="5">
        <v>231</v>
      </c>
      <c r="E6" s="5">
        <v>235</v>
      </c>
      <c r="F6" s="5">
        <v>142</v>
      </c>
      <c r="G6" s="5">
        <v>195</v>
      </c>
      <c r="H6" s="5">
        <v>54.7</v>
      </c>
      <c r="I6" s="5">
        <v>82.9</v>
      </c>
      <c r="J6" s="5">
        <f>AVERAGE(39.6,39.1,40,39.4,39.4)</f>
        <v>39.5</v>
      </c>
      <c r="K6" s="6">
        <f>AVERAGE(39.4,39.4,39.5,39.4,39.9)</f>
        <v>39.519999999999996</v>
      </c>
      <c r="L6" s="5">
        <v>47.2</v>
      </c>
    </row>
    <row r="7" spans="1:12" x14ac:dyDescent="0.35">
      <c r="A7" s="2" t="s">
        <v>12</v>
      </c>
      <c r="B7" s="2" t="s">
        <v>13</v>
      </c>
      <c r="C7" s="2" t="s">
        <v>20</v>
      </c>
      <c r="D7" s="5">
        <v>241</v>
      </c>
      <c r="E7" s="5">
        <v>244</v>
      </c>
      <c r="F7" s="5">
        <v>145</v>
      </c>
      <c r="G7" s="5">
        <v>194</v>
      </c>
      <c r="H7" s="5">
        <v>56.7</v>
      </c>
      <c r="I7" s="5">
        <v>82.2</v>
      </c>
      <c r="J7" s="6">
        <f>AVERAGE(40,39.8,40.4,39.7,40)</f>
        <v>39.979999999999997</v>
      </c>
      <c r="K7" s="6">
        <f>AVERAGE(40.3,40.1,40,40.1,40.7)</f>
        <v>40.239999999999995</v>
      </c>
      <c r="L7" s="5">
        <v>48.4</v>
      </c>
    </row>
    <row r="8" spans="1:12" x14ac:dyDescent="0.35">
      <c r="A8" s="2" t="s">
        <v>12</v>
      </c>
      <c r="B8" s="2" t="s">
        <v>13</v>
      </c>
      <c r="C8" s="2" t="s">
        <v>21</v>
      </c>
      <c r="D8" s="5">
        <v>241</v>
      </c>
      <c r="E8" s="5">
        <v>244</v>
      </c>
      <c r="F8" s="5">
        <v>145</v>
      </c>
      <c r="G8" s="5">
        <v>194</v>
      </c>
      <c r="H8" s="5">
        <v>54.6</v>
      </c>
      <c r="I8" s="5">
        <v>84.2</v>
      </c>
      <c r="J8" s="5">
        <f>AVERAGE(39.6,39.7,39.5,39,39.2)</f>
        <v>39.4</v>
      </c>
      <c r="K8" s="6">
        <f>AVERAGE(39.7,39.9,40.1,39.9,39.7)</f>
        <v>39.86</v>
      </c>
      <c r="L8" s="6">
        <v>47</v>
      </c>
    </row>
    <row r="9" spans="1:12" x14ac:dyDescent="0.35">
      <c r="A9" s="2" t="s">
        <v>12</v>
      </c>
      <c r="B9" s="2" t="s">
        <v>13</v>
      </c>
      <c r="C9" s="2" t="s">
        <v>22</v>
      </c>
      <c r="D9" s="5">
        <v>241</v>
      </c>
      <c r="E9" s="5">
        <v>244</v>
      </c>
      <c r="F9" s="5">
        <v>145</v>
      </c>
      <c r="G9" s="5">
        <v>194</v>
      </c>
      <c r="H9" s="5">
        <v>57.2</v>
      </c>
      <c r="I9" s="5">
        <v>83.3</v>
      </c>
      <c r="J9" s="6">
        <f>AVERAGE(40.1,40.1,39.8,40.1,40.8)</f>
        <v>40.179999999999993</v>
      </c>
      <c r="K9" s="6">
        <f>AVERAGE(39.8,40.5,40,40.3,40.2)</f>
        <v>40.160000000000004</v>
      </c>
      <c r="L9" s="5">
        <v>49.7</v>
      </c>
    </row>
    <row r="10" spans="1:12" x14ac:dyDescent="0.35">
      <c r="A10" s="2" t="s">
        <v>12</v>
      </c>
      <c r="B10" s="2" t="s">
        <v>23</v>
      </c>
      <c r="C10" s="2" t="s">
        <v>24</v>
      </c>
      <c r="D10" s="5">
        <v>239</v>
      </c>
      <c r="E10" s="5">
        <v>240</v>
      </c>
      <c r="F10" s="5">
        <v>142</v>
      </c>
      <c r="G10" s="5">
        <v>194</v>
      </c>
      <c r="H10" s="5">
        <v>52.6</v>
      </c>
      <c r="I10" s="5">
        <v>85.2</v>
      </c>
      <c r="J10" s="6">
        <f>AVERAGE(39.8,39.7,39.7,39.7,39.6)</f>
        <v>39.700000000000003</v>
      </c>
      <c r="K10" s="6">
        <f>AVERAGE(39.4,39.7,39.9,39.5,39.6)</f>
        <v>39.619999999999997</v>
      </c>
      <c r="L10" s="5">
        <v>44.9</v>
      </c>
    </row>
    <row r="11" spans="1:12" x14ac:dyDescent="0.35">
      <c r="A11" s="2" t="s">
        <v>12</v>
      </c>
      <c r="B11" s="2" t="s">
        <v>23</v>
      </c>
      <c r="C11" s="2" t="s">
        <v>26</v>
      </c>
      <c r="D11" s="5">
        <v>239</v>
      </c>
      <c r="E11" s="5">
        <v>240</v>
      </c>
      <c r="F11" s="5">
        <v>142</v>
      </c>
      <c r="G11" s="5">
        <v>194</v>
      </c>
      <c r="H11" s="5">
        <v>51.9</v>
      </c>
      <c r="I11" s="5">
        <v>83.9</v>
      </c>
      <c r="J11" s="6">
        <f>AVERAGE(39.7,40,39.4,39.6,39.9)</f>
        <v>39.72</v>
      </c>
      <c r="K11" s="6">
        <f>AVERAGE(39.8,39.5,39.4,39.7,39.7)</f>
        <v>39.61999999999999</v>
      </c>
      <c r="L11" s="5">
        <v>44.4</v>
      </c>
    </row>
    <row r="12" spans="1:12" x14ac:dyDescent="0.35">
      <c r="A12" s="2" t="s">
        <v>12</v>
      </c>
      <c r="B12" s="2" t="s">
        <v>23</v>
      </c>
      <c r="C12" s="2" t="s">
        <v>27</v>
      </c>
      <c r="D12" s="5">
        <v>239</v>
      </c>
      <c r="E12" s="5">
        <v>240</v>
      </c>
      <c r="F12" s="5">
        <v>142</v>
      </c>
      <c r="G12" s="5">
        <v>194</v>
      </c>
      <c r="H12" s="5">
        <v>52.3</v>
      </c>
      <c r="I12" s="5">
        <v>85.1</v>
      </c>
      <c r="J12" s="5">
        <f>AVERAGE(39.9,39.5,39.9,40.2,40)</f>
        <v>39.9</v>
      </c>
      <c r="K12" s="6">
        <f>AVERAGE(39.5,39.7,39.4,39.8,39.8)</f>
        <v>39.64</v>
      </c>
      <c r="L12" s="5">
        <v>44.3</v>
      </c>
    </row>
    <row r="13" spans="1:12" x14ac:dyDescent="0.35">
      <c r="A13" s="2" t="s">
        <v>12</v>
      </c>
      <c r="B13" s="2" t="s">
        <v>23</v>
      </c>
      <c r="C13" s="2" t="s">
        <v>28</v>
      </c>
      <c r="D13" s="5">
        <v>239</v>
      </c>
      <c r="E13" s="5">
        <v>240</v>
      </c>
      <c r="F13" s="5">
        <v>142</v>
      </c>
      <c r="G13" s="5">
        <v>194</v>
      </c>
      <c r="H13" s="5">
        <v>50.2</v>
      </c>
      <c r="I13" s="5">
        <v>84.7</v>
      </c>
      <c r="J13" s="6">
        <f>AVERAGE(39.4,39.6,39.3,39.8,39.5)</f>
        <v>39.519999999999996</v>
      </c>
      <c r="K13" s="6">
        <f>AVERAGE(39.5,39.7,39.6,39.5,39.6)</f>
        <v>39.58</v>
      </c>
      <c r="L13" s="5">
        <v>43.8</v>
      </c>
    </row>
    <row r="14" spans="1:12" x14ac:dyDescent="0.35">
      <c r="A14" s="2" t="s">
        <v>12</v>
      </c>
      <c r="B14" s="2" t="s">
        <v>23</v>
      </c>
      <c r="C14" s="2" t="s">
        <v>29</v>
      </c>
      <c r="D14" s="5">
        <v>239</v>
      </c>
      <c r="E14" s="5">
        <v>240</v>
      </c>
      <c r="F14" s="5">
        <v>142</v>
      </c>
      <c r="G14" s="5">
        <v>194</v>
      </c>
      <c r="H14" s="5">
        <v>51.3</v>
      </c>
      <c r="I14" s="5">
        <v>83.2</v>
      </c>
      <c r="J14" s="5">
        <f>AVERAGE(40,39.8,40,39.7,40)</f>
        <v>39.9</v>
      </c>
      <c r="K14" s="5">
        <f>AVERAGE(39.8,40.3,40,39.6,39.8)</f>
        <v>39.9</v>
      </c>
      <c r="L14" s="5">
        <v>44.1</v>
      </c>
    </row>
    <row r="15" spans="1:12" x14ac:dyDescent="0.35">
      <c r="A15" s="2" t="s">
        <v>12</v>
      </c>
      <c r="B15" s="2" t="s">
        <v>23</v>
      </c>
      <c r="C15" s="2" t="s">
        <v>30</v>
      </c>
      <c r="D15" s="5">
        <v>239</v>
      </c>
      <c r="E15" s="5">
        <v>240</v>
      </c>
      <c r="F15" s="5">
        <v>142</v>
      </c>
      <c r="G15" s="5">
        <v>195</v>
      </c>
      <c r="H15" s="5">
        <v>52.4</v>
      </c>
      <c r="I15" s="5">
        <v>85.5</v>
      </c>
      <c r="J15" s="5">
        <f>AVERAGE(39.9,39.5,40.1,40.1,39.4)</f>
        <v>39.799999999999997</v>
      </c>
      <c r="K15" s="5">
        <f>AVERAGE(39.8,39.2,39.6,39.9,39.5)</f>
        <v>39.6</v>
      </c>
      <c r="L15" s="5">
        <v>44.9</v>
      </c>
    </row>
    <row r="16" spans="1:12" x14ac:dyDescent="0.35">
      <c r="A16" s="2" t="s">
        <v>12</v>
      </c>
      <c r="B16" s="2" t="s">
        <v>23</v>
      </c>
      <c r="C16" s="2" t="s">
        <v>31</v>
      </c>
      <c r="D16" s="5">
        <v>239</v>
      </c>
      <c r="E16" s="5">
        <v>240</v>
      </c>
      <c r="F16" s="5">
        <v>142</v>
      </c>
      <c r="G16" s="5">
        <v>195</v>
      </c>
      <c r="H16" s="5">
        <v>50.9</v>
      </c>
      <c r="I16" s="5">
        <v>84.3</v>
      </c>
      <c r="J16" s="5">
        <f>AVERAGE(39.6,39.7,39.4,39.5,39.3)</f>
        <v>39.5</v>
      </c>
      <c r="K16" s="6">
        <f>AVERAGE(39.2,39.3,39.7,39.5,39.4)</f>
        <v>39.42</v>
      </c>
      <c r="L16" s="5">
        <v>43.8</v>
      </c>
    </row>
    <row r="17" spans="1:12" x14ac:dyDescent="0.35">
      <c r="A17" s="2" t="s">
        <v>12</v>
      </c>
      <c r="B17" s="2" t="s">
        <v>23</v>
      </c>
      <c r="C17" s="2" t="s">
        <v>32</v>
      </c>
      <c r="D17" s="5">
        <v>239</v>
      </c>
      <c r="E17" s="5">
        <v>240</v>
      </c>
      <c r="F17" s="5">
        <v>142</v>
      </c>
      <c r="G17" s="5">
        <v>195</v>
      </c>
      <c r="H17" s="5">
        <v>51.4</v>
      </c>
      <c r="I17" s="5">
        <v>84.6</v>
      </c>
      <c r="J17" s="6">
        <f>AVERAGE(39.6,40.1,40,40.1,40.1)</f>
        <v>39.980000000000004</v>
      </c>
      <c r="K17" s="5">
        <f>AVERAGE(39.7,39.3,40,39.8,39.7)</f>
        <v>39.700000000000003</v>
      </c>
      <c r="L17" s="5">
        <v>44.3</v>
      </c>
    </row>
    <row r="18" spans="1:12" x14ac:dyDescent="0.35">
      <c r="A18" s="2" t="s">
        <v>12</v>
      </c>
      <c r="B18" s="2" t="s">
        <v>23</v>
      </c>
      <c r="C18" s="2" t="s">
        <v>33</v>
      </c>
      <c r="D18" s="5">
        <v>240</v>
      </c>
      <c r="E18" s="5">
        <v>240</v>
      </c>
      <c r="F18" s="5">
        <v>140</v>
      </c>
      <c r="G18" s="5">
        <v>194</v>
      </c>
      <c r="H18" s="5">
        <v>51.4</v>
      </c>
      <c r="I18" s="5">
        <v>83.7</v>
      </c>
      <c r="J18" s="6">
        <f>AVERAGE(39.9,39.6,39.3,39.4,39.9)</f>
        <v>39.619999999999997</v>
      </c>
      <c r="K18" s="6">
        <f>AVERAGE(39.4,39.2,39.6,39.4,39.8)</f>
        <v>39.479999999999997</v>
      </c>
      <c r="L18" s="6">
        <v>44</v>
      </c>
    </row>
    <row r="19" spans="1:12" x14ac:dyDescent="0.35">
      <c r="A19" s="2" t="s">
        <v>12</v>
      </c>
      <c r="B19" s="2" t="s">
        <v>23</v>
      </c>
      <c r="C19" s="2" t="s">
        <v>34</v>
      </c>
      <c r="D19" s="5">
        <v>240</v>
      </c>
      <c r="E19" s="5">
        <v>240</v>
      </c>
      <c r="F19" s="5">
        <v>140</v>
      </c>
      <c r="G19" s="5">
        <v>194</v>
      </c>
      <c r="H19" s="5">
        <v>51.9</v>
      </c>
      <c r="I19" s="5">
        <v>86.1</v>
      </c>
      <c r="J19" s="6">
        <f>AVERAGE(39.2,38.4,38.9,39.6,39.2)</f>
        <v>39.06</v>
      </c>
      <c r="K19" s="6">
        <f>AVERAGE(39.7,39.5,39.3,40,39.6)</f>
        <v>39.619999999999997</v>
      </c>
      <c r="L19" s="5">
        <v>43.8</v>
      </c>
    </row>
    <row r="20" spans="1:12" x14ac:dyDescent="0.35">
      <c r="A20" s="2" t="s">
        <v>12</v>
      </c>
      <c r="B20" s="2" t="s">
        <v>23</v>
      </c>
      <c r="C20" s="2" t="s">
        <v>35</v>
      </c>
      <c r="D20" s="5">
        <v>240</v>
      </c>
      <c r="E20" s="5">
        <v>240</v>
      </c>
      <c r="F20" s="5">
        <v>140</v>
      </c>
      <c r="G20" s="5">
        <v>194</v>
      </c>
      <c r="H20" s="5">
        <v>51.6</v>
      </c>
      <c r="I20" s="5">
        <v>85.4</v>
      </c>
      <c r="J20" s="6">
        <f>AVERAGE(39.2,38.8,37.9,39.2,39.2)</f>
        <v>38.86</v>
      </c>
      <c r="K20" s="6">
        <f>AVERAGE(39.4,39.4,39.3,39.8,39.2)</f>
        <v>39.419999999999995</v>
      </c>
      <c r="L20" s="5">
        <v>43.9</v>
      </c>
    </row>
    <row r="21" spans="1:12" x14ac:dyDescent="0.35">
      <c r="A21" s="2" t="s">
        <v>12</v>
      </c>
      <c r="B21" s="2" t="s">
        <v>23</v>
      </c>
      <c r="C21" s="2" t="s">
        <v>43</v>
      </c>
      <c r="D21" s="5">
        <v>230</v>
      </c>
      <c r="E21" s="5">
        <v>246</v>
      </c>
      <c r="F21" s="5">
        <v>191</v>
      </c>
      <c r="G21" s="5">
        <v>205</v>
      </c>
      <c r="H21" s="5">
        <v>52.8</v>
      </c>
      <c r="I21" s="5">
        <v>82.7</v>
      </c>
      <c r="J21" s="6">
        <f>AVERAGE(39.9,39.7,40.2,40.2,39.7)</f>
        <v>39.94</v>
      </c>
      <c r="K21" s="6">
        <f>AVERAGE(39.9,39.8,40.3,40,40.1)</f>
        <v>40.019999999999996</v>
      </c>
      <c r="L21" s="5">
        <v>45.3</v>
      </c>
    </row>
    <row r="22" spans="1:12" x14ac:dyDescent="0.35">
      <c r="A22" s="2" t="s">
        <v>12</v>
      </c>
      <c r="B22" s="2" t="s">
        <v>23</v>
      </c>
      <c r="C22" s="2" t="s">
        <v>44</v>
      </c>
      <c r="D22" s="5">
        <v>230</v>
      </c>
      <c r="E22" s="5">
        <v>246</v>
      </c>
      <c r="F22" s="5">
        <v>191</v>
      </c>
      <c r="G22" s="5">
        <v>205</v>
      </c>
      <c r="H22" s="5">
        <v>51.3</v>
      </c>
      <c r="I22" s="5">
        <v>83.1</v>
      </c>
      <c r="J22" s="6">
        <f>AVERAGE(40.2,39.9,40,39.9,40.4)</f>
        <v>40.08</v>
      </c>
      <c r="K22" s="6">
        <f>AVERAGE(40.1,40.2,40.1,40.1,40.2)</f>
        <v>40.14</v>
      </c>
      <c r="L22" s="5">
        <v>44.7</v>
      </c>
    </row>
    <row r="23" spans="1:12" x14ac:dyDescent="0.35">
      <c r="A23" s="2" t="s">
        <v>12</v>
      </c>
      <c r="B23" s="2" t="s">
        <v>23</v>
      </c>
      <c r="C23" s="2" t="s">
        <v>45</v>
      </c>
      <c r="D23" s="5">
        <v>230</v>
      </c>
      <c r="E23" s="5">
        <v>246</v>
      </c>
      <c r="F23" s="5">
        <v>191</v>
      </c>
      <c r="G23" s="5">
        <v>205</v>
      </c>
      <c r="H23" s="5">
        <v>51.9</v>
      </c>
      <c r="I23" s="5">
        <v>84.9</v>
      </c>
      <c r="J23" s="6">
        <f>AVERAGE(40,39.9,39.9,39.6,40.1)</f>
        <v>39.9</v>
      </c>
      <c r="K23" s="6">
        <f>AVERAGE(39.7,39.8,39.9,39.7,39.8)</f>
        <v>39.780000000000008</v>
      </c>
      <c r="L23" s="5">
        <v>44.3</v>
      </c>
    </row>
    <row r="24" spans="1:12" x14ac:dyDescent="0.35">
      <c r="A24" s="2" t="s">
        <v>12</v>
      </c>
      <c r="B24" s="2" t="s">
        <v>23</v>
      </c>
      <c r="C24" s="2" t="s">
        <v>46</v>
      </c>
      <c r="D24" s="5">
        <v>235</v>
      </c>
      <c r="E24" s="5">
        <v>241</v>
      </c>
      <c r="F24" s="5">
        <v>152</v>
      </c>
      <c r="G24" s="5">
        <v>198</v>
      </c>
      <c r="H24" s="5">
        <v>52.7</v>
      </c>
      <c r="I24" s="5">
        <v>84.6</v>
      </c>
      <c r="J24" s="6">
        <f>AVERAGE(38.9,39.8,39.3,39.3,39.4)</f>
        <v>39.339999999999996</v>
      </c>
      <c r="K24" s="6">
        <f>AVERAGE(39.4,39.6,39.5,39.6,39.2)</f>
        <v>39.46</v>
      </c>
      <c r="L24" s="5">
        <v>45.2</v>
      </c>
    </row>
    <row r="25" spans="1:12" x14ac:dyDescent="0.35">
      <c r="A25" s="2" t="s">
        <v>12</v>
      </c>
      <c r="B25" s="2" t="s">
        <v>23</v>
      </c>
      <c r="C25" s="2" t="s">
        <v>47</v>
      </c>
      <c r="D25" s="5">
        <v>235</v>
      </c>
      <c r="E25" s="5">
        <v>241</v>
      </c>
      <c r="F25" s="5">
        <v>152</v>
      </c>
      <c r="G25" s="5">
        <v>198</v>
      </c>
      <c r="H25" s="5">
        <v>51.5</v>
      </c>
      <c r="I25" s="5">
        <v>85.8</v>
      </c>
      <c r="J25" s="6">
        <f>AVERAGE(39.4,39.2,39,39.1,39.2)</f>
        <v>39.179999999999993</v>
      </c>
      <c r="K25" s="6">
        <f>AVERAGE(39.1,39.4,39,39.5,39.1)</f>
        <v>39.22</v>
      </c>
      <c r="L25" s="5">
        <v>44.7</v>
      </c>
    </row>
    <row r="26" spans="1:12" x14ac:dyDescent="0.35">
      <c r="A26" s="2" t="s">
        <v>12</v>
      </c>
      <c r="B26" s="2" t="s">
        <v>23</v>
      </c>
      <c r="C26" s="2" t="s">
        <v>48</v>
      </c>
      <c r="D26" s="5">
        <v>235</v>
      </c>
      <c r="E26" s="5">
        <v>241</v>
      </c>
      <c r="F26" s="5">
        <v>152</v>
      </c>
      <c r="G26" s="5">
        <v>198</v>
      </c>
      <c r="H26" s="5">
        <v>52.2</v>
      </c>
      <c r="I26" s="5">
        <v>84.5</v>
      </c>
      <c r="J26" s="6">
        <f>AVERAGE(39.4,39.2,39.4,39.3,39.5)</f>
        <v>39.36</v>
      </c>
      <c r="K26" s="6">
        <f>AVERAGE(39.3,39.6,39.6,39.6,39.5)</f>
        <v>39.519999999999996</v>
      </c>
      <c r="L26" s="5">
        <v>44.8</v>
      </c>
    </row>
    <row r="27" spans="1:12" x14ac:dyDescent="0.35">
      <c r="A27" s="2" t="s">
        <v>12</v>
      </c>
      <c r="B27" s="2" t="s">
        <v>23</v>
      </c>
      <c r="C27" s="2" t="s">
        <v>49</v>
      </c>
      <c r="D27" s="5">
        <v>235</v>
      </c>
      <c r="E27" s="5">
        <v>241</v>
      </c>
      <c r="F27" s="5">
        <v>152</v>
      </c>
      <c r="G27" s="5">
        <v>193</v>
      </c>
      <c r="H27" s="5">
        <v>52.5</v>
      </c>
      <c r="I27" s="5">
        <v>84.5</v>
      </c>
      <c r="J27" s="6">
        <f>AVERAGE(39.3,39.2,39.1,39.3,39.4)</f>
        <v>39.26</v>
      </c>
      <c r="K27" s="6">
        <f>AVERAGE(39.3,39.1,39.7,39.7,39.7)</f>
        <v>39.5</v>
      </c>
      <c r="L27" s="5">
        <v>45.1</v>
      </c>
    </row>
    <row r="28" spans="1:12" x14ac:dyDescent="0.35">
      <c r="A28" s="2" t="s">
        <v>12</v>
      </c>
      <c r="B28" s="2" t="s">
        <v>23</v>
      </c>
      <c r="C28" s="2" t="s">
        <v>50</v>
      </c>
      <c r="D28" s="5">
        <v>235</v>
      </c>
      <c r="E28" s="5">
        <v>241</v>
      </c>
      <c r="F28" s="5">
        <v>152</v>
      </c>
      <c r="G28" s="5">
        <v>193</v>
      </c>
      <c r="H28" s="5">
        <v>51.5</v>
      </c>
      <c r="I28" s="5">
        <v>85.1</v>
      </c>
      <c r="J28" s="6">
        <f>AVERAGE(39,39.5,38.8,39,39)</f>
        <v>39.06</v>
      </c>
      <c r="K28" s="6">
        <f>AVERAGE(39.6,39.4,39.2,39.1,39.2)</f>
        <v>39.299999999999997</v>
      </c>
      <c r="L28" s="5">
        <v>44.1</v>
      </c>
    </row>
    <row r="29" spans="1:12" x14ac:dyDescent="0.35">
      <c r="A29" s="2" t="s">
        <v>12</v>
      </c>
      <c r="B29" s="2" t="s">
        <v>23</v>
      </c>
      <c r="C29" s="2" t="s">
        <v>51</v>
      </c>
      <c r="D29" s="5">
        <v>235</v>
      </c>
      <c r="E29" s="5">
        <v>241</v>
      </c>
      <c r="F29" s="5">
        <v>152</v>
      </c>
      <c r="G29" s="5">
        <v>193</v>
      </c>
      <c r="H29" s="5">
        <v>51.9</v>
      </c>
      <c r="I29" s="5">
        <v>83.7</v>
      </c>
      <c r="J29" s="6">
        <f>AVERAGE(39.3,39.4,39.8,39.3,39.5)</f>
        <v>39.459999999999994</v>
      </c>
      <c r="K29" s="6">
        <f>AVERAGE(39.7,39.8,39.7,39.6,39.4)</f>
        <v>39.64</v>
      </c>
      <c r="L29" s="5">
        <v>44.9</v>
      </c>
    </row>
    <row r="30" spans="1:12" x14ac:dyDescent="0.35">
      <c r="A30" s="2" t="s">
        <v>12</v>
      </c>
      <c r="B30" s="2" t="s">
        <v>52</v>
      </c>
      <c r="C30" s="2" t="s">
        <v>56</v>
      </c>
      <c r="D30" s="5">
        <v>234</v>
      </c>
      <c r="E30" s="5">
        <v>251</v>
      </c>
      <c r="F30" s="5">
        <v>141</v>
      </c>
      <c r="G30" s="5">
        <v>200</v>
      </c>
      <c r="H30" s="5">
        <v>57.2</v>
      </c>
      <c r="I30" s="5">
        <v>86.6</v>
      </c>
      <c r="J30" s="6">
        <f>AVERAGE(40,40.2,39.9,40.3,40)</f>
        <v>40.08</v>
      </c>
      <c r="K30" s="6">
        <f>AVERAGE(39.9,39.9,40.3,39.6,39.6)</f>
        <v>39.86</v>
      </c>
      <c r="L30" s="5">
        <v>48.7</v>
      </c>
    </row>
    <row r="31" spans="1:12" x14ac:dyDescent="0.35">
      <c r="A31" s="2" t="s">
        <v>12</v>
      </c>
      <c r="B31" s="2" t="s">
        <v>52</v>
      </c>
      <c r="C31" s="2" t="s">
        <v>57</v>
      </c>
      <c r="D31" s="5">
        <v>234</v>
      </c>
      <c r="E31" s="5">
        <v>251</v>
      </c>
      <c r="F31" s="5">
        <v>141</v>
      </c>
      <c r="G31" s="5">
        <v>200</v>
      </c>
      <c r="H31" s="5">
        <v>54.4</v>
      </c>
      <c r="I31" s="5">
        <v>83.7</v>
      </c>
      <c r="J31" s="6">
        <f>AVERAGE(39.8,40.3,39.9,39.9,38.6)</f>
        <v>39.700000000000003</v>
      </c>
      <c r="K31" s="6">
        <f>AVERAGE(39.6,39.9,39.3,39.6,38.5)</f>
        <v>39.380000000000003</v>
      </c>
      <c r="L31" s="5">
        <v>46.3</v>
      </c>
    </row>
    <row r="32" spans="1:12" x14ac:dyDescent="0.35">
      <c r="A32" s="2" t="s">
        <v>12</v>
      </c>
      <c r="B32" s="2" t="s">
        <v>52</v>
      </c>
      <c r="C32" s="2" t="s">
        <v>58</v>
      </c>
      <c r="D32" s="5">
        <v>234</v>
      </c>
      <c r="E32" s="5">
        <v>251</v>
      </c>
      <c r="F32" s="5">
        <v>141</v>
      </c>
      <c r="G32" s="5">
        <v>200</v>
      </c>
      <c r="H32" s="5">
        <v>57.3</v>
      </c>
      <c r="I32" s="5">
        <v>87.4</v>
      </c>
      <c r="J32" s="6">
        <f>AVERAGE(40.1,40.5,40.6,40.7,40.6)</f>
        <v>40.499999999999993</v>
      </c>
      <c r="K32" s="6">
        <f>AVERAGE(39.7,39.7,40.3,40.2,39.8)</f>
        <v>39.94</v>
      </c>
      <c r="L32" s="5">
        <v>48.7</v>
      </c>
    </row>
    <row r="33" spans="1:12" x14ac:dyDescent="0.35">
      <c r="A33" s="2" t="s">
        <v>12</v>
      </c>
      <c r="B33" s="2" t="s">
        <v>52</v>
      </c>
      <c r="C33" s="2" t="s">
        <v>59</v>
      </c>
      <c r="D33" s="5">
        <v>234</v>
      </c>
      <c r="E33" s="5">
        <v>250</v>
      </c>
      <c r="F33" s="5">
        <v>141</v>
      </c>
      <c r="G33" s="5">
        <v>200</v>
      </c>
      <c r="H33" s="6">
        <v>57</v>
      </c>
      <c r="I33" s="5">
        <v>87.7</v>
      </c>
      <c r="J33" s="6">
        <f>AVERAGE(40,40.2,39.8,40.1,40.2)</f>
        <v>40.06</v>
      </c>
      <c r="K33" s="6">
        <f>AVERAGE(39.7,39.8,39.6,39.9,39.9)</f>
        <v>39.78</v>
      </c>
      <c r="L33" s="5">
        <v>48.6</v>
      </c>
    </row>
    <row r="34" spans="1:12" x14ac:dyDescent="0.35">
      <c r="A34" s="2" t="s">
        <v>12</v>
      </c>
      <c r="B34" s="2" t="s">
        <v>52</v>
      </c>
      <c r="C34" s="2" t="s">
        <v>60</v>
      </c>
      <c r="D34" s="5">
        <v>234</v>
      </c>
      <c r="E34" s="5">
        <v>250</v>
      </c>
      <c r="F34" s="5">
        <v>141</v>
      </c>
      <c r="G34" s="5">
        <v>200</v>
      </c>
      <c r="H34" s="5">
        <v>54.3</v>
      </c>
      <c r="I34" s="5">
        <v>83.9</v>
      </c>
      <c r="J34" s="6">
        <f>AVERAGE(39.8,40.3,39.9,39.3,39.9)</f>
        <v>39.840000000000003</v>
      </c>
      <c r="K34" s="6">
        <f>AVERAGE(40.2,39.4,39.6,39.9,39.9)</f>
        <v>39.799999999999997</v>
      </c>
      <c r="L34" s="6">
        <v>46</v>
      </c>
    </row>
    <row r="35" spans="1:12" x14ac:dyDescent="0.35">
      <c r="A35" s="2" t="s">
        <v>12</v>
      </c>
      <c r="B35" s="2" t="s">
        <v>52</v>
      </c>
      <c r="C35" s="2" t="s">
        <v>61</v>
      </c>
      <c r="D35" s="5">
        <v>234</v>
      </c>
      <c r="E35" s="5">
        <v>250</v>
      </c>
      <c r="F35" s="5">
        <v>141</v>
      </c>
      <c r="G35" s="5">
        <v>200</v>
      </c>
      <c r="H35" s="6">
        <v>57</v>
      </c>
      <c r="I35" s="5">
        <v>87.2</v>
      </c>
      <c r="J35" s="6">
        <f>AVERAGE(40,40.4,40.6,40.9,40.2)</f>
        <v>40.42</v>
      </c>
      <c r="K35" s="6">
        <f>AVERAGE(40,39.8,39.8,40.4,40.1)</f>
        <v>40.019999999999996</v>
      </c>
      <c r="L35" s="5">
        <v>48.5</v>
      </c>
    </row>
    <row r="36" spans="1:12" x14ac:dyDescent="0.35">
      <c r="A36" s="2" t="s">
        <v>12</v>
      </c>
      <c r="B36" s="2" t="s">
        <v>52</v>
      </c>
      <c r="C36" s="2" t="s">
        <v>62</v>
      </c>
      <c r="D36" s="5">
        <v>235</v>
      </c>
      <c r="E36" s="5">
        <v>249</v>
      </c>
      <c r="F36" s="5">
        <v>141</v>
      </c>
      <c r="G36" s="5">
        <v>199</v>
      </c>
      <c r="H36" s="5">
        <v>56.9</v>
      </c>
      <c r="I36" s="5">
        <v>86.7</v>
      </c>
      <c r="J36" s="6">
        <f>AVERAGE(40,40.7,40.8,40.4,40.5)</f>
        <v>40.480000000000004</v>
      </c>
      <c r="K36" s="6">
        <f>AVERAGE(40.1,39.8,40,40.4,40.2)</f>
        <v>40.1</v>
      </c>
      <c r="L36" s="5">
        <v>48.3</v>
      </c>
    </row>
    <row r="37" spans="1:12" x14ac:dyDescent="0.35">
      <c r="A37" s="2" t="s">
        <v>12</v>
      </c>
      <c r="B37" s="2" t="s">
        <v>52</v>
      </c>
      <c r="C37" s="2" t="s">
        <v>63</v>
      </c>
      <c r="D37" s="5">
        <v>235</v>
      </c>
      <c r="E37" s="5">
        <v>249</v>
      </c>
      <c r="F37" s="5">
        <v>141</v>
      </c>
      <c r="G37" s="5">
        <v>199</v>
      </c>
      <c r="H37" s="5">
        <v>54.1</v>
      </c>
      <c r="I37" s="5">
        <v>84.6</v>
      </c>
      <c r="J37" s="6">
        <f>AVERAGE(39.7,40,40,40,40.4)</f>
        <v>40.019999999999996</v>
      </c>
      <c r="K37" s="6">
        <f>AVERAGE(39.7,40,39.7,40,39.5)</f>
        <v>39.78</v>
      </c>
      <c r="L37" s="5">
        <v>46.5</v>
      </c>
    </row>
    <row r="38" spans="1:12" x14ac:dyDescent="0.35">
      <c r="A38" s="2" t="s">
        <v>12</v>
      </c>
      <c r="B38" s="2" t="s">
        <v>52</v>
      </c>
      <c r="C38" s="2" t="s">
        <v>64</v>
      </c>
      <c r="D38" s="5">
        <v>235</v>
      </c>
      <c r="E38" s="5">
        <v>249</v>
      </c>
      <c r="F38" s="5">
        <v>141</v>
      </c>
      <c r="G38" s="5">
        <v>199</v>
      </c>
      <c r="H38" s="5">
        <v>56.8</v>
      </c>
      <c r="I38" s="5">
        <v>87.2</v>
      </c>
      <c r="J38" s="6">
        <f>AVERAGE(39.9,40,39.8,40.6,40.3)</f>
        <v>40.120000000000005</v>
      </c>
      <c r="K38" s="6">
        <f>AVERAGE(40,39.8,39.8,40.2,40.3)</f>
        <v>40.020000000000003</v>
      </c>
      <c r="L38" s="5">
        <v>48.6</v>
      </c>
    </row>
    <row r="39" spans="1:12" x14ac:dyDescent="0.35">
      <c r="A39" s="2" t="s">
        <v>12</v>
      </c>
      <c r="B39" s="2" t="s">
        <v>52</v>
      </c>
      <c r="C39" s="2" t="s">
        <v>65</v>
      </c>
      <c r="D39" s="5">
        <v>234</v>
      </c>
      <c r="E39" s="5">
        <v>251</v>
      </c>
      <c r="F39" s="5">
        <v>141</v>
      </c>
      <c r="G39" s="5">
        <v>200</v>
      </c>
      <c r="H39" s="5">
        <v>56.7</v>
      </c>
      <c r="I39" s="5">
        <v>87.2</v>
      </c>
      <c r="J39" s="6">
        <f>AVERAGE(40.1,39.8,40.1,39.8,40.1)</f>
        <v>39.980000000000004</v>
      </c>
      <c r="K39" s="6">
        <f>AVERAGE(39.7,39.8,39.8,40.1,39.8)</f>
        <v>39.839999999999996</v>
      </c>
      <c r="L39" s="5">
        <v>48.8</v>
      </c>
    </row>
    <row r="40" spans="1:12" x14ac:dyDescent="0.35">
      <c r="A40" s="2" t="s">
        <v>12</v>
      </c>
      <c r="B40" s="2" t="s">
        <v>52</v>
      </c>
      <c r="C40" s="2" t="s">
        <v>66</v>
      </c>
      <c r="D40" s="5">
        <v>234</v>
      </c>
      <c r="E40" s="5">
        <v>251</v>
      </c>
      <c r="F40" s="5">
        <v>141</v>
      </c>
      <c r="G40" s="5">
        <v>200</v>
      </c>
      <c r="H40" s="5">
        <v>54.6</v>
      </c>
      <c r="I40" s="5">
        <v>85.4</v>
      </c>
      <c r="J40" s="6">
        <f>AVERAGE(40,40.3,39.8,39.8,40)</f>
        <v>39.979999999999997</v>
      </c>
      <c r="K40" s="6">
        <f>AVERAGE(39.4,39.2,39.3,39.5,39.9)</f>
        <v>39.459999999999994</v>
      </c>
      <c r="L40" s="5">
        <v>47.4</v>
      </c>
    </row>
    <row r="41" spans="1:12" x14ac:dyDescent="0.35">
      <c r="A41" s="2" t="s">
        <v>12</v>
      </c>
      <c r="B41" s="2" t="s">
        <v>52</v>
      </c>
      <c r="C41" s="2" t="s">
        <v>67</v>
      </c>
      <c r="D41" s="5">
        <v>234</v>
      </c>
      <c r="E41" s="5">
        <v>251</v>
      </c>
      <c r="F41" s="5">
        <v>141</v>
      </c>
      <c r="G41" s="5">
        <v>200</v>
      </c>
      <c r="H41" s="5">
        <v>57.2</v>
      </c>
      <c r="I41" s="5">
        <v>87.9</v>
      </c>
      <c r="J41" s="6">
        <f>AVERAGE(40,39.9,40.6,40.2,40.4)</f>
        <v>40.22</v>
      </c>
      <c r="K41" s="6">
        <f>AVERAGE(40.2,39.7,40.2,39.9,39.4)</f>
        <v>39.880000000000003</v>
      </c>
      <c r="L41" s="5">
        <v>49.2</v>
      </c>
    </row>
    <row r="42" spans="1:12" x14ac:dyDescent="0.35">
      <c r="A42" s="2" t="s">
        <v>68</v>
      </c>
      <c r="B42" s="2" t="s">
        <v>69</v>
      </c>
      <c r="C42" s="2" t="s">
        <v>14</v>
      </c>
      <c r="D42" s="5">
        <v>241</v>
      </c>
      <c r="E42" s="5">
        <v>234</v>
      </c>
      <c r="F42" s="5">
        <v>140</v>
      </c>
      <c r="G42" s="5">
        <v>200</v>
      </c>
      <c r="H42" s="5">
        <v>57.4</v>
      </c>
      <c r="I42" s="5">
        <v>84.9</v>
      </c>
      <c r="J42" s="6">
        <f>AVERAGE(41.3,41.1,40.5,41.2,40.7)</f>
        <v>40.96</v>
      </c>
      <c r="K42" s="6">
        <f>AVERAGE(40.6,40.1,40.2,40,40.1)</f>
        <v>40.200000000000003</v>
      </c>
      <c r="L42" s="5">
        <v>49.5</v>
      </c>
    </row>
    <row r="43" spans="1:12" x14ac:dyDescent="0.35">
      <c r="A43" s="2" t="s">
        <v>68</v>
      </c>
      <c r="B43" s="2" t="s">
        <v>69</v>
      </c>
      <c r="C43" s="2" t="s">
        <v>15</v>
      </c>
      <c r="D43" s="5">
        <v>241</v>
      </c>
      <c r="E43" s="5">
        <v>234</v>
      </c>
      <c r="F43" s="5">
        <v>140</v>
      </c>
      <c r="G43" s="5">
        <v>200</v>
      </c>
      <c r="H43" s="5">
        <v>54.7</v>
      </c>
      <c r="I43" s="5">
        <v>82.3</v>
      </c>
      <c r="J43" s="6">
        <f>AVERAGE(40.1,40,40.4,40.3,40.5)</f>
        <v>40.260000000000005</v>
      </c>
      <c r="K43" s="6">
        <f>AVERAGE(39.5,40,39.8,40.1,39.7)</f>
        <v>39.820000000000007</v>
      </c>
      <c r="L43" s="5">
        <v>46.5</v>
      </c>
    </row>
    <row r="44" spans="1:12" x14ac:dyDescent="0.35">
      <c r="A44" s="2" t="s">
        <v>68</v>
      </c>
      <c r="B44" s="2" t="s">
        <v>69</v>
      </c>
      <c r="C44" s="2" t="s">
        <v>16</v>
      </c>
      <c r="D44" s="5">
        <v>241</v>
      </c>
      <c r="E44" s="5">
        <v>234</v>
      </c>
      <c r="F44" s="5">
        <v>140</v>
      </c>
      <c r="G44" s="5">
        <v>200</v>
      </c>
      <c r="H44" s="5">
        <v>57.6</v>
      </c>
      <c r="I44" s="5">
        <v>85.5</v>
      </c>
      <c r="J44" s="6">
        <f>AVERAGE(40.2,41,40.1,40.1,40.7)</f>
        <v>40.42</v>
      </c>
      <c r="K44" s="6">
        <f>AVERAGE(40.1,40.4,40.4,40.2,39.9)</f>
        <v>40.200000000000003</v>
      </c>
      <c r="L44" s="5">
        <v>50.1</v>
      </c>
    </row>
    <row r="45" spans="1:12" x14ac:dyDescent="0.35">
      <c r="A45" s="2" t="s">
        <v>68</v>
      </c>
      <c r="B45" s="2" t="s">
        <v>69</v>
      </c>
      <c r="C45" s="2" t="s">
        <v>17</v>
      </c>
      <c r="D45" s="5">
        <v>240</v>
      </c>
      <c r="E45" s="5">
        <v>232</v>
      </c>
      <c r="F45" s="5">
        <v>139</v>
      </c>
      <c r="G45" s="5">
        <v>199</v>
      </c>
      <c r="H45" s="5">
        <v>57.2</v>
      </c>
      <c r="I45" s="5">
        <v>84.5</v>
      </c>
      <c r="J45" s="6">
        <f>AVERAGE(40.2,39.7,40.7,40.6,40.1)</f>
        <v>40.260000000000005</v>
      </c>
      <c r="K45" s="6">
        <f>AVERAGE(39.7,40.2,39.5,40.2,39.9)</f>
        <v>39.900000000000006</v>
      </c>
      <c r="L45" s="5">
        <v>49.1</v>
      </c>
    </row>
    <row r="46" spans="1:12" x14ac:dyDescent="0.35">
      <c r="A46" s="2" t="s">
        <v>68</v>
      </c>
      <c r="B46" s="2" t="s">
        <v>69</v>
      </c>
      <c r="C46" s="2" t="s">
        <v>18</v>
      </c>
      <c r="D46" s="5">
        <v>240</v>
      </c>
      <c r="E46" s="5">
        <v>232</v>
      </c>
      <c r="F46" s="5">
        <v>139</v>
      </c>
      <c r="G46" s="5">
        <v>199</v>
      </c>
      <c r="H46" s="5">
        <v>54.5</v>
      </c>
      <c r="I46" s="5">
        <v>82.1</v>
      </c>
      <c r="J46" s="6">
        <f>AVERAGE(39.9,40.2,40.4,40.4,40.5)</f>
        <v>40.28</v>
      </c>
      <c r="K46" s="6">
        <f>AVERAGE(40.3,39.7,40.1,40.3,40.2)</f>
        <v>40.11999999999999</v>
      </c>
      <c r="L46" s="5">
        <v>46.5</v>
      </c>
    </row>
    <row r="47" spans="1:12" x14ac:dyDescent="0.35">
      <c r="A47" s="2" t="s">
        <v>68</v>
      </c>
      <c r="B47" s="2" t="s">
        <v>69</v>
      </c>
      <c r="C47" s="2" t="s">
        <v>19</v>
      </c>
      <c r="D47" s="5">
        <v>240</v>
      </c>
      <c r="E47" s="5">
        <v>232</v>
      </c>
      <c r="F47" s="5">
        <v>139</v>
      </c>
      <c r="G47" s="5">
        <v>199</v>
      </c>
      <c r="H47" s="5">
        <v>57.5</v>
      </c>
      <c r="I47" s="5">
        <v>84.3</v>
      </c>
      <c r="J47" s="6">
        <f>AVERAGE(40.3,40.5,41.5,40.4,41)</f>
        <v>40.739999999999995</v>
      </c>
      <c r="K47" s="6">
        <f>AVERAGE(39.7,40.4,40.2,40.2,40)</f>
        <v>40.1</v>
      </c>
      <c r="L47" s="5">
        <v>49.6</v>
      </c>
    </row>
    <row r="48" spans="1:12" x14ac:dyDescent="0.35">
      <c r="A48" s="2" t="s">
        <v>68</v>
      </c>
      <c r="B48" s="2" t="s">
        <v>69</v>
      </c>
      <c r="C48" s="2" t="s">
        <v>20</v>
      </c>
      <c r="D48" s="5">
        <v>240</v>
      </c>
      <c r="E48" s="5">
        <v>232</v>
      </c>
      <c r="F48" s="5">
        <v>139</v>
      </c>
      <c r="G48" s="5">
        <v>199</v>
      </c>
      <c r="H48" s="6">
        <v>57</v>
      </c>
      <c r="I48" s="5">
        <v>84.5</v>
      </c>
      <c r="J48" s="6">
        <f>AVERAGE(40.2,40.4,40.2,40,39.9)</f>
        <v>40.14</v>
      </c>
      <c r="K48" s="6">
        <f>AVERAGE(39.7,40,39.5,39.6,40)</f>
        <v>39.760000000000005</v>
      </c>
      <c r="L48" s="5">
        <v>48.3</v>
      </c>
    </row>
    <row r="49" spans="1:12" x14ac:dyDescent="0.35">
      <c r="A49" s="2" t="s">
        <v>68</v>
      </c>
      <c r="B49" s="2" t="s">
        <v>69</v>
      </c>
      <c r="C49" s="2" t="s">
        <v>21</v>
      </c>
      <c r="D49" s="5">
        <v>240</v>
      </c>
      <c r="E49" s="5">
        <v>232</v>
      </c>
      <c r="F49" s="5">
        <v>139</v>
      </c>
      <c r="G49" s="5">
        <v>199</v>
      </c>
      <c r="H49" s="5">
        <v>54.9</v>
      </c>
      <c r="I49" s="5">
        <v>83.4</v>
      </c>
      <c r="J49" s="6">
        <f>AVERAGE(40.1,39.9,40,39.9,39.7)</f>
        <v>39.92</v>
      </c>
      <c r="K49" s="6">
        <f>AVERAGE(39.7,39.4,39.6,39.3,39.9)</f>
        <v>39.58</v>
      </c>
      <c r="L49" s="5">
        <v>46.8</v>
      </c>
    </row>
    <row r="50" spans="1:12" x14ac:dyDescent="0.35">
      <c r="A50" s="2" t="s">
        <v>68</v>
      </c>
      <c r="B50" s="2" t="s">
        <v>69</v>
      </c>
      <c r="C50" s="2" t="s">
        <v>22</v>
      </c>
      <c r="D50" s="5">
        <v>240</v>
      </c>
      <c r="E50" s="5">
        <v>232</v>
      </c>
      <c r="F50" s="5">
        <v>139</v>
      </c>
      <c r="G50" s="5">
        <v>199</v>
      </c>
      <c r="H50" s="5">
        <v>57.3</v>
      </c>
      <c r="I50" s="5">
        <v>85.6</v>
      </c>
      <c r="J50" s="6">
        <f>AVERAGE(41.1,39.9,40.4,40.8,40.6)</f>
        <v>40.559999999999995</v>
      </c>
      <c r="K50" s="6">
        <f>AVERAGE(40,40.5,39.8,40,40.3)</f>
        <v>40.120000000000005</v>
      </c>
      <c r="L50" s="5">
        <v>49.4</v>
      </c>
    </row>
    <row r="51" spans="1:12" x14ac:dyDescent="0.35">
      <c r="A51" s="2" t="s">
        <v>68</v>
      </c>
      <c r="B51" s="2" t="s">
        <v>69</v>
      </c>
      <c r="C51" s="2" t="s">
        <v>24</v>
      </c>
      <c r="D51" s="5">
        <v>245</v>
      </c>
      <c r="E51" s="5">
        <v>234</v>
      </c>
      <c r="F51" s="5">
        <v>140</v>
      </c>
      <c r="G51" s="5">
        <v>200</v>
      </c>
      <c r="H51" s="5">
        <v>57.4</v>
      </c>
      <c r="I51" s="5">
        <v>85.6</v>
      </c>
      <c r="J51" s="6">
        <f>AVERAGE(39.7,39.7,39.9,40.2,40.1)</f>
        <v>39.92</v>
      </c>
      <c r="K51" s="6">
        <f>AVERAGE(40.1,39.9,39.7,40,39.5)</f>
        <v>39.839999999999996</v>
      </c>
      <c r="L51" s="5">
        <v>48.8</v>
      </c>
    </row>
    <row r="52" spans="1:12" x14ac:dyDescent="0.35">
      <c r="A52" s="2" t="s">
        <v>68</v>
      </c>
      <c r="B52" s="2" t="s">
        <v>69</v>
      </c>
      <c r="C52" s="2" t="s">
        <v>25</v>
      </c>
      <c r="D52" s="5">
        <v>245</v>
      </c>
      <c r="E52" s="5">
        <v>234</v>
      </c>
      <c r="F52" s="5">
        <v>140</v>
      </c>
      <c r="G52" s="5">
        <v>200</v>
      </c>
      <c r="H52" s="6">
        <v>55</v>
      </c>
      <c r="I52" s="5">
        <v>84.2</v>
      </c>
      <c r="J52" s="6">
        <f>AVERAGE(40,40,40.3,39.7,39.2)</f>
        <v>39.839999999999996</v>
      </c>
      <c r="K52" s="6">
        <f>AVERAGE(39.2,39.7,39.7,39.6,39.5)</f>
        <v>39.540000000000006</v>
      </c>
      <c r="L52" s="5">
        <v>46.9</v>
      </c>
    </row>
    <row r="53" spans="1:12" x14ac:dyDescent="0.35">
      <c r="A53" s="2" t="s">
        <v>68</v>
      </c>
      <c r="B53" s="2" t="s">
        <v>69</v>
      </c>
      <c r="C53" s="2" t="s">
        <v>26</v>
      </c>
      <c r="D53" s="5">
        <v>245</v>
      </c>
      <c r="E53" s="5">
        <v>234</v>
      </c>
      <c r="F53" s="5">
        <v>140</v>
      </c>
      <c r="G53" s="5">
        <v>200</v>
      </c>
      <c r="H53" s="5">
        <v>57.9</v>
      </c>
      <c r="I53" s="5">
        <v>85.6</v>
      </c>
      <c r="J53" s="6">
        <f>AVERAGE(40.1,40.4,40,40,39.7)</f>
        <v>40.04</v>
      </c>
      <c r="K53" s="6">
        <f>AVERAGE(40,40,39.8,40,39.9)</f>
        <v>39.940000000000005</v>
      </c>
      <c r="L53" s="5">
        <v>49.8</v>
      </c>
    </row>
    <row r="54" spans="1:12" x14ac:dyDescent="0.35">
      <c r="A54" s="2" t="s">
        <v>68</v>
      </c>
      <c r="B54" s="2" t="s">
        <v>13</v>
      </c>
      <c r="C54" s="2" t="s">
        <v>27</v>
      </c>
      <c r="D54" s="5">
        <v>231</v>
      </c>
      <c r="E54" s="5">
        <v>232</v>
      </c>
      <c r="F54" s="5">
        <v>138</v>
      </c>
      <c r="G54" s="5">
        <v>199</v>
      </c>
      <c r="H54" s="5">
        <v>57.1</v>
      </c>
      <c r="I54" s="5">
        <v>85.2</v>
      </c>
      <c r="J54" s="6">
        <f>AVERAGE(40.6,40.2,40,40.1,39.8)</f>
        <v>40.14</v>
      </c>
      <c r="K54" s="6">
        <f>AVERAGE(40.1,40,39.8,39.7,39.4)</f>
        <v>39.799999999999997</v>
      </c>
      <c r="L54" s="5">
        <v>48.9</v>
      </c>
    </row>
    <row r="55" spans="1:12" x14ac:dyDescent="0.35">
      <c r="A55" s="2" t="s">
        <v>68</v>
      </c>
      <c r="B55" s="2" t="s">
        <v>13</v>
      </c>
      <c r="C55" s="2" t="s">
        <v>28</v>
      </c>
      <c r="D55" s="5">
        <v>231</v>
      </c>
      <c r="E55" s="5">
        <v>232</v>
      </c>
      <c r="F55" s="5">
        <v>138</v>
      </c>
      <c r="G55" s="5">
        <v>199</v>
      </c>
      <c r="H55" s="5">
        <v>54.7</v>
      </c>
      <c r="I55" s="5">
        <v>83.8</v>
      </c>
      <c r="J55" s="6">
        <f>AVERAGE(40.1,40,39.9,40.3,40.2)</f>
        <v>40.1</v>
      </c>
      <c r="K55" s="6">
        <f>AVERAGE(39.5,39.6,39.7,39.7,39.1)</f>
        <v>39.519999999999996</v>
      </c>
      <c r="L55" s="5">
        <v>46.8</v>
      </c>
    </row>
    <row r="56" spans="1:12" x14ac:dyDescent="0.35">
      <c r="A56" s="2" t="s">
        <v>68</v>
      </c>
      <c r="B56" s="2" t="s">
        <v>13</v>
      </c>
      <c r="C56" s="2" t="s">
        <v>29</v>
      </c>
      <c r="D56" s="5">
        <v>231</v>
      </c>
      <c r="E56" s="5">
        <v>232</v>
      </c>
      <c r="F56" s="5">
        <v>138</v>
      </c>
      <c r="G56" s="5">
        <v>199</v>
      </c>
      <c r="H56" s="5">
        <v>57.5</v>
      </c>
      <c r="I56" s="5">
        <v>84.3</v>
      </c>
      <c r="J56" s="6">
        <f>AVERAGE(39.9,41,40,40.4,40.3)</f>
        <v>40.320000000000007</v>
      </c>
      <c r="K56" s="6">
        <f>AVERAGE(40,40,40.1,40.3,40.3)</f>
        <v>40.14</v>
      </c>
      <c r="L56" s="6">
        <v>49</v>
      </c>
    </row>
    <row r="57" spans="1:12" x14ac:dyDescent="0.35">
      <c r="A57" s="2" t="s">
        <v>68</v>
      </c>
      <c r="B57" s="2" t="s">
        <v>13</v>
      </c>
      <c r="C57" s="2" t="s">
        <v>30</v>
      </c>
      <c r="D57" s="5">
        <v>230</v>
      </c>
      <c r="E57" s="5">
        <v>233</v>
      </c>
      <c r="F57" s="5">
        <v>138</v>
      </c>
      <c r="G57" s="5">
        <v>200</v>
      </c>
      <c r="H57" s="5">
        <v>56.5</v>
      </c>
      <c r="I57" s="6">
        <v>83</v>
      </c>
      <c r="J57" s="6">
        <f>AVERAGE(40.1,39.9,40.2,39.9,40.3)</f>
        <v>40.08</v>
      </c>
      <c r="K57" s="6">
        <f>AVERAGE(40.3,39.9,39.6,40.1,39.7)</f>
        <v>39.919999999999995</v>
      </c>
      <c r="L57" s="5">
        <v>48.5</v>
      </c>
    </row>
    <row r="58" spans="1:12" x14ac:dyDescent="0.35">
      <c r="A58" s="2" t="s">
        <v>68</v>
      </c>
      <c r="B58" s="2" t="s">
        <v>13</v>
      </c>
      <c r="C58" s="2" t="s">
        <v>31</v>
      </c>
      <c r="D58" s="5">
        <v>230</v>
      </c>
      <c r="E58" s="5">
        <v>233</v>
      </c>
      <c r="F58" s="5">
        <v>138</v>
      </c>
      <c r="G58" s="5">
        <v>200</v>
      </c>
      <c r="H58" s="5">
        <v>54.7</v>
      </c>
      <c r="I58" s="5">
        <v>83.5</v>
      </c>
      <c r="J58" s="6">
        <f>AVERAGE(40.2,39.9,39.5,39.9,40)</f>
        <v>39.9</v>
      </c>
      <c r="K58" s="6">
        <f>AVERAGE(39.5,38.8,39.5,39.4,39.6)</f>
        <v>39.36</v>
      </c>
      <c r="L58" s="5">
        <v>47.2</v>
      </c>
    </row>
    <row r="59" spans="1:12" x14ac:dyDescent="0.35">
      <c r="A59" s="2" t="s">
        <v>68</v>
      </c>
      <c r="B59" s="2" t="s">
        <v>13</v>
      </c>
      <c r="C59" s="2" t="s">
        <v>32</v>
      </c>
      <c r="D59" s="5">
        <v>230</v>
      </c>
      <c r="E59" s="5">
        <v>233</v>
      </c>
      <c r="F59" s="5">
        <v>138</v>
      </c>
      <c r="G59" s="5">
        <v>200</v>
      </c>
      <c r="H59" s="5">
        <v>55.1</v>
      </c>
      <c r="I59" s="5">
        <v>78.8</v>
      </c>
      <c r="J59" s="6">
        <f>AVERAGE(40.5,40.5,40.2,40.4,40.3)</f>
        <v>40.379999999999995</v>
      </c>
      <c r="K59" s="6">
        <f>AVERAGE(39.6,39.4,39.9,40,40.2)</f>
        <v>39.820000000000007</v>
      </c>
      <c r="L59" s="6">
        <v>46</v>
      </c>
    </row>
    <row r="60" spans="1:12" x14ac:dyDescent="0.35">
      <c r="A60" s="2" t="s">
        <v>68</v>
      </c>
      <c r="B60" s="2" t="s">
        <v>13</v>
      </c>
      <c r="C60" s="2" t="s">
        <v>33</v>
      </c>
      <c r="D60" s="5">
        <v>242</v>
      </c>
      <c r="E60" s="5">
        <v>233</v>
      </c>
      <c r="F60" s="5">
        <v>139</v>
      </c>
      <c r="G60" s="5">
        <v>200</v>
      </c>
      <c r="H60" s="6">
        <v>57</v>
      </c>
      <c r="I60" s="5">
        <v>85.1</v>
      </c>
      <c r="J60" s="6">
        <f>AVERAGE(40,39.9,40.2,40.8,39.8)</f>
        <v>40.14</v>
      </c>
      <c r="K60" s="6">
        <f>AVERAGE(39.8,39.9,40.4,40.3,40)</f>
        <v>40.08</v>
      </c>
      <c r="L60" s="5">
        <v>48.9</v>
      </c>
    </row>
    <row r="61" spans="1:12" x14ac:dyDescent="0.35">
      <c r="A61" s="2" t="s">
        <v>68</v>
      </c>
      <c r="B61" s="2" t="s">
        <v>13</v>
      </c>
      <c r="C61" s="2" t="s">
        <v>34</v>
      </c>
      <c r="D61" s="5">
        <v>242</v>
      </c>
      <c r="E61" s="5">
        <v>233</v>
      </c>
      <c r="F61" s="5">
        <v>139</v>
      </c>
      <c r="G61" s="5">
        <v>200</v>
      </c>
      <c r="H61" s="5">
        <v>54.8</v>
      </c>
      <c r="I61" s="5">
        <v>85.9</v>
      </c>
      <c r="J61" s="6">
        <f>AVERAGE(39.8,39.8,39.7,40.3,39.5)</f>
        <v>39.82</v>
      </c>
      <c r="K61" s="6">
        <f>AVERAGE(39.9,40.1,40,39.9,40.1)</f>
        <v>40</v>
      </c>
      <c r="L61" s="5">
        <v>47.5</v>
      </c>
    </row>
    <row r="62" spans="1:12" x14ac:dyDescent="0.35">
      <c r="A62" s="2" t="s">
        <v>68</v>
      </c>
      <c r="B62" s="2" t="s">
        <v>13</v>
      </c>
      <c r="C62" s="2" t="s">
        <v>35</v>
      </c>
      <c r="D62" s="5">
        <v>242</v>
      </c>
      <c r="E62" s="5">
        <v>233</v>
      </c>
      <c r="F62" s="5">
        <v>139</v>
      </c>
      <c r="G62" s="5">
        <v>200</v>
      </c>
      <c r="H62" s="5">
        <v>57.5</v>
      </c>
      <c r="I62" s="6">
        <v>86</v>
      </c>
      <c r="J62" s="6">
        <f>AVERAGE(40.6,40.1,40.7,40.4,40.3)</f>
        <v>40.42</v>
      </c>
      <c r="K62" s="6">
        <f>AVERAGE(39.9,39.8,39.8,40.1,40.2)</f>
        <v>39.96</v>
      </c>
      <c r="L62" s="5">
        <v>49.4</v>
      </c>
    </row>
    <row r="63" spans="1:12" x14ac:dyDescent="0.35">
      <c r="A63" s="2" t="s">
        <v>68</v>
      </c>
      <c r="B63" s="2" t="s">
        <v>13</v>
      </c>
      <c r="C63" s="2" t="s">
        <v>36</v>
      </c>
      <c r="D63" s="5">
        <v>240</v>
      </c>
      <c r="E63" s="5">
        <v>234</v>
      </c>
      <c r="F63" s="5">
        <v>139</v>
      </c>
      <c r="G63" s="5">
        <v>200</v>
      </c>
      <c r="H63" s="5">
        <v>57.3</v>
      </c>
      <c r="I63" s="5">
        <v>84.5</v>
      </c>
      <c r="J63" s="6">
        <f>AVERAGE(39,39.1,39.4,39.1,39.3)</f>
        <v>39.179999999999993</v>
      </c>
      <c r="K63" s="6">
        <f>AVERAGE(39.6,39.2,39.6,39.5,39.3)</f>
        <v>39.44</v>
      </c>
      <c r="L63" s="5">
        <v>48.7</v>
      </c>
    </row>
    <row r="64" spans="1:12" x14ac:dyDescent="0.35">
      <c r="A64" s="2" t="s">
        <v>68</v>
      </c>
      <c r="B64" s="2" t="s">
        <v>13</v>
      </c>
      <c r="C64" s="2" t="s">
        <v>37</v>
      </c>
      <c r="D64" s="5">
        <v>240</v>
      </c>
      <c r="E64" s="5">
        <v>234</v>
      </c>
      <c r="F64" s="5">
        <v>139</v>
      </c>
      <c r="G64" s="5">
        <v>200</v>
      </c>
      <c r="H64" s="5">
        <v>55.5</v>
      </c>
      <c r="I64" s="5">
        <v>82.7</v>
      </c>
      <c r="J64" s="6">
        <f>AVERAGE(39.4,39.3,39.7,39.8,39.6)</f>
        <v>39.559999999999995</v>
      </c>
      <c r="K64" s="6">
        <f>AVERAGE(39.1,39.2,38.8,39.1,38.9)</f>
        <v>39.020000000000003</v>
      </c>
      <c r="L64" s="5">
        <v>47.4</v>
      </c>
    </row>
    <row r="65" spans="1:12" x14ac:dyDescent="0.35">
      <c r="A65" s="2" t="s">
        <v>68</v>
      </c>
      <c r="B65" s="2" t="s">
        <v>13</v>
      </c>
      <c r="C65" s="2" t="s">
        <v>38</v>
      </c>
      <c r="D65" s="5">
        <v>240</v>
      </c>
      <c r="E65" s="5">
        <v>234</v>
      </c>
      <c r="F65" s="5">
        <v>139</v>
      </c>
      <c r="G65" s="5">
        <v>200</v>
      </c>
      <c r="H65" s="5">
        <v>57.9</v>
      </c>
      <c r="I65" s="5">
        <v>85.4</v>
      </c>
      <c r="J65" s="6">
        <f>AVERAGE(39.8,40.1,39.8,40.1,40.2)</f>
        <v>40</v>
      </c>
      <c r="K65" s="6">
        <f>AVERAGE(39.5,40,39.5,39.5,39.9)</f>
        <v>39.68</v>
      </c>
      <c r="L65" s="5">
        <v>50.3</v>
      </c>
    </row>
    <row r="66" spans="1:12" x14ac:dyDescent="0.35">
      <c r="A66" s="2" t="s">
        <v>68</v>
      </c>
      <c r="B66" s="2" t="s">
        <v>13</v>
      </c>
      <c r="C66" s="2" t="s">
        <v>39</v>
      </c>
      <c r="D66" s="5">
        <v>235</v>
      </c>
      <c r="E66" s="5">
        <v>237</v>
      </c>
      <c r="F66" s="5">
        <v>143</v>
      </c>
      <c r="G66" s="5">
        <v>199</v>
      </c>
      <c r="H66" s="5">
        <v>57.4</v>
      </c>
      <c r="I66" s="5">
        <v>84.6</v>
      </c>
      <c r="J66" s="6">
        <f>AVERAGE(39.5,40,39,40,39.7)</f>
        <v>39.64</v>
      </c>
      <c r="K66" s="6">
        <f>AVERAGE(39.6,39.9,39.6,39.7,39.5)</f>
        <v>39.660000000000004</v>
      </c>
      <c r="L66" s="5">
        <v>49.6</v>
      </c>
    </row>
    <row r="67" spans="1:12" x14ac:dyDescent="0.35">
      <c r="A67" s="2" t="s">
        <v>68</v>
      </c>
      <c r="B67" s="2" t="s">
        <v>13</v>
      </c>
      <c r="C67" s="2" t="s">
        <v>40</v>
      </c>
      <c r="D67" s="5">
        <v>235</v>
      </c>
      <c r="E67" s="5">
        <v>237</v>
      </c>
      <c r="F67" s="5">
        <v>143</v>
      </c>
      <c r="G67" s="5">
        <v>199</v>
      </c>
      <c r="H67" s="5">
        <v>54.8</v>
      </c>
      <c r="I67" s="5">
        <v>83.3</v>
      </c>
      <c r="J67" s="6">
        <f>AVERAGE(39.4,39.3,40,39.6,39.7)</f>
        <v>39.6</v>
      </c>
      <c r="K67" s="6">
        <f>AVERAGE(39.5,39.7,39.5,39.6,39.7)</f>
        <v>39.6</v>
      </c>
      <c r="L67" s="5">
        <v>47.3</v>
      </c>
    </row>
    <row r="68" spans="1:12" x14ac:dyDescent="0.35">
      <c r="A68" s="2" t="s">
        <v>68</v>
      </c>
      <c r="B68" s="2" t="s">
        <v>13</v>
      </c>
      <c r="C68" s="2" t="s">
        <v>41</v>
      </c>
      <c r="D68" s="5">
        <v>235</v>
      </c>
      <c r="E68" s="5">
        <v>237</v>
      </c>
      <c r="F68" s="5">
        <v>143</v>
      </c>
      <c r="G68" s="5">
        <v>199</v>
      </c>
      <c r="H68" s="6">
        <v>58</v>
      </c>
      <c r="I68" s="5">
        <v>84.4</v>
      </c>
      <c r="J68" s="6">
        <f>AVERAGE(40,39.1,39.8,40.7,40.1)</f>
        <v>39.94</v>
      </c>
      <c r="K68" s="6">
        <f>AVERAGE(39.6,40.2,39.7,39.5,39.9)</f>
        <v>39.78</v>
      </c>
      <c r="L68" s="5">
        <v>50.1</v>
      </c>
    </row>
    <row r="69" spans="1:12" x14ac:dyDescent="0.35">
      <c r="A69" s="2" t="s">
        <v>68</v>
      </c>
      <c r="B69" s="2" t="s">
        <v>13</v>
      </c>
      <c r="C69" s="2" t="s">
        <v>42</v>
      </c>
      <c r="D69" s="5">
        <v>233</v>
      </c>
      <c r="E69" s="5">
        <v>235</v>
      </c>
      <c r="F69" s="5">
        <v>141</v>
      </c>
      <c r="G69" s="5">
        <v>198</v>
      </c>
      <c r="H69" s="5">
        <v>57.6</v>
      </c>
      <c r="I69" s="5">
        <v>84.9</v>
      </c>
      <c r="J69" s="6">
        <f>AVERAGE(39.8,39.9,40.2,40.2,40.3)</f>
        <v>40.08</v>
      </c>
      <c r="K69" s="6">
        <f>AVERAGE(40,39.8,40.2,40,40)</f>
        <v>40</v>
      </c>
      <c r="L69" s="5">
        <v>48.9</v>
      </c>
    </row>
    <row r="70" spans="1:12" x14ac:dyDescent="0.35">
      <c r="A70" s="2" t="s">
        <v>68</v>
      </c>
      <c r="B70" s="2" t="s">
        <v>13</v>
      </c>
      <c r="C70" s="2" t="s">
        <v>43</v>
      </c>
      <c r="D70" s="5">
        <v>233</v>
      </c>
      <c r="E70" s="5">
        <v>235</v>
      </c>
      <c r="F70" s="5">
        <v>141</v>
      </c>
      <c r="G70" s="5">
        <v>198</v>
      </c>
      <c r="H70" s="5">
        <v>55.5</v>
      </c>
      <c r="I70" s="5">
        <v>85.4</v>
      </c>
      <c r="J70" s="6">
        <f>AVERAGE(40.6,40,40,40,40.6)</f>
        <v>40.239999999999995</v>
      </c>
      <c r="K70" s="6">
        <f>AVERAGE(40,39.8,39.6,39.5,39.9)</f>
        <v>39.760000000000005</v>
      </c>
      <c r="L70" s="5">
        <v>46.9</v>
      </c>
    </row>
    <row r="71" spans="1:12" x14ac:dyDescent="0.35">
      <c r="A71" s="2" t="s">
        <v>68</v>
      </c>
      <c r="B71" s="2" t="s">
        <v>13</v>
      </c>
      <c r="C71" s="2" t="s">
        <v>44</v>
      </c>
      <c r="D71" s="5">
        <v>233</v>
      </c>
      <c r="E71" s="5">
        <v>235</v>
      </c>
      <c r="F71" s="5">
        <v>141</v>
      </c>
      <c r="G71" s="5">
        <v>198</v>
      </c>
      <c r="H71" s="5">
        <v>57.6</v>
      </c>
      <c r="I71" s="5">
        <v>85.4</v>
      </c>
      <c r="J71" s="6">
        <f>AVERAGE(40.5,40,40.6,40.2,40)</f>
        <v>40.260000000000005</v>
      </c>
      <c r="K71" s="6">
        <f>AVERAGE(40.2,39.8,40.2,40,40.6)</f>
        <v>40.159999999999997</v>
      </c>
      <c r="L71" s="5">
        <v>49.4</v>
      </c>
    </row>
    <row r="72" spans="1:12" x14ac:dyDescent="0.35">
      <c r="A72" s="2" t="s">
        <v>68</v>
      </c>
      <c r="B72" s="2" t="s">
        <v>13</v>
      </c>
      <c r="C72" s="2" t="s">
        <v>45</v>
      </c>
      <c r="D72" s="5">
        <v>234</v>
      </c>
      <c r="E72" s="5">
        <v>234</v>
      </c>
      <c r="F72" s="5">
        <v>141</v>
      </c>
      <c r="G72" s="5">
        <v>200</v>
      </c>
      <c r="H72" s="5">
        <v>56.8</v>
      </c>
      <c r="I72" s="5">
        <v>85.2</v>
      </c>
      <c r="J72" s="7">
        <f>AVERAGE(39.5,39.7,40.2,40,39.8)</f>
        <v>39.839999999999996</v>
      </c>
      <c r="K72" s="7">
        <f>AVERAGE(39.7,39.5,39.6,39.8,39.9)</f>
        <v>39.700000000000003</v>
      </c>
      <c r="L72" s="5">
        <v>49.3</v>
      </c>
    </row>
    <row r="73" spans="1:12" x14ac:dyDescent="0.35">
      <c r="A73" s="2" t="s">
        <v>68</v>
      </c>
      <c r="B73" s="2" t="s">
        <v>13</v>
      </c>
      <c r="C73" s="2" t="s">
        <v>46</v>
      </c>
      <c r="D73" s="5">
        <v>234</v>
      </c>
      <c r="E73" s="5">
        <v>234</v>
      </c>
      <c r="F73" s="5">
        <v>141</v>
      </c>
      <c r="G73" s="5">
        <v>200</v>
      </c>
      <c r="H73" s="5">
        <v>55.5</v>
      </c>
      <c r="I73" s="5">
        <v>85.5</v>
      </c>
      <c r="J73" s="7">
        <f>AVERAGE(40,39.2,40.1,39.7,39.6)</f>
        <v>39.72</v>
      </c>
      <c r="K73" s="7">
        <f>AVERAGE(39.6,39.5,39.6,39.6,39.6)</f>
        <v>39.58</v>
      </c>
      <c r="L73" s="5">
        <v>47.5</v>
      </c>
    </row>
    <row r="74" spans="1:12" x14ac:dyDescent="0.35">
      <c r="A74" s="2" t="s">
        <v>68</v>
      </c>
      <c r="B74" s="2" t="s">
        <v>13</v>
      </c>
      <c r="C74" s="2" t="s">
        <v>47</v>
      </c>
      <c r="D74" s="5">
        <v>234</v>
      </c>
      <c r="E74" s="5">
        <v>234</v>
      </c>
      <c r="F74" s="5">
        <v>141</v>
      </c>
      <c r="G74" s="5">
        <v>200</v>
      </c>
      <c r="H74" s="5">
        <v>57.1</v>
      </c>
      <c r="I74" s="5">
        <v>83.3</v>
      </c>
      <c r="J74" s="7">
        <f>AVERAGE(40.2,40.8,40.3,40,40.2)</f>
        <v>40.299999999999997</v>
      </c>
      <c r="K74" s="7">
        <f>AVERAGE(40.1,39.6,40,40,40)</f>
        <v>39.94</v>
      </c>
      <c r="L74" s="5">
        <v>48.8</v>
      </c>
    </row>
    <row r="75" spans="1:12" x14ac:dyDescent="0.35">
      <c r="A75" s="2" t="s">
        <v>68</v>
      </c>
      <c r="B75" s="2" t="s">
        <v>13</v>
      </c>
      <c r="C75" s="2" t="s">
        <v>48</v>
      </c>
      <c r="D75" s="5">
        <v>233</v>
      </c>
      <c r="E75" s="5">
        <v>233</v>
      </c>
      <c r="F75" s="5">
        <v>140</v>
      </c>
      <c r="G75" s="5">
        <v>200</v>
      </c>
      <c r="H75" s="5">
        <v>56.7</v>
      </c>
      <c r="I75" s="5">
        <v>85.1</v>
      </c>
      <c r="J75" s="6">
        <f>AVERAGE(39.9,40.3,39.7,39.8,39.6)</f>
        <v>39.86</v>
      </c>
      <c r="K75" s="6">
        <f>AVERAGE(39.8,40,39.7,39.9,39.9)</f>
        <v>39.86</v>
      </c>
      <c r="L75" s="5">
        <v>48.3</v>
      </c>
    </row>
    <row r="76" spans="1:12" x14ac:dyDescent="0.35">
      <c r="A76" s="2" t="s">
        <v>68</v>
      </c>
      <c r="B76" s="2" t="s">
        <v>13</v>
      </c>
      <c r="C76" s="2" t="s">
        <v>49</v>
      </c>
      <c r="D76" s="5">
        <v>233</v>
      </c>
      <c r="E76" s="5">
        <v>233</v>
      </c>
      <c r="F76" s="5">
        <v>140</v>
      </c>
      <c r="G76" s="5">
        <v>200</v>
      </c>
      <c r="H76" s="5">
        <v>56.3</v>
      </c>
      <c r="I76" s="5">
        <v>84.5</v>
      </c>
      <c r="J76" s="6">
        <f>AVERAGE(39.5,39.7,40.1,39.8,39.7)</f>
        <v>39.760000000000005</v>
      </c>
      <c r="K76" s="6">
        <f>AVERAGE(39.7,39.6,39.9,39.5,39.7)</f>
        <v>39.680000000000007</v>
      </c>
      <c r="L76" s="5">
        <v>47.6</v>
      </c>
    </row>
    <row r="77" spans="1:12" x14ac:dyDescent="0.35">
      <c r="A77" s="2" t="s">
        <v>68</v>
      </c>
      <c r="B77" s="2" t="s">
        <v>13</v>
      </c>
      <c r="C77" s="2" t="s">
        <v>50</v>
      </c>
      <c r="D77" s="5">
        <v>233</v>
      </c>
      <c r="E77" s="5">
        <v>233</v>
      </c>
      <c r="F77" s="5">
        <v>140</v>
      </c>
      <c r="G77" s="5">
        <v>200</v>
      </c>
      <c r="H77" s="5">
        <v>57.5</v>
      </c>
      <c r="I77" s="5">
        <v>85.1</v>
      </c>
      <c r="J77" s="6">
        <f>AVERAGE(40.2,39.8,40.4,40.1,40)</f>
        <v>40.1</v>
      </c>
      <c r="K77" s="6">
        <f>AVERAGE(39.3,39.8,39.6,40,39.7)</f>
        <v>39.679999999999993</v>
      </c>
      <c r="L77" s="5">
        <v>48.9</v>
      </c>
    </row>
    <row r="78" spans="1:12" x14ac:dyDescent="0.35">
      <c r="A78" s="2" t="s">
        <v>68</v>
      </c>
      <c r="B78" s="2" t="s">
        <v>23</v>
      </c>
      <c r="C78" s="2" t="s">
        <v>51</v>
      </c>
      <c r="D78" s="5">
        <v>230</v>
      </c>
      <c r="E78" s="5">
        <v>235</v>
      </c>
      <c r="F78" s="5">
        <v>138</v>
      </c>
      <c r="G78" s="5">
        <v>194</v>
      </c>
      <c r="H78" s="5">
        <v>52.7</v>
      </c>
      <c r="I78" s="5">
        <v>86.3</v>
      </c>
      <c r="J78" s="6">
        <f>AVERAGE(39.9,39.9,39.6,40,40.2)</f>
        <v>39.92</v>
      </c>
      <c r="K78" s="6">
        <f>AVERAGE(40.1,39.9,39.7,40.1,39.9)</f>
        <v>39.940000000000005</v>
      </c>
      <c r="L78" s="5">
        <v>45.4</v>
      </c>
    </row>
    <row r="79" spans="1:12" x14ac:dyDescent="0.35">
      <c r="A79" s="2" t="s">
        <v>68</v>
      </c>
      <c r="B79" s="2" t="s">
        <v>23</v>
      </c>
      <c r="C79" s="2" t="s">
        <v>53</v>
      </c>
      <c r="D79" s="5">
        <v>230</v>
      </c>
      <c r="E79" s="5">
        <v>235</v>
      </c>
      <c r="F79" s="5">
        <v>138</v>
      </c>
      <c r="G79" s="5">
        <v>194</v>
      </c>
      <c r="H79" s="5">
        <v>51.8</v>
      </c>
      <c r="I79" s="5">
        <v>84.3</v>
      </c>
      <c r="J79" s="6">
        <f>AVERAGE(39.3,39.6,40,39.9,39.7)</f>
        <v>39.700000000000003</v>
      </c>
      <c r="K79" s="6">
        <f>AVERAGE(38.8,39.7,39.8,40,39.6)</f>
        <v>39.58</v>
      </c>
      <c r="L79" s="5">
        <v>44.6</v>
      </c>
    </row>
    <row r="80" spans="1:12" x14ac:dyDescent="0.35">
      <c r="A80" s="2" t="s">
        <v>68</v>
      </c>
      <c r="B80" s="2" t="s">
        <v>23</v>
      </c>
      <c r="C80" s="2" t="s">
        <v>54</v>
      </c>
      <c r="D80" s="5">
        <v>230</v>
      </c>
      <c r="E80" s="5">
        <v>235</v>
      </c>
      <c r="F80" s="5">
        <v>138</v>
      </c>
      <c r="G80" s="5">
        <v>194</v>
      </c>
      <c r="H80" s="5">
        <v>51.9</v>
      </c>
      <c r="I80" s="5">
        <v>86.2</v>
      </c>
      <c r="J80" s="6">
        <f>AVERAGE(39.5,39.7,40,39.5,39.7)</f>
        <v>39.679999999999993</v>
      </c>
      <c r="K80" s="6">
        <f>AVERAGE(39.9,39.8,39.9,39.8,40)</f>
        <v>39.879999999999995</v>
      </c>
      <c r="L80" s="5">
        <v>44.7</v>
      </c>
    </row>
    <row r="81" spans="1:12" x14ac:dyDescent="0.35">
      <c r="A81" s="2" t="s">
        <v>68</v>
      </c>
      <c r="B81" s="2" t="s">
        <v>23</v>
      </c>
      <c r="C81" s="2" t="s">
        <v>55</v>
      </c>
      <c r="D81" s="5">
        <v>229</v>
      </c>
      <c r="E81" s="5">
        <v>234</v>
      </c>
      <c r="F81" s="5">
        <v>138</v>
      </c>
      <c r="G81" s="5">
        <v>197</v>
      </c>
      <c r="H81" s="5">
        <v>52.6</v>
      </c>
      <c r="I81" s="5">
        <v>86.4</v>
      </c>
      <c r="J81" s="6">
        <f>AVERAGE(40,40.2,40.4,40.3,40.4)</f>
        <v>40.26</v>
      </c>
      <c r="K81" s="6">
        <f>AVERAGE(40,40.1,40.1,40.1,40)</f>
        <v>40.059999999999995</v>
      </c>
      <c r="L81" s="5">
        <v>45.2</v>
      </c>
    </row>
    <row r="82" spans="1:12" x14ac:dyDescent="0.35">
      <c r="A82" s="2" t="s">
        <v>68</v>
      </c>
      <c r="B82" s="2" t="s">
        <v>23</v>
      </c>
      <c r="C82" s="2" t="s">
        <v>56</v>
      </c>
      <c r="D82" s="5">
        <v>229</v>
      </c>
      <c r="E82" s="5">
        <v>234</v>
      </c>
      <c r="F82" s="5">
        <v>138</v>
      </c>
      <c r="G82" s="5">
        <v>197</v>
      </c>
      <c r="H82" s="5">
        <v>51.9</v>
      </c>
      <c r="I82" s="5">
        <v>85.3</v>
      </c>
      <c r="J82" s="6">
        <f>AVERAGE(40,40,39.8,40.4,40.3)</f>
        <v>40.1</v>
      </c>
      <c r="K82" s="6">
        <f>AVERAGE(40,39.8,39.5,39.8,40)</f>
        <v>39.82</v>
      </c>
      <c r="L82" s="5">
        <v>44.3</v>
      </c>
    </row>
    <row r="83" spans="1:12" x14ac:dyDescent="0.35">
      <c r="A83" s="2" t="s">
        <v>68</v>
      </c>
      <c r="B83" s="2" t="s">
        <v>23</v>
      </c>
      <c r="C83" s="2" t="s">
        <v>57</v>
      </c>
      <c r="D83" s="5">
        <v>229</v>
      </c>
      <c r="E83" s="5">
        <v>234</v>
      </c>
      <c r="F83" s="5">
        <v>138</v>
      </c>
      <c r="G83" s="5">
        <v>197</v>
      </c>
      <c r="H83" s="5">
        <v>52.2</v>
      </c>
      <c r="I83" s="5">
        <v>85.5</v>
      </c>
      <c r="J83" s="6">
        <f>AVERAGE(40.3,40.2,40.5,40.1,40.4)</f>
        <v>40.299999999999997</v>
      </c>
      <c r="K83" s="6">
        <f>AVERAGE(40.3,40.1,39.8,40,40.2)</f>
        <v>40.08</v>
      </c>
      <c r="L83" s="5">
        <v>44.7</v>
      </c>
    </row>
    <row r="84" spans="1:12" x14ac:dyDescent="0.35">
      <c r="A84" s="2" t="s">
        <v>68</v>
      </c>
      <c r="B84" s="2" t="s">
        <v>23</v>
      </c>
      <c r="C84" s="2" t="s">
        <v>58</v>
      </c>
      <c r="D84" s="5">
        <v>230</v>
      </c>
      <c r="E84" s="5">
        <v>235</v>
      </c>
      <c r="F84" s="5">
        <v>138</v>
      </c>
      <c r="G84" s="5">
        <v>197</v>
      </c>
      <c r="H84" s="5">
        <v>52.5</v>
      </c>
      <c r="I84" s="5">
        <v>86.8</v>
      </c>
      <c r="J84" s="6">
        <f>AVERAGE(38.7,39.5,39.5,38.9,39.4)</f>
        <v>39.200000000000003</v>
      </c>
      <c r="K84" s="6">
        <f>AVERAGE(40,39.5,39.5,38.9,39.9)</f>
        <v>39.56</v>
      </c>
      <c r="L84" s="5">
        <v>45.3</v>
      </c>
    </row>
    <row r="85" spans="1:12" x14ac:dyDescent="0.35">
      <c r="A85" s="2" t="s">
        <v>68</v>
      </c>
      <c r="B85" s="2" t="s">
        <v>23</v>
      </c>
      <c r="C85" s="2" t="s">
        <v>59</v>
      </c>
      <c r="D85" s="5">
        <v>230</v>
      </c>
      <c r="E85" s="5">
        <v>235</v>
      </c>
      <c r="F85" s="5">
        <v>138</v>
      </c>
      <c r="G85" s="5">
        <v>197</v>
      </c>
      <c r="H85" s="6">
        <v>52</v>
      </c>
      <c r="I85" s="5">
        <v>86.2</v>
      </c>
      <c r="J85" s="6">
        <f>AVERAGE(40,39.9,39.7,39.9,40)</f>
        <v>39.9</v>
      </c>
      <c r="K85" s="6">
        <f>AVERAGE(39.5,39.7,39.5,39.6,39.6)</f>
        <v>39.58</v>
      </c>
      <c r="L85" s="5">
        <v>44.1</v>
      </c>
    </row>
    <row r="86" spans="1:12" x14ac:dyDescent="0.35">
      <c r="A86" s="2" t="s">
        <v>68</v>
      </c>
      <c r="B86" s="2" t="s">
        <v>23</v>
      </c>
      <c r="C86" s="2" t="s">
        <v>60</v>
      </c>
      <c r="D86" s="5">
        <v>230</v>
      </c>
      <c r="E86" s="5">
        <v>235</v>
      </c>
      <c r="F86" s="5">
        <v>138</v>
      </c>
      <c r="G86" s="5">
        <v>197</v>
      </c>
      <c r="H86" s="5">
        <v>52.3</v>
      </c>
      <c r="I86" s="5">
        <v>86.5</v>
      </c>
      <c r="J86" s="6">
        <f>AVERAGE(39.5,39.9,40,40.2,40.1)</f>
        <v>39.940000000000005</v>
      </c>
      <c r="K86" s="6">
        <f>AVERAGE(40,39.8,40,39.5,39.4)</f>
        <v>39.74</v>
      </c>
      <c r="L86" s="5">
        <v>44.8</v>
      </c>
    </row>
    <row r="87" spans="1:12" x14ac:dyDescent="0.35">
      <c r="A87" s="2" t="s">
        <v>68</v>
      </c>
      <c r="B87" s="2" t="s">
        <v>13</v>
      </c>
      <c r="C87" s="2" t="s">
        <v>61</v>
      </c>
      <c r="D87" s="5">
        <v>239</v>
      </c>
      <c r="E87" s="5">
        <v>234</v>
      </c>
      <c r="F87" s="5">
        <v>144</v>
      </c>
      <c r="G87" s="5">
        <v>195</v>
      </c>
      <c r="H87" s="5">
        <v>57.3</v>
      </c>
      <c r="I87" s="5">
        <v>85.1</v>
      </c>
      <c r="J87" s="6">
        <f>AVERAGE(39.9,40,39.7,39.8,39.9)</f>
        <v>39.86</v>
      </c>
      <c r="K87" s="6">
        <f>AVERAGE(39.4,39.6,39.5,39.4,39.7)</f>
        <v>39.520000000000003</v>
      </c>
      <c r="L87" s="5">
        <v>49.2</v>
      </c>
    </row>
    <row r="88" spans="1:12" x14ac:dyDescent="0.35">
      <c r="A88" s="2" t="s">
        <v>68</v>
      </c>
      <c r="B88" s="2" t="s">
        <v>13</v>
      </c>
      <c r="C88" s="2" t="s">
        <v>62</v>
      </c>
      <c r="D88" s="5">
        <v>239</v>
      </c>
      <c r="E88" s="5">
        <v>234</v>
      </c>
      <c r="F88" s="5">
        <v>144</v>
      </c>
      <c r="G88" s="5">
        <v>195</v>
      </c>
      <c r="H88" s="5">
        <v>55.7</v>
      </c>
      <c r="I88" s="5">
        <v>82.7</v>
      </c>
      <c r="J88" s="6">
        <f>AVERAGE(39.5,39.7,39.4,39.3,39.4)</f>
        <v>39.459999999999994</v>
      </c>
      <c r="K88" s="6">
        <f>AVERAGE(39.5,39.4,39.3,39.5,39)</f>
        <v>39.339999999999996</v>
      </c>
      <c r="L88" s="5">
        <v>46.8</v>
      </c>
    </row>
    <row r="89" spans="1:12" x14ac:dyDescent="0.35">
      <c r="A89" s="2" t="s">
        <v>68</v>
      </c>
      <c r="B89" s="2" t="s">
        <v>13</v>
      </c>
      <c r="C89" s="2" t="s">
        <v>63</v>
      </c>
      <c r="D89" s="5">
        <v>239</v>
      </c>
      <c r="E89" s="5">
        <v>234</v>
      </c>
      <c r="F89" s="5">
        <v>144</v>
      </c>
      <c r="G89" s="5">
        <v>195</v>
      </c>
      <c r="H89" s="5">
        <v>57.4</v>
      </c>
      <c r="I89" s="5">
        <v>84.8</v>
      </c>
      <c r="J89" s="6">
        <f>AVERAGE(39.5,39.9,40,39.3,39.7)</f>
        <v>39.679999999999993</v>
      </c>
      <c r="K89" s="6">
        <f>AVERAGE(39.6,39.6,39.8,39.7,39.7)</f>
        <v>39.679999999999993</v>
      </c>
      <c r="L89" s="5">
        <v>49.4</v>
      </c>
    </row>
    <row r="90" spans="1:12" x14ac:dyDescent="0.35">
      <c r="A90" s="2" t="s">
        <v>68</v>
      </c>
      <c r="B90" s="2" t="s">
        <v>13</v>
      </c>
      <c r="C90" s="2" t="s">
        <v>64</v>
      </c>
      <c r="D90" s="5">
        <v>238</v>
      </c>
      <c r="E90" s="5">
        <v>235</v>
      </c>
      <c r="F90" s="5">
        <v>144</v>
      </c>
      <c r="G90" s="5">
        <v>195</v>
      </c>
      <c r="H90" s="6">
        <v>57</v>
      </c>
      <c r="I90" s="5">
        <v>86.2</v>
      </c>
      <c r="J90" s="6">
        <f>AVERAGE(39.9,40,39.5,40,39.9)</f>
        <v>39.86</v>
      </c>
      <c r="K90" s="6">
        <f>AVERAGE(39.6,40,39.9,40,39.9)</f>
        <v>39.880000000000003</v>
      </c>
      <c r="L90" s="6">
        <v>49</v>
      </c>
    </row>
    <row r="91" spans="1:12" x14ac:dyDescent="0.35">
      <c r="A91" s="2" t="s">
        <v>68</v>
      </c>
      <c r="B91" s="2" t="s">
        <v>13</v>
      </c>
      <c r="C91" s="2" t="s">
        <v>65</v>
      </c>
      <c r="D91" s="5">
        <v>238</v>
      </c>
      <c r="E91" s="5">
        <v>235</v>
      </c>
      <c r="F91" s="5">
        <v>144</v>
      </c>
      <c r="G91" s="5">
        <v>195</v>
      </c>
      <c r="H91" s="5">
        <v>54.8</v>
      </c>
      <c r="I91" s="5">
        <v>84.8</v>
      </c>
      <c r="J91" s="6">
        <f>AVERAGE(39.6,40,39.4,39.4,39.9)</f>
        <v>39.660000000000004</v>
      </c>
      <c r="K91" s="6">
        <f>AVERAGE(39.8,39.4,39.7,39.8,39.8)</f>
        <v>39.700000000000003</v>
      </c>
      <c r="L91" s="5">
        <v>46.6</v>
      </c>
    </row>
    <row r="92" spans="1:12" x14ac:dyDescent="0.35">
      <c r="A92" s="2" t="s">
        <v>68</v>
      </c>
      <c r="B92" s="2" t="s">
        <v>13</v>
      </c>
      <c r="C92" s="2" t="s">
        <v>66</v>
      </c>
      <c r="D92" s="5">
        <v>238</v>
      </c>
      <c r="E92" s="5">
        <v>235</v>
      </c>
      <c r="F92" s="5">
        <v>144</v>
      </c>
      <c r="G92" s="5">
        <v>195</v>
      </c>
      <c r="H92" s="6">
        <v>57</v>
      </c>
      <c r="I92" s="5">
        <v>86.7</v>
      </c>
      <c r="J92" s="8">
        <f>AVERAGE(39.7,39.9,39.4,39.4,39.4)</f>
        <v>39.56</v>
      </c>
      <c r="K92" s="6">
        <f>AVERAGE(39.7,39.8,39.5,39.9,40)</f>
        <v>39.78</v>
      </c>
      <c r="L92" s="5">
        <v>49.3</v>
      </c>
    </row>
    <row r="93" spans="1:12" x14ac:dyDescent="0.35">
      <c r="A93" s="2" t="s">
        <v>68</v>
      </c>
      <c r="B93" s="2" t="s">
        <v>13</v>
      </c>
      <c r="C93" s="2" t="s">
        <v>67</v>
      </c>
      <c r="D93" s="5">
        <v>259</v>
      </c>
      <c r="E93" s="5">
        <v>234</v>
      </c>
      <c r="F93" s="5">
        <v>144</v>
      </c>
      <c r="G93" s="5">
        <v>195</v>
      </c>
      <c r="H93" s="5">
        <v>56.9</v>
      </c>
      <c r="I93" s="5">
        <v>84.9</v>
      </c>
      <c r="J93" s="6">
        <f>AVERAGE(39.8,39.8,39.9,39.8,40)</f>
        <v>39.86</v>
      </c>
      <c r="K93" s="6">
        <f>AVERAGE(39.5,39.8,39.8,39.8,39.8)</f>
        <v>39.739999999999995</v>
      </c>
      <c r="L93" s="5">
        <v>48.2</v>
      </c>
    </row>
    <row r="94" spans="1:12" x14ac:dyDescent="0.35">
      <c r="A94" s="2" t="s">
        <v>68</v>
      </c>
      <c r="B94" s="2" t="s">
        <v>13</v>
      </c>
      <c r="C94" s="2" t="s">
        <v>70</v>
      </c>
      <c r="D94" s="5">
        <v>259</v>
      </c>
      <c r="E94" s="5">
        <v>234</v>
      </c>
      <c r="F94" s="5">
        <v>144</v>
      </c>
      <c r="G94" s="5">
        <v>195</v>
      </c>
      <c r="H94" s="5">
        <v>54.8</v>
      </c>
      <c r="I94" s="5">
        <v>84.7</v>
      </c>
      <c r="J94" s="6">
        <f>AVERAGE(39.5,39.7,39.7,39.6,40)</f>
        <v>39.700000000000003</v>
      </c>
      <c r="K94" s="6">
        <f>AVERAGE(39.6,39.4,39.4,39.7,39.6)</f>
        <v>39.540000000000006</v>
      </c>
      <c r="L94" s="6">
        <v>47</v>
      </c>
    </row>
    <row r="95" spans="1:12" x14ac:dyDescent="0.35">
      <c r="A95" s="2" t="s">
        <v>68</v>
      </c>
      <c r="B95" s="2" t="s">
        <v>13</v>
      </c>
      <c r="C95" s="2" t="s">
        <v>71</v>
      </c>
      <c r="D95" s="5">
        <v>259</v>
      </c>
      <c r="E95" s="5">
        <v>234</v>
      </c>
      <c r="F95" s="5">
        <v>144</v>
      </c>
      <c r="G95" s="5">
        <v>195</v>
      </c>
      <c r="H95" s="5">
        <v>55.3</v>
      </c>
      <c r="I95" s="5">
        <v>84.1</v>
      </c>
      <c r="J95" s="6">
        <f>AVERAGE(39.9,40.1,40.2,39.8,39.8)</f>
        <v>39.96</v>
      </c>
      <c r="K95" s="6">
        <f>AVERAGE(39.8,39.7,40.1,39.6,39.6)</f>
        <v>39.76</v>
      </c>
      <c r="L95" s="5">
        <v>48.2</v>
      </c>
    </row>
    <row r="96" spans="1:12" x14ac:dyDescent="0.35">
      <c r="A96" s="2" t="s">
        <v>68</v>
      </c>
      <c r="B96" s="2" t="s">
        <v>13</v>
      </c>
      <c r="C96" s="2" t="s">
        <v>72</v>
      </c>
      <c r="D96" s="9">
        <v>239</v>
      </c>
      <c r="E96" s="9">
        <v>234</v>
      </c>
      <c r="F96" s="9">
        <v>143</v>
      </c>
      <c r="G96" s="9">
        <v>195</v>
      </c>
      <c r="H96" s="9">
        <v>57.3</v>
      </c>
      <c r="I96" s="9">
        <v>85.2</v>
      </c>
      <c r="J96" s="7">
        <f>AVERAGE(40.2,40,39.9,39.9,40.2)</f>
        <v>40.04</v>
      </c>
      <c r="K96" s="7">
        <f>AVERAGE(39.9,40.2,39.8,40.1,39.9)</f>
        <v>39.980000000000004</v>
      </c>
      <c r="L96" s="9">
        <v>48.8</v>
      </c>
    </row>
    <row r="97" spans="1:12" x14ac:dyDescent="0.35">
      <c r="A97" s="2" t="s">
        <v>68</v>
      </c>
      <c r="B97" s="2" t="s">
        <v>13</v>
      </c>
      <c r="C97" s="2" t="s">
        <v>73</v>
      </c>
      <c r="D97" s="9">
        <v>239</v>
      </c>
      <c r="E97" s="9">
        <v>234</v>
      </c>
      <c r="F97" s="9">
        <v>143</v>
      </c>
      <c r="G97" s="9">
        <v>195</v>
      </c>
      <c r="H97" s="9">
        <v>55.5</v>
      </c>
      <c r="I97" s="7">
        <v>87</v>
      </c>
      <c r="J97" s="7">
        <f>AVERAGE(40.8,40,40.3,39.9,40.5)</f>
        <v>40.299999999999997</v>
      </c>
      <c r="K97" s="7">
        <f>AVERAGE(40,40.1,40.3,40,40.2)</f>
        <v>40.11999999999999</v>
      </c>
      <c r="L97" s="9">
        <v>49.3</v>
      </c>
    </row>
    <row r="98" spans="1:12" x14ac:dyDescent="0.35">
      <c r="A98" s="2" t="s">
        <v>68</v>
      </c>
      <c r="B98" s="2" t="s">
        <v>13</v>
      </c>
      <c r="C98" s="2" t="s">
        <v>74</v>
      </c>
      <c r="D98" s="9">
        <v>239</v>
      </c>
      <c r="E98" s="9">
        <v>234</v>
      </c>
      <c r="F98" s="9">
        <v>143</v>
      </c>
      <c r="G98" s="9">
        <v>195</v>
      </c>
      <c r="H98" s="9">
        <v>57.2</v>
      </c>
      <c r="I98" s="7">
        <v>86</v>
      </c>
      <c r="J98" s="7">
        <f>AVERAGE(39.8,39.8,39.8,40.4,39.8)</f>
        <v>39.919999999999995</v>
      </c>
      <c r="K98" s="7">
        <f>AVERAGE(39.7,39.8,39.6,39.7,39.7)</f>
        <v>39.700000000000003</v>
      </c>
      <c r="L98" s="7">
        <v>48</v>
      </c>
    </row>
    <row r="99" spans="1:12" x14ac:dyDescent="0.35">
      <c r="A99" s="2" t="s">
        <v>75</v>
      </c>
      <c r="B99" s="2" t="s">
        <v>13</v>
      </c>
      <c r="C99" s="2" t="s">
        <v>14</v>
      </c>
      <c r="D99" s="5">
        <v>240</v>
      </c>
      <c r="E99" s="5">
        <v>233</v>
      </c>
      <c r="F99" s="5">
        <v>139</v>
      </c>
      <c r="G99" s="5">
        <v>200</v>
      </c>
      <c r="H99" s="5">
        <v>55.9</v>
      </c>
      <c r="I99" s="5">
        <v>84.1</v>
      </c>
      <c r="J99" s="6">
        <f>AVERAGE(40.3,40.2,40.5,40.4,40.4)</f>
        <v>40.36</v>
      </c>
      <c r="K99" s="6">
        <f>AVERAGE(40,40,39.7,39.9,39.9)</f>
        <v>39.9</v>
      </c>
      <c r="L99" s="5">
        <v>47.2</v>
      </c>
    </row>
    <row r="100" spans="1:12" x14ac:dyDescent="0.35">
      <c r="A100" s="2" t="s">
        <v>75</v>
      </c>
      <c r="B100" s="2" t="s">
        <v>13</v>
      </c>
      <c r="C100" s="2" t="s">
        <v>15</v>
      </c>
      <c r="D100" s="5">
        <v>240</v>
      </c>
      <c r="E100" s="5">
        <v>233</v>
      </c>
      <c r="F100" s="5">
        <v>139</v>
      </c>
      <c r="G100" s="5">
        <v>200</v>
      </c>
      <c r="H100" s="5">
        <v>52.8</v>
      </c>
      <c r="I100" s="5">
        <v>84.3</v>
      </c>
      <c r="J100" s="6">
        <f>AVERAGE(39.9,40.3,40,40.1,40.6)</f>
        <v>40.179999999999993</v>
      </c>
      <c r="K100" s="6">
        <f>AVERAGE(39.8,39.9,39.8,39.7,39.8)</f>
        <v>39.799999999999997</v>
      </c>
      <c r="L100" s="5">
        <v>45.7</v>
      </c>
    </row>
    <row r="101" spans="1:12" x14ac:dyDescent="0.35">
      <c r="A101" s="2" t="s">
        <v>75</v>
      </c>
      <c r="B101" s="2" t="s">
        <v>13</v>
      </c>
      <c r="C101" s="2" t="s">
        <v>16</v>
      </c>
      <c r="D101" s="5">
        <v>240</v>
      </c>
      <c r="E101" s="5">
        <v>233</v>
      </c>
      <c r="F101" s="5">
        <v>139</v>
      </c>
      <c r="G101" s="5">
        <v>200</v>
      </c>
      <c r="H101" s="5">
        <v>56.6</v>
      </c>
      <c r="I101" s="5">
        <v>85.3</v>
      </c>
      <c r="J101" s="6">
        <f>AVERAGE(40.1,40.8,40.7,40.6,40.6)</f>
        <v>40.56</v>
      </c>
      <c r="K101" s="6">
        <f>AVERAGE(40.1,40.1,40.2,40,40.1)</f>
        <v>40.1</v>
      </c>
      <c r="L101" s="5">
        <v>48.6</v>
      </c>
    </row>
    <row r="102" spans="1:12" x14ac:dyDescent="0.35">
      <c r="A102" s="2" t="s">
        <v>75</v>
      </c>
      <c r="B102" s="2" t="s">
        <v>13</v>
      </c>
      <c r="C102" s="2" t="s">
        <v>17</v>
      </c>
      <c r="D102" s="5">
        <v>240</v>
      </c>
      <c r="E102" s="5">
        <v>233</v>
      </c>
      <c r="F102" s="5">
        <v>138</v>
      </c>
      <c r="G102" s="5">
        <v>199</v>
      </c>
      <c r="H102" s="5">
        <v>56.1</v>
      </c>
      <c r="I102" s="6">
        <v>84</v>
      </c>
      <c r="J102" s="6">
        <f>AVERAGE(39.6,40,40,39.7,40.1)</f>
        <v>39.880000000000003</v>
      </c>
      <c r="K102" s="6">
        <f>AVERAGE(39.6,39.6,39.6,39.9,39.7)</f>
        <v>39.680000000000007</v>
      </c>
      <c r="L102" s="5">
        <v>47.9</v>
      </c>
    </row>
    <row r="103" spans="1:12" x14ac:dyDescent="0.35">
      <c r="A103" s="2" t="s">
        <v>75</v>
      </c>
      <c r="B103" s="2" t="s">
        <v>13</v>
      </c>
      <c r="C103" s="2" t="s">
        <v>18</v>
      </c>
      <c r="D103" s="5">
        <v>240</v>
      </c>
      <c r="E103" s="5">
        <v>233</v>
      </c>
      <c r="F103" s="5">
        <v>138</v>
      </c>
      <c r="G103" s="5">
        <v>199</v>
      </c>
      <c r="H103" s="6">
        <v>54</v>
      </c>
      <c r="I103" s="6">
        <v>83</v>
      </c>
      <c r="J103" s="6">
        <f>AVERAGE(39.8,40,39.6,39.5,39.8)</f>
        <v>39.739999999999995</v>
      </c>
      <c r="K103" s="6">
        <f>AVERAGE(39.4,39.4,39.7,39.3,39.1)</f>
        <v>39.380000000000003</v>
      </c>
      <c r="L103" s="6">
        <v>46</v>
      </c>
    </row>
    <row r="104" spans="1:12" x14ac:dyDescent="0.35">
      <c r="A104" s="2" t="s">
        <v>75</v>
      </c>
      <c r="B104" s="2" t="s">
        <v>13</v>
      </c>
      <c r="C104" s="2" t="s">
        <v>19</v>
      </c>
      <c r="D104" s="5">
        <v>240</v>
      </c>
      <c r="E104" s="5">
        <v>233</v>
      </c>
      <c r="F104" s="5">
        <v>138</v>
      </c>
      <c r="G104" s="5">
        <v>199</v>
      </c>
      <c r="H104" s="5">
        <v>57.1</v>
      </c>
      <c r="I104" s="6">
        <v>85</v>
      </c>
      <c r="J104" s="6">
        <f>AVERAGE(40.7,40.5,39.6,40.1,40.4)</f>
        <v>40.260000000000005</v>
      </c>
      <c r="K104" s="6">
        <f>AVERAGE(39.9,39.8,39.7,39.8,39.7)</f>
        <v>39.779999999999994</v>
      </c>
      <c r="L104" s="6">
        <v>49</v>
      </c>
    </row>
    <row r="105" spans="1:12" x14ac:dyDescent="0.35">
      <c r="A105" s="2" t="s">
        <v>75</v>
      </c>
      <c r="B105" s="2" t="s">
        <v>13</v>
      </c>
      <c r="C105" s="2" t="s">
        <v>20</v>
      </c>
      <c r="D105" s="5">
        <v>240</v>
      </c>
      <c r="E105" s="5">
        <v>233</v>
      </c>
      <c r="F105" s="5">
        <v>138</v>
      </c>
      <c r="G105" s="5">
        <v>200</v>
      </c>
      <c r="H105" s="5">
        <v>56.3</v>
      </c>
      <c r="I105" s="10">
        <v>84.5</v>
      </c>
      <c r="J105" s="6">
        <f>AVERAGE(40.2,40.4,40.1,40.2,40.2)</f>
        <v>40.219999999999992</v>
      </c>
      <c r="K105" s="6">
        <f>AVERAGE(39.7,39.7,39.8,39.5,39.7)</f>
        <v>39.679999999999993</v>
      </c>
      <c r="L105" s="5">
        <v>48.7</v>
      </c>
    </row>
    <row r="106" spans="1:12" x14ac:dyDescent="0.35">
      <c r="A106" s="2" t="s">
        <v>75</v>
      </c>
      <c r="B106" s="2" t="s">
        <v>13</v>
      </c>
      <c r="C106" s="2" t="s">
        <v>21</v>
      </c>
      <c r="D106" s="5">
        <v>240</v>
      </c>
      <c r="E106" s="5">
        <v>233</v>
      </c>
      <c r="F106" s="5">
        <v>138</v>
      </c>
      <c r="G106" s="5">
        <v>200</v>
      </c>
      <c r="H106" s="5">
        <v>53.6</v>
      </c>
      <c r="I106" s="6">
        <v>83</v>
      </c>
      <c r="J106" s="6">
        <f>AVERAGE(40.1,39.8,39.8,39.9,40)</f>
        <v>39.92</v>
      </c>
      <c r="K106" s="6">
        <f>AVERAGE(39.4,39.6,39.3,39.4,39.4)</f>
        <v>39.42</v>
      </c>
      <c r="L106" s="5">
        <v>46.7</v>
      </c>
    </row>
    <row r="107" spans="1:12" x14ac:dyDescent="0.35">
      <c r="A107" s="2" t="s">
        <v>75</v>
      </c>
      <c r="B107" s="2" t="s">
        <v>13</v>
      </c>
      <c r="C107" s="2" t="s">
        <v>22</v>
      </c>
      <c r="D107" s="5">
        <v>240</v>
      </c>
      <c r="E107" s="5">
        <v>233</v>
      </c>
      <c r="F107" s="5">
        <v>138</v>
      </c>
      <c r="G107" s="5">
        <v>200</v>
      </c>
      <c r="H107" s="5">
        <v>57.6</v>
      </c>
      <c r="I107" s="5">
        <v>85.9</v>
      </c>
      <c r="J107" s="6">
        <f>AVERAGE(40.3,40.4,40.3,40.1,40.7)</f>
        <v>40.36</v>
      </c>
      <c r="K107" s="6">
        <f>AVERAGE(39.8,39.9,40,39.8,40.2)</f>
        <v>39.94</v>
      </c>
      <c r="L107" s="5">
        <v>49.8</v>
      </c>
    </row>
    <row r="108" spans="1:12" x14ac:dyDescent="0.35">
      <c r="A108" s="2" t="s">
        <v>75</v>
      </c>
      <c r="B108" s="2" t="s">
        <v>13</v>
      </c>
      <c r="C108" s="2" t="s">
        <v>24</v>
      </c>
      <c r="D108" s="5">
        <v>240</v>
      </c>
      <c r="E108" s="5">
        <v>232</v>
      </c>
      <c r="F108" s="5">
        <v>138</v>
      </c>
      <c r="G108" s="5">
        <v>200</v>
      </c>
      <c r="H108" s="5">
        <v>56.7</v>
      </c>
      <c r="I108" s="5">
        <v>86.1</v>
      </c>
      <c r="J108" s="6">
        <f>AVERAGE(40.2,40.2,40.5,40.4,40.5)</f>
        <v>40.36</v>
      </c>
      <c r="K108" s="6">
        <f>AVERAGE(40,39.9,40.2,39.9,39.9)</f>
        <v>39.980000000000004</v>
      </c>
      <c r="L108" s="5">
        <v>48.3</v>
      </c>
    </row>
    <row r="109" spans="1:12" x14ac:dyDescent="0.35">
      <c r="A109" s="2" t="s">
        <v>75</v>
      </c>
      <c r="B109" s="2" t="s">
        <v>13</v>
      </c>
      <c r="C109" s="2" t="s">
        <v>25</v>
      </c>
      <c r="D109" s="5">
        <v>240</v>
      </c>
      <c r="E109" s="5">
        <v>232</v>
      </c>
      <c r="F109" s="5">
        <v>138</v>
      </c>
      <c r="G109" s="5">
        <v>200</v>
      </c>
      <c r="H109" s="5">
        <v>53.9</v>
      </c>
      <c r="I109" s="5">
        <v>85.4</v>
      </c>
      <c r="J109" s="6">
        <f>AVERAGE(40.2,40,39.6,40.2,40.2)</f>
        <v>40.04</v>
      </c>
      <c r="K109" s="6">
        <f>AVERAGE(39.6,39.6,39.8,39.5,39.6)</f>
        <v>39.619999999999997</v>
      </c>
      <c r="L109" s="5">
        <v>46.8</v>
      </c>
    </row>
    <row r="110" spans="1:12" x14ac:dyDescent="0.35">
      <c r="A110" s="2" t="s">
        <v>75</v>
      </c>
      <c r="B110" s="2" t="s">
        <v>13</v>
      </c>
      <c r="C110" s="2" t="s">
        <v>26</v>
      </c>
      <c r="D110" s="5">
        <v>240</v>
      </c>
      <c r="E110" s="5">
        <v>232</v>
      </c>
      <c r="F110" s="5">
        <v>138</v>
      </c>
      <c r="G110" s="5">
        <v>200</v>
      </c>
      <c r="H110" s="5">
        <v>56.8</v>
      </c>
      <c r="I110" s="6">
        <v>86</v>
      </c>
      <c r="J110" s="6">
        <f>AVERAGE(40.3,40.6,40.7,40.8,40.6)</f>
        <v>40.6</v>
      </c>
      <c r="K110" s="6">
        <f>AVERAGE(40,39.9,40.3,39.7,39.9)</f>
        <v>39.96</v>
      </c>
      <c r="L110" s="5">
        <v>49.2</v>
      </c>
    </row>
    <row r="111" spans="1:12" x14ac:dyDescent="0.35">
      <c r="A111" s="2" t="s">
        <v>75</v>
      </c>
      <c r="B111" s="2" t="s">
        <v>13</v>
      </c>
      <c r="C111" s="2" t="s">
        <v>27</v>
      </c>
      <c r="D111" s="5">
        <v>242</v>
      </c>
      <c r="E111" s="5">
        <v>234</v>
      </c>
      <c r="F111" s="5">
        <v>154</v>
      </c>
      <c r="G111" s="5">
        <v>197</v>
      </c>
      <c r="H111" s="5">
        <v>56.2</v>
      </c>
      <c r="I111" s="5">
        <v>83.1</v>
      </c>
      <c r="J111" s="6">
        <f>AVERAGE(40.4,40.1,39.9,39.9,40.1)</f>
        <v>40.08</v>
      </c>
      <c r="K111" s="6">
        <f>AVERAGE(39.4,39.5,39.8,39.4,39.6)</f>
        <v>39.54</v>
      </c>
      <c r="L111" s="5">
        <v>48.5</v>
      </c>
    </row>
    <row r="112" spans="1:12" x14ac:dyDescent="0.35">
      <c r="A112" s="2" t="s">
        <v>75</v>
      </c>
      <c r="B112" s="2" t="s">
        <v>13</v>
      </c>
      <c r="C112" s="2" t="s">
        <v>28</v>
      </c>
      <c r="D112" s="5">
        <v>242</v>
      </c>
      <c r="E112" s="5">
        <v>234</v>
      </c>
      <c r="F112" s="5">
        <v>154</v>
      </c>
      <c r="G112" s="5">
        <v>197</v>
      </c>
      <c r="H112" s="5">
        <v>54.4</v>
      </c>
      <c r="I112" s="5">
        <v>82.6</v>
      </c>
      <c r="J112" s="6">
        <f>AVERAGE(39.4,39.8,39.5,39.4,39.6)</f>
        <v>39.54</v>
      </c>
      <c r="K112" s="6">
        <f>AVERAGE(39.5,39.5,39.6,39.2,39.3)</f>
        <v>39.42</v>
      </c>
      <c r="L112" s="5">
        <v>46.3</v>
      </c>
    </row>
    <row r="113" spans="1:12" x14ac:dyDescent="0.35">
      <c r="A113" s="2" t="s">
        <v>75</v>
      </c>
      <c r="B113" s="2" t="s">
        <v>13</v>
      </c>
      <c r="C113" s="2" t="s">
        <v>29</v>
      </c>
      <c r="D113" s="5">
        <v>242</v>
      </c>
      <c r="E113" s="5">
        <v>234</v>
      </c>
      <c r="F113" s="5">
        <v>154</v>
      </c>
      <c r="G113" s="5">
        <v>197</v>
      </c>
      <c r="H113" s="5">
        <v>57.2</v>
      </c>
      <c r="I113" s="5">
        <v>83.7</v>
      </c>
      <c r="J113" s="6">
        <f>AVERAGE(40.1,40.2,40.2,40.3,40.1)</f>
        <v>40.18</v>
      </c>
      <c r="K113" s="6">
        <f>AVERAGE(39.6,39.8,39.7,39.8,39.8)</f>
        <v>39.739999999999995</v>
      </c>
      <c r="L113" s="5">
        <v>49.5</v>
      </c>
    </row>
    <row r="114" spans="1:12" x14ac:dyDescent="0.35">
      <c r="A114" s="2" t="s">
        <v>75</v>
      </c>
      <c r="B114" s="2" t="s">
        <v>13</v>
      </c>
      <c r="C114" s="2" t="s">
        <v>30</v>
      </c>
      <c r="D114" s="5">
        <v>247</v>
      </c>
      <c r="E114" s="5">
        <v>236</v>
      </c>
      <c r="F114" s="5">
        <v>148</v>
      </c>
      <c r="G114" s="5">
        <v>201</v>
      </c>
      <c r="H114" s="5">
        <v>56.7</v>
      </c>
      <c r="I114" s="5">
        <v>83.8</v>
      </c>
      <c r="J114" s="6">
        <f>AVERAGE(39.9,39.8,40.3,40.5,40.3)</f>
        <v>40.160000000000004</v>
      </c>
      <c r="K114" s="6">
        <f>AVERAGE(39.7,39.6,40,39.9,39.6)</f>
        <v>39.760000000000005</v>
      </c>
      <c r="L114" s="5">
        <v>48.2</v>
      </c>
    </row>
    <row r="115" spans="1:12" x14ac:dyDescent="0.35">
      <c r="A115" s="2" t="s">
        <v>75</v>
      </c>
      <c r="B115" s="2" t="s">
        <v>13</v>
      </c>
      <c r="C115" s="2" t="s">
        <v>31</v>
      </c>
      <c r="D115" s="5">
        <v>247</v>
      </c>
      <c r="E115" s="5">
        <v>236</v>
      </c>
      <c r="F115" s="5">
        <v>148</v>
      </c>
      <c r="G115" s="5">
        <v>201</v>
      </c>
      <c r="H115" s="5">
        <v>53.9</v>
      </c>
      <c r="I115" s="5">
        <v>82.7</v>
      </c>
      <c r="J115" s="6">
        <f>AVERAGE(39.5,39.4,39.6,39.8,39.5)</f>
        <v>39.56</v>
      </c>
      <c r="K115" s="6">
        <f>AVERAGE(39.4,39.3,39.4,39.5,39.5)</f>
        <v>39.42</v>
      </c>
      <c r="L115" s="5">
        <v>45.9</v>
      </c>
    </row>
    <row r="116" spans="1:12" x14ac:dyDescent="0.35">
      <c r="A116" s="2" t="s">
        <v>75</v>
      </c>
      <c r="B116" s="2" t="s">
        <v>13</v>
      </c>
      <c r="C116" s="2" t="s">
        <v>32</v>
      </c>
      <c r="D116" s="5">
        <v>247</v>
      </c>
      <c r="E116" s="5">
        <v>236</v>
      </c>
      <c r="F116" s="5">
        <v>148</v>
      </c>
      <c r="G116" s="5">
        <v>201</v>
      </c>
      <c r="H116" s="5">
        <v>56.8</v>
      </c>
      <c r="I116" s="5">
        <v>82.8</v>
      </c>
      <c r="J116" s="6">
        <f>AVERAGE(40,40.5,40.4,40.3,40.2)</f>
        <v>40.279999999999994</v>
      </c>
      <c r="K116" s="6">
        <f>AVERAGE(39.8,39.6,40.1,39.8,39.8)</f>
        <v>39.820000000000007</v>
      </c>
      <c r="L116" s="5">
        <v>47.9</v>
      </c>
    </row>
    <row r="117" spans="1:12" x14ac:dyDescent="0.35">
      <c r="A117" s="2" t="s">
        <v>75</v>
      </c>
      <c r="B117" s="2" t="s">
        <v>13</v>
      </c>
      <c r="C117" s="2" t="s">
        <v>33</v>
      </c>
      <c r="D117" s="5">
        <v>240</v>
      </c>
      <c r="E117" s="5">
        <v>235</v>
      </c>
      <c r="F117" s="5">
        <v>142</v>
      </c>
      <c r="G117" s="5">
        <v>199</v>
      </c>
      <c r="H117" s="5">
        <v>56.5</v>
      </c>
      <c r="I117" s="5">
        <v>85.7</v>
      </c>
      <c r="J117" s="6">
        <f>AVERAGE(40,40.4,40.3,40.1,40.3)</f>
        <v>40.220000000000006</v>
      </c>
      <c r="K117" s="6">
        <f>AVERAGE(40.1,39.7,40.1,39.9,39.9)</f>
        <v>39.940000000000005</v>
      </c>
      <c r="L117" s="5">
        <v>48.6</v>
      </c>
    </row>
    <row r="118" spans="1:12" x14ac:dyDescent="0.35">
      <c r="A118" s="2" t="s">
        <v>75</v>
      </c>
      <c r="B118" s="2" t="s">
        <v>13</v>
      </c>
      <c r="C118" s="2" t="s">
        <v>34</v>
      </c>
      <c r="D118" s="5">
        <v>240</v>
      </c>
      <c r="E118" s="5">
        <v>235</v>
      </c>
      <c r="F118" s="5">
        <v>142</v>
      </c>
      <c r="G118" s="5">
        <v>199</v>
      </c>
      <c r="H118" s="5">
        <v>54.9</v>
      </c>
      <c r="I118" s="5">
        <v>85.4</v>
      </c>
      <c r="J118" s="6">
        <f>AVERAGE(40.1,40.5,40.1,40.3,40.3)</f>
        <v>40.260000000000005</v>
      </c>
      <c r="K118" s="6">
        <f>AVERAGE(39.5,39.9,39.4,39.9,39.6)</f>
        <v>39.660000000000004</v>
      </c>
      <c r="L118" s="5">
        <v>46.6</v>
      </c>
    </row>
    <row r="119" spans="1:12" x14ac:dyDescent="0.35">
      <c r="A119" s="2" t="s">
        <v>75</v>
      </c>
      <c r="B119" s="2" t="s">
        <v>13</v>
      </c>
      <c r="C119" s="2" t="s">
        <v>35</v>
      </c>
      <c r="D119" s="5">
        <v>240</v>
      </c>
      <c r="E119" s="5">
        <v>235</v>
      </c>
      <c r="F119" s="5">
        <v>142</v>
      </c>
      <c r="G119" s="5">
        <v>199</v>
      </c>
      <c r="H119" s="5">
        <v>56.8</v>
      </c>
      <c r="I119" s="5">
        <v>84.8</v>
      </c>
      <c r="J119" s="6">
        <f>AVERAGE(40.4,40.6,40.7,40.9,40.7)</f>
        <v>40.660000000000004</v>
      </c>
      <c r="K119" s="6">
        <f>AVERAGE(40.1,39.9,40,40.4,40)</f>
        <v>40.08</v>
      </c>
      <c r="L119" s="5">
        <v>48.8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6A819-49FF-49E7-BC26-44F820C19E66}">
  <dimension ref="A1"/>
  <sheetViews>
    <sheetView topLeftCell="A7" workbookViewId="0">
      <selection activeCell="T21" sqref="T2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dataset</vt:lpstr>
      <vt:lpstr>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Deisiane Barreto</cp:lastModifiedBy>
  <dcterms:created xsi:type="dcterms:W3CDTF">2022-04-14T17:21:33Z</dcterms:created>
  <dcterms:modified xsi:type="dcterms:W3CDTF">2022-09-03T13:42:05Z</dcterms:modified>
</cp:coreProperties>
</file>