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51" documentId="13_ncr:1_{11A5D25A-4FFA-425D-A6AD-D47BD72DADF9}" xr6:coauthVersionLast="47" xr6:coauthVersionMax="47" xr10:uidLastSave="{486A4DF9-8CC8-4C94-8687-0C714280540C}"/>
  <bookViews>
    <workbookView xWindow="-108" yWindow="-108" windowWidth="23256" windowHeight="12576" activeTab="3" xr2:uid="{00000000-000D-0000-FFFF-FFFF00000000}"/>
  </bookViews>
  <sheets>
    <sheet name="ControlPara" sheetId="2" r:id="rId1"/>
    <sheet name="Generator" sheetId="3" r:id="rId2"/>
    <sheet name="Wind" sheetId="4" r:id="rId3"/>
    <sheet name="Storage" sheetId="5" r:id="rId4"/>
    <sheet name="Line" sheetId="6" r:id="rId5"/>
    <sheet name="Bus" sheetId="17" r:id="rId6"/>
    <sheet name="Scenario" sheetId="12" state="hidden" r:id="rId7"/>
    <sheet name="ScenPB" sheetId="13" state="hidden" r:id="rId8"/>
    <sheet name="BusLoad" sheetId="16" r:id="rId9"/>
    <sheet name="LoadForeCurve" sheetId="8" r:id="rId10"/>
    <sheet name="LoadScenarioCurve" sheetId="9" state="hidden" r:id="rId11"/>
    <sheet name="WindForeCurve" sheetId="10" r:id="rId12"/>
    <sheet name="WindScenarioCurve" sheetId="11" state="hidden" r:id="rId13"/>
  </sheets>
  <definedNames>
    <definedName name="_xlnm._FilterDatabase" localSheetId="9" hidden="1">LoadForeCurve!$A$1:$Y$1</definedName>
    <definedName name="_xlnm._FilterDatabase" localSheetId="10" hidden="1">LoadScenarioCurve!$A$1:$AA$13</definedName>
    <definedName name="_xlnm._FilterDatabase" localSheetId="11" hidden="1">WindForeCurve!$A$1:$Z$1</definedName>
    <definedName name="_xlnm._FilterDatabase" localSheetId="12" hidden="1">WindScenarioCurve!$A$1:$AA$2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G91" i="6"/>
  <c r="G57" i="6"/>
  <c r="G23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0" i="6"/>
  <c r="G89" i="6"/>
  <c r="G88" i="6"/>
  <c r="G87" i="6"/>
  <c r="G86" i="6"/>
  <c r="G85" i="6"/>
  <c r="G84" i="6"/>
  <c r="G83" i="6"/>
  <c r="G82" i="6"/>
  <c r="G81" i="6"/>
  <c r="G80" i="6"/>
  <c r="G79" i="6"/>
  <c r="G77" i="6"/>
  <c r="G76" i="6"/>
  <c r="G75" i="6"/>
  <c r="G74" i="6"/>
  <c r="G73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6" i="6"/>
  <c r="G55" i="6"/>
  <c r="G54" i="6"/>
  <c r="G53" i="6"/>
  <c r="G52" i="6"/>
  <c r="G51" i="6"/>
  <c r="G50" i="6"/>
  <c r="G49" i="6"/>
  <c r="G48" i="6"/>
  <c r="G47" i="6"/>
  <c r="G45" i="6"/>
  <c r="G43" i="6"/>
  <c r="G42" i="6"/>
  <c r="G41" i="6"/>
  <c r="G40" i="6"/>
  <c r="G3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2" i="6"/>
  <c r="G21" i="6"/>
  <c r="G20" i="6"/>
  <c r="G19" i="6"/>
  <c r="G18" i="6"/>
  <c r="G17" i="6"/>
  <c r="G16" i="6"/>
  <c r="G15" i="6"/>
  <c r="G14" i="6"/>
  <c r="G13" i="6"/>
  <c r="G12" i="6"/>
  <c r="G11" i="6"/>
  <c r="G9" i="6"/>
  <c r="G8" i="6"/>
  <c r="G7" i="6"/>
  <c r="G6" i="6"/>
  <c r="G5" i="6"/>
  <c r="G3" i="6"/>
  <c r="G2" i="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J30" i="3"/>
  <c r="J23" i="3"/>
  <c r="J20" i="3"/>
  <c r="J13" i="3"/>
  <c r="J10" i="3"/>
  <c r="J3" i="3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</calcChain>
</file>

<file path=xl/sharedStrings.xml><?xml version="1.0" encoding="utf-8"?>
<sst xmlns="http://schemas.openxmlformats.org/spreadsheetml/2006/main" count="393" uniqueCount="301">
  <si>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</si>
  <si>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</si>
  <si>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</si>
  <si>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</si>
  <si>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g1</t>
    <phoneticPr fontId="1" type="noConversion"/>
  </si>
  <si>
    <t>w1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</si>
  <si>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</si>
  <si>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</si>
  <si>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</si>
  <si>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</si>
  <si>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</si>
  <si>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</si>
  <si>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</si>
  <si>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</si>
  <si>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</si>
  <si>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</si>
  <si>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</si>
  <si>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</si>
  <si>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</si>
  <si>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</si>
  <si>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Day</t>
    <phoneticPr fontId="1" type="noConversion"/>
  </si>
  <si>
    <t>T1</t>
    <phoneticPr fontId="3" type="noConversion"/>
  </si>
  <si>
    <t>T2</t>
    <phoneticPr fontId="3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</si>
  <si>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</si>
  <si>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</si>
  <si>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</si>
  <si>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</si>
  <si>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</si>
  <si>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</si>
  <si>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</si>
  <si>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</si>
  <si>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</si>
  <si>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</si>
  <si>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</si>
  <si>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</si>
  <si>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</si>
  <si>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</si>
  <si>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</si>
  <si>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</si>
  <si>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</si>
  <si>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</si>
  <si>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</si>
  <si>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</si>
  <si>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</si>
  <si>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</si>
  <si>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3" type="noConversion"/>
  </si>
  <si>
    <t>Scenario</t>
    <phoneticPr fontId="1" type="noConversion"/>
  </si>
  <si>
    <t>T1(p.u.)</t>
    <phoneticPr fontId="3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</si>
  <si>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</si>
  <si>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</si>
  <si>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</si>
  <si>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</si>
  <si>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</si>
  <si>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</si>
  <si>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</si>
  <si>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</si>
  <si>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</si>
  <si>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</si>
  <si>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</si>
  <si>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</si>
  <si>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</si>
  <si>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</si>
  <si>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</si>
  <si>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</si>
  <si>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</si>
  <si>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</si>
  <si>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</si>
  <si>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</si>
  <si>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</si>
  <si>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</si>
  <si>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</si>
  <si>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</si>
  <si>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</si>
  <si>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</si>
  <si>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</si>
  <si>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</si>
  <si>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</si>
  <si>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</si>
  <si>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g4</t>
  </si>
  <si>
    <t>g6</t>
  </si>
  <si>
    <t>g7</t>
  </si>
  <si>
    <t>g8</t>
  </si>
  <si>
    <t>g9</t>
  </si>
  <si>
    <t>Investment COST(k$)</t>
    <phoneticPr fontId="1" type="noConversion"/>
  </si>
  <si>
    <t>T1.wind</t>
  </si>
  <si>
    <t>T2.wind</t>
  </si>
  <si>
    <t>T3.wind</t>
  </si>
  <si>
    <t>T4.wind</t>
  </si>
  <si>
    <t>T5.wind</t>
  </si>
  <si>
    <t>T6.wind</t>
  </si>
  <si>
    <t>T7.wind</t>
  </si>
  <si>
    <t>T8.wind</t>
  </si>
  <si>
    <t>T9.wind</t>
  </si>
  <si>
    <t>T10.wind</t>
  </si>
  <si>
    <t>T11.wind</t>
  </si>
  <si>
    <t>T12.wind</t>
  </si>
  <si>
    <t>T13.wind</t>
  </si>
  <si>
    <t>T14.wind</t>
  </si>
  <si>
    <t>T15.wind</t>
  </si>
  <si>
    <t>T16.wind</t>
  </si>
  <si>
    <t>T17.wind</t>
  </si>
  <si>
    <t>T18.wind</t>
  </si>
  <si>
    <t>T19.wind</t>
  </si>
  <si>
    <t>T20.wind</t>
  </si>
  <si>
    <t>T21.wind</t>
  </si>
  <si>
    <t>T22.wind</t>
  </si>
  <si>
    <t>T23.wind</t>
  </si>
  <si>
    <t>T24.wind</t>
  </si>
  <si>
    <t>T1.load</t>
  </si>
  <si>
    <t>T2.load</t>
  </si>
  <si>
    <t>T3.load</t>
  </si>
  <si>
    <t>T4.load</t>
  </si>
  <si>
    <t>T5.load</t>
  </si>
  <si>
    <t>T6.load</t>
  </si>
  <si>
    <t>T7.load</t>
  </si>
  <si>
    <t>T8.load</t>
  </si>
  <si>
    <t>T9.load</t>
  </si>
  <si>
    <t>T10.load</t>
  </si>
  <si>
    <t>T11.load</t>
  </si>
  <si>
    <t>T12.load</t>
  </si>
  <si>
    <t>T13.load</t>
  </si>
  <si>
    <t>T14.load</t>
  </si>
  <si>
    <t>T15.load</t>
  </si>
  <si>
    <t>T16.load</t>
  </si>
  <si>
    <t>T17.load</t>
  </si>
  <si>
    <t>T18.load</t>
  </si>
  <si>
    <t>T19.load</t>
  </si>
  <si>
    <t>T20.load</t>
  </si>
  <si>
    <t>T21.load</t>
  </si>
  <si>
    <t>T22.load</t>
  </si>
  <si>
    <t>T23.load</t>
  </si>
  <si>
    <t>T24.load</t>
  </si>
  <si>
    <t>S1.Bus1</t>
  </si>
  <si>
    <t>S1.Bus2</t>
  </si>
  <si>
    <t>S1.Bus3</t>
  </si>
  <si>
    <t>S1.Bus4</t>
  </si>
  <si>
    <t>S1.Bus5</t>
  </si>
  <si>
    <t>S1.Bus6</t>
  </si>
  <si>
    <t>S1.Bus7</t>
  </si>
  <si>
    <t>S1.Bus8</t>
  </si>
  <si>
    <t>S1.Bus9</t>
  </si>
  <si>
    <t>S1.Bus10</t>
  </si>
  <si>
    <t>S1.Bus11</t>
  </si>
  <si>
    <t>S1.Bus12</t>
  </si>
  <si>
    <t>S1.Bus13</t>
  </si>
  <si>
    <t>S1.Bus14</t>
  </si>
  <si>
    <t>S1.Bus15</t>
  </si>
  <si>
    <t>S1.Bus16</t>
  </si>
  <si>
    <t>S1.Bus17</t>
  </si>
  <si>
    <t>S1.Bus18</t>
  </si>
  <si>
    <t>S1.Bus19</t>
  </si>
  <si>
    <t>S1.Bus20</t>
  </si>
  <si>
    <t>S1.Bus21</t>
  </si>
  <si>
    <t>S1.Bus22</t>
  </si>
  <si>
    <t>S1.Bus23</t>
  </si>
  <si>
    <t>S1.Bus24</t>
  </si>
  <si>
    <t>S1.Bus25</t>
  </si>
  <si>
    <t>S1.Bus26</t>
  </si>
  <si>
    <t>S1.Bus27</t>
  </si>
  <si>
    <t>S4.Bus1</t>
  </si>
  <si>
    <t>S4.Bus2</t>
  </si>
  <si>
    <t>S4.Bus3</t>
  </si>
  <si>
    <t>S4.Bus4</t>
  </si>
  <si>
    <t>S4.Bus5</t>
  </si>
  <si>
    <t>S4.Bus6</t>
  </si>
  <si>
    <t>S4.Bus7</t>
  </si>
  <si>
    <t>S4.Bus8</t>
  </si>
  <si>
    <t>S4.Bus9</t>
  </si>
  <si>
    <t>S4.Bus10</t>
  </si>
  <si>
    <t>S4.Bus11</t>
  </si>
  <si>
    <t>S4.Bus12</t>
  </si>
  <si>
    <t>S4.Bus13</t>
  </si>
  <si>
    <t>S4.Bus14</t>
  </si>
  <si>
    <t>S4.Bus15</t>
  </si>
  <si>
    <t>S4.Bus16</t>
  </si>
  <si>
    <t>S4.Bus17</t>
  </si>
  <si>
    <t>S4.Bus18</t>
  </si>
  <si>
    <t>S4.Bus19</t>
  </si>
  <si>
    <t>S4.Bus20</t>
  </si>
  <si>
    <t>S4.Bus21</t>
  </si>
  <si>
    <t>S4.Bus22</t>
  </si>
  <si>
    <t>S4.Bus23</t>
  </si>
  <si>
    <t>S4.Bus24</t>
  </si>
  <si>
    <t>S4.Bus25</t>
  </si>
  <si>
    <t>S4.Bus26</t>
  </si>
  <si>
    <t>S4.Bus27</t>
  </si>
  <si>
    <t>S17.Bus1</t>
  </si>
  <si>
    <t>S17.Bus2</t>
  </si>
  <si>
    <t>S17.Bus3</t>
  </si>
  <si>
    <t>S17.Bus4</t>
  </si>
  <si>
    <t>S17.Bus5</t>
  </si>
  <si>
    <t>S17.Bus6</t>
  </si>
  <si>
    <t>S17.Bus7</t>
  </si>
  <si>
    <t>S17.Bus8</t>
  </si>
  <si>
    <t>S17.Bus9</t>
  </si>
  <si>
    <t>S17.Bus10</t>
  </si>
  <si>
    <t>S17.Bus11</t>
  </si>
  <si>
    <t>S17.Bus12</t>
  </si>
  <si>
    <t>S17.Bus13</t>
  </si>
  <si>
    <t>S17.Bus14</t>
  </si>
  <si>
    <t>S17.Bus15</t>
  </si>
  <si>
    <t>S17.Bus16</t>
  </si>
  <si>
    <t>S17.Bus17</t>
  </si>
  <si>
    <t>S17.Bus18</t>
  </si>
  <si>
    <t>S17.Bus19</t>
  </si>
  <si>
    <t>S17.Bus20</t>
  </si>
  <si>
    <t>S17.Bus21</t>
  </si>
  <si>
    <t>S17.Bus22</t>
  </si>
  <si>
    <t>S17.Bus23</t>
  </si>
  <si>
    <t>S17.Bus24</t>
  </si>
  <si>
    <t>S17.Bus25</t>
  </si>
  <si>
    <t>S17.Bus26</t>
  </si>
  <si>
    <t>S17.Bus27</t>
  </si>
  <si>
    <t>S37.Bus1</t>
  </si>
  <si>
    <t>S37.Bus2</t>
  </si>
  <si>
    <t>S37.Bus3</t>
  </si>
  <si>
    <t>S37.Bus4</t>
  </si>
  <si>
    <t>S37.Bus5</t>
  </si>
  <si>
    <t>S37.Bus6</t>
  </si>
  <si>
    <t>S37.Bus7</t>
  </si>
  <si>
    <t>S37.Bus8</t>
  </si>
  <si>
    <t>S37.Bus9</t>
  </si>
  <si>
    <t>S37.Bus10</t>
  </si>
  <si>
    <t>S37.Bus11</t>
  </si>
  <si>
    <t>S37.Bus12</t>
  </si>
  <si>
    <t>S37.Bus13</t>
  </si>
  <si>
    <t>S37.Bus14</t>
  </si>
  <si>
    <t>S37.Bus15</t>
  </si>
  <si>
    <t>S37.Bus16</t>
  </si>
  <si>
    <t>S37.Bus17</t>
  </si>
  <si>
    <t>S37.Bus18</t>
  </si>
  <si>
    <t>S37.Bus19</t>
  </si>
  <si>
    <t>S37.Bus20</t>
  </si>
  <si>
    <t>S37.Bus21</t>
  </si>
  <si>
    <t>S37.Bus22</t>
  </si>
  <si>
    <t>S37.Bus23</t>
  </si>
  <si>
    <t>S37.Bus24</t>
  </si>
  <si>
    <t>S37.Bus25</t>
  </si>
  <si>
    <t>S37.Bus26</t>
  </si>
  <si>
    <t>S37.Bus27</t>
  </si>
  <si>
    <t>S38.Bus1</t>
  </si>
  <si>
    <t>S38.Bus2</t>
  </si>
  <si>
    <t>S38.Bus3</t>
  </si>
  <si>
    <t>S38.Bus4</t>
  </si>
  <si>
    <t>S38.Bus5</t>
  </si>
  <si>
    <t>S38.Bus6</t>
  </si>
  <si>
    <t>S38.Bus7</t>
  </si>
  <si>
    <t>S38.Bus8</t>
  </si>
  <si>
    <t>S38.Bus9</t>
  </si>
  <si>
    <t>S38.Bus10</t>
  </si>
  <si>
    <t>S38.Bus11</t>
  </si>
  <si>
    <t>S38.Bus12</t>
  </si>
  <si>
    <t>S38.Bus13</t>
  </si>
  <si>
    <t>S38.Bus14</t>
  </si>
  <si>
    <t>S38.Bus15</t>
  </si>
  <si>
    <t>S38.Bus16</t>
  </si>
  <si>
    <t>S38.Bus17</t>
  </si>
  <si>
    <t>S38.Bus18</t>
  </si>
  <si>
    <t>S38.Bus19</t>
  </si>
  <si>
    <t>S38.Bus20</t>
  </si>
  <si>
    <t>S38.Bus21</t>
  </si>
  <si>
    <t>S38.Bus22</t>
  </si>
  <si>
    <t>S38.Bus23</t>
  </si>
  <si>
    <t>S38.Bus24</t>
  </si>
  <si>
    <t>S38.Bus25</t>
  </si>
  <si>
    <t>S38.Bus26</t>
  </si>
  <si>
    <t>S38.Bus27</t>
  </si>
  <si>
    <t>S1</t>
  </si>
  <si>
    <t>S4</t>
  </si>
  <si>
    <t>S17</t>
  </si>
  <si>
    <t>S37</t>
  </si>
  <si>
    <t>S38</t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</si>
  <si>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</si>
  <si>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</si>
  <si>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1" type="noConversion"/>
  </si>
  <si>
    <t>Node</t>
  </si>
  <si>
    <t>Load#</t>
    <phoneticPr fontId="1" type="noConversion"/>
  </si>
  <si>
    <t>peakload_or_%ofsystemload</t>
    <phoneticPr fontId="1" type="noConversion"/>
  </si>
  <si>
    <t>#Bus</t>
    <phoneticPr fontId="1" type="noConversion"/>
  </si>
  <si>
    <t>Load-Shedding Cost(k$/100MW)</t>
    <phoneticPr fontId="1" type="noConversion"/>
  </si>
  <si>
    <t>PMAX(100MW)</t>
    <phoneticPr fontId="1" type="noConversion"/>
  </si>
  <si>
    <t>PMIN(100MW)</t>
    <phoneticPr fontId="1" type="noConversion"/>
  </si>
  <si>
    <t>RampingUp(100MW/h)</t>
    <phoneticPr fontId="1" type="noConversion"/>
  </si>
  <si>
    <t>RampingDown(100MW/h)</t>
    <phoneticPr fontId="1" type="noConversion"/>
  </si>
  <si>
    <t>MaxReserUp(100MW)</t>
    <phoneticPr fontId="1" type="noConversion"/>
  </si>
  <si>
    <t>MaxReserDown(100MW)</t>
    <phoneticPr fontId="1" type="noConversion"/>
  </si>
  <si>
    <t>FuelCost(k$/100MWh)</t>
    <phoneticPr fontId="1" type="noConversion"/>
  </si>
  <si>
    <t>Marginal Operation Cost(k$/100MWh)</t>
    <phoneticPr fontId="1" type="noConversion"/>
  </si>
  <si>
    <t>Investment COST(k$/100MW)</t>
    <phoneticPr fontId="1" type="noConversion"/>
  </si>
  <si>
    <t>EMAX(100MWh)</t>
    <phoneticPr fontId="1" type="noConversion"/>
  </si>
  <si>
    <t>Marginal Charge Cost(k$/100MWh)</t>
    <phoneticPr fontId="1" type="noConversion"/>
  </si>
  <si>
    <t>Marginal Discharge Cost(k$/100MWh)</t>
    <phoneticPr fontId="1" type="noConversion"/>
  </si>
  <si>
    <t>Investment COST OF POWER(k$/100MW)</t>
    <phoneticPr fontId="1" type="noConversion"/>
  </si>
  <si>
    <t>Investment COST OF ENERGY(k$/100MWh)</t>
    <phoneticPr fontId="1" type="noConversion"/>
  </si>
  <si>
    <t>LMAX(100MW)</t>
    <phoneticPr fontId="1" type="noConversion"/>
  </si>
  <si>
    <t>w2</t>
    <phoneticPr fontId="1" type="noConversion"/>
  </si>
  <si>
    <t>g2</t>
  </si>
  <si>
    <t>g3</t>
  </si>
  <si>
    <t>g56</t>
    <phoneticPr fontId="1" type="noConversion"/>
  </si>
  <si>
    <t>g10</t>
    <phoneticPr fontId="1" type="noConversion"/>
  </si>
  <si>
    <t>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</si>
</sst>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"/>
    <numFmt numFmtId="178" formatCode="0.000"/>
    <numFmt numFmtId="179" formatCode="0.00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333333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2" fontId="6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7" fontId="0" fillId="0" borderId="0" xfId="0" applyNumberFormat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7" xfId="0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2" fillId="0" borderId="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/>
    </xf>
    <xf numFmtId="178" fontId="2" fillId="0" borderId="4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179" fontId="2" fillId="0" borderId="7" xfId="0" applyNumberFormat="1" applyFont="1" applyFill="1" applyBorder="1" applyAlignment="1">
      <alignment horizontal="center" vertical="center"/>
    </xf>
    <xf numFmtId="179" fontId="2" fillId="0" borderId="10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/>
    <xf numFmtId="177" fontId="2" fillId="0" borderId="7" xfId="0" applyNumberFormat="1" applyFont="1" applyFill="1" applyBorder="1"/>
    <xf numFmtId="177" fontId="2" fillId="0" borderId="10" xfId="0" applyNumberFormat="1" applyFont="1" applyFill="1" applyBorder="1"/>
    <xf numFmtId="177" fontId="2" fillId="0" borderId="4" xfId="0" applyNumberFormat="1" applyFont="1" applyFill="1" applyBorder="1"/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E2"/>
  <sheetViews>
    <sheetView workbookViewId="0">
      <selection activeCell="E5" sqref="E5"/>
    </sheetView>
  </sheetViews>
  <sheetFormatPr defaultColWidth="9" defaultRowHeight="13.8" x14ac:dyDescent="0.25"/>
  <cols>
    <col min="1" max="1" width="12.44140625" style="4" bestFit="1" customWidth="1"/>
    <col min="2" max="2" width="17.44140625" style="4" customWidth="1"/>
    <col min="3" max="3" width="19.77734375" style="4" customWidth="1"/>
    <col min="4" max="4" width="13" style="4" customWidth="1"/>
    <col min="5" max="5" width="16.33203125" style="4" bestFit="1" customWidth="1"/>
    <col min="6" max="16384" width="9" style="4"/>
  </cols>
  <sheetData>
    <row r="1" spans="1:5" ht="41.4" x14ac:dyDescent="0.25">
      <c r="A1" s="38" t="s">
        <v>0</v>
      </c>
      <c r="B1" s="42" t="s">
        <v>279</v>
      </c>
      <c r="C1" s="42" t="s">
        <v>76</v>
      </c>
      <c r="D1" s="42" t="s">
        <v>77</v>
      </c>
      <c r="E1" s="39" t="s">
        <v>73</v>
      </c>
    </row>
    <row r="2" spans="1:5" x14ac:dyDescent="0.25">
      <c r="A2" s="40">
        <v>0.1</v>
      </c>
      <c r="B2" s="43">
        <v>500</v>
      </c>
      <c r="C2" s="44">
        <v>220000</v>
      </c>
      <c r="D2" s="44">
        <v>100000</v>
      </c>
      <c r="E2" s="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Y8"/>
  <sheetViews>
    <sheetView workbookViewId="0">
      <selection activeCell="D9" sqref="D9"/>
    </sheetView>
  </sheetViews>
  <sheetFormatPr defaultColWidth="9" defaultRowHeight="13.8" x14ac:dyDescent="0.25"/>
  <cols>
    <col min="1" max="1" width="17.44140625" style="9" bestFit="1" customWidth="1"/>
    <col min="2" max="2" width="12.44140625" style="9" bestFit="1" customWidth="1"/>
    <col min="3" max="25" width="12.33203125" style="9" bestFit="1" customWidth="1"/>
    <col min="26" max="26" width="10.109375" style="9" bestFit="1" customWidth="1"/>
    <col min="27" max="16384" width="9" style="9"/>
  </cols>
  <sheetData>
    <row r="1" spans="1:25" x14ac:dyDescent="0.25">
      <c r="A1" s="64" t="s">
        <v>46</v>
      </c>
      <c r="B1" s="75" t="s">
        <v>21</v>
      </c>
      <c r="C1" s="75" t="s">
        <v>22</v>
      </c>
      <c r="D1" s="75" t="s">
        <v>23</v>
      </c>
      <c r="E1" s="75" t="s">
        <v>24</v>
      </c>
      <c r="F1" s="75" t="s">
        <v>25</v>
      </c>
      <c r="G1" s="75" t="s">
        <v>26</v>
      </c>
      <c r="H1" s="75" t="s">
        <v>27</v>
      </c>
      <c r="I1" s="75" t="s">
        <v>28</v>
      </c>
      <c r="J1" s="75" t="s">
        <v>29</v>
      </c>
      <c r="K1" s="75" t="s">
        <v>30</v>
      </c>
      <c r="L1" s="75" t="s">
        <v>31</v>
      </c>
      <c r="M1" s="75" t="s">
        <v>32</v>
      </c>
      <c r="N1" s="75" t="s">
        <v>33</v>
      </c>
      <c r="O1" s="75" t="s">
        <v>34</v>
      </c>
      <c r="P1" s="75" t="s">
        <v>35</v>
      </c>
      <c r="Q1" s="75" t="s">
        <v>36</v>
      </c>
      <c r="R1" s="75" t="s">
        <v>37</v>
      </c>
      <c r="S1" s="75" t="s">
        <v>38</v>
      </c>
      <c r="T1" s="75" t="s">
        <v>39</v>
      </c>
      <c r="U1" s="75" t="s">
        <v>40</v>
      </c>
      <c r="V1" s="75" t="s">
        <v>41</v>
      </c>
      <c r="W1" s="75" t="s">
        <v>42</v>
      </c>
      <c r="X1" s="75" t="s">
        <v>43</v>
      </c>
      <c r="Y1" s="76" t="s">
        <v>44</v>
      </c>
    </row>
    <row r="2" spans="1:25" x14ac:dyDescent="0.25">
      <c r="A2" s="45">
        <v>1</v>
      </c>
      <c r="B2" s="74">
        <v>0.56316831683168278</v>
      </c>
      <c r="C2" s="74">
        <v>0.51326732673267361</v>
      </c>
      <c r="D2" s="74">
        <v>0.48712871287128723</v>
      </c>
      <c r="E2" s="74">
        <v>0.47524752475247517</v>
      </c>
      <c r="F2" s="74">
        <v>0.47287128712871279</v>
      </c>
      <c r="G2" s="74">
        <v>0.48475247524752474</v>
      </c>
      <c r="H2" s="74">
        <v>0.52277227722772313</v>
      </c>
      <c r="I2" s="74">
        <v>0.62257425742574279</v>
      </c>
      <c r="J2" s="74">
        <v>0.70574257425742559</v>
      </c>
      <c r="K2" s="74">
        <v>0.73663366336633673</v>
      </c>
      <c r="L2" s="74">
        <v>0.75326732673267349</v>
      </c>
      <c r="M2" s="74">
        <v>0.76752475247524787</v>
      </c>
      <c r="N2" s="74">
        <v>0.77227722772277285</v>
      </c>
      <c r="O2" s="74">
        <v>0.76752475247524787</v>
      </c>
      <c r="P2" s="74">
        <v>0.76990099009901047</v>
      </c>
      <c r="Q2" s="74">
        <v>0.76039603960396074</v>
      </c>
      <c r="R2" s="74">
        <v>0.75089108910891111</v>
      </c>
      <c r="S2" s="74">
        <v>0.73900990099009911</v>
      </c>
      <c r="T2" s="74">
        <v>0.72237623762376235</v>
      </c>
      <c r="U2" s="74">
        <v>0.70099009900990084</v>
      </c>
      <c r="V2" s="74">
        <v>0.6914851485148511</v>
      </c>
      <c r="W2" s="74">
        <v>0.71049504950495046</v>
      </c>
      <c r="X2" s="74">
        <v>0.6914851485148511</v>
      </c>
      <c r="Y2" s="77">
        <v>0.62970297029702993</v>
      </c>
    </row>
    <row r="3" spans="1:25" x14ac:dyDescent="0.25">
      <c r="A3" s="45">
        <v>2</v>
      </c>
      <c r="B3" s="74">
        <v>0.5784525618887949</v>
      </c>
      <c r="C3" s="74">
        <v>0.54167781656129732</v>
      </c>
      <c r="D3" s="74">
        <v>0.51455887865571714</v>
      </c>
      <c r="E3" s="74">
        <v>0.51156661857401109</v>
      </c>
      <c r="F3" s="74">
        <v>0.51080521027888348</v>
      </c>
      <c r="G3" s="74">
        <v>0.52274550822039589</v>
      </c>
      <c r="H3" s="74">
        <v>0.63699390039007064</v>
      </c>
      <c r="I3" s="74">
        <v>0.74397776871712373</v>
      </c>
      <c r="J3" s="74">
        <v>0.82137651930803479</v>
      </c>
      <c r="K3" s="74">
        <v>0.83322400649670914</v>
      </c>
      <c r="L3" s="74">
        <v>0.83282251625864689</v>
      </c>
      <c r="M3" s="74">
        <v>0.81488137678379957</v>
      </c>
      <c r="N3" s="74">
        <v>0.81501648575454422</v>
      </c>
      <c r="O3" s="74">
        <v>0.82263772901861809</v>
      </c>
      <c r="P3" s="74">
        <v>0.79751139422654649</v>
      </c>
      <c r="Q3" s="74">
        <v>0.80667609882163749</v>
      </c>
      <c r="R3" s="74">
        <v>0.8605946420030931</v>
      </c>
      <c r="S3" s="74">
        <v>0.86908714125826714</v>
      </c>
      <c r="T3" s="74">
        <v>0.874</v>
      </c>
      <c r="U3" s="74">
        <v>0.83619709593912872</v>
      </c>
      <c r="V3" s="74">
        <v>0.80100292955240593</v>
      </c>
      <c r="W3" s="74">
        <v>0.71722263815317666</v>
      </c>
      <c r="X3" s="74">
        <v>0.63096237713957737</v>
      </c>
      <c r="Y3" s="77">
        <v>0.54352548275462131</v>
      </c>
    </row>
    <row r="4" spans="1:25" x14ac:dyDescent="0.25">
      <c r="A4" s="51">
        <v>3</v>
      </c>
      <c r="B4" s="78">
        <f>AVERAGE(B2:B3)</f>
        <v>0.5708104393602389</v>
      </c>
      <c r="C4" s="78">
        <f t="shared" ref="C4:Y4" si="0">AVERAGE(C2:C3)</f>
        <v>0.52747257164698547</v>
      </c>
      <c r="D4" s="78">
        <f t="shared" si="0"/>
        <v>0.50084379576350213</v>
      </c>
      <c r="E4" s="78">
        <f t="shared" si="0"/>
        <v>0.49340707166324316</v>
      </c>
      <c r="F4" s="78">
        <f t="shared" si="0"/>
        <v>0.49183824870379811</v>
      </c>
      <c r="G4" s="78">
        <f t="shared" si="0"/>
        <v>0.50374899173396037</v>
      </c>
      <c r="H4" s="78">
        <f t="shared" si="0"/>
        <v>0.57988308880889683</v>
      </c>
      <c r="I4" s="78">
        <f t="shared" si="0"/>
        <v>0.68327601307143326</v>
      </c>
      <c r="J4" s="78">
        <f t="shared" si="0"/>
        <v>0.76355954678273019</v>
      </c>
      <c r="K4" s="78">
        <f t="shared" si="0"/>
        <v>0.78492883493152288</v>
      </c>
      <c r="L4" s="78">
        <f t="shared" si="0"/>
        <v>0.79304492149566019</v>
      </c>
      <c r="M4" s="78">
        <f t="shared" si="0"/>
        <v>0.79120306462952372</v>
      </c>
      <c r="N4" s="78">
        <f t="shared" si="0"/>
        <v>0.79364685673865853</v>
      </c>
      <c r="O4" s="78">
        <f t="shared" si="0"/>
        <v>0.79508124074693298</v>
      </c>
      <c r="P4" s="78">
        <f t="shared" si="0"/>
        <v>0.78370619216277848</v>
      </c>
      <c r="Q4" s="78">
        <f t="shared" si="0"/>
        <v>0.78353606921279906</v>
      </c>
      <c r="R4" s="78">
        <f t="shared" si="0"/>
        <v>0.80574286555600216</v>
      </c>
      <c r="S4" s="78">
        <f t="shared" si="0"/>
        <v>0.80404852112418312</v>
      </c>
      <c r="T4" s="78">
        <f t="shared" si="0"/>
        <v>0.79818811881188112</v>
      </c>
      <c r="U4" s="78">
        <f t="shared" si="0"/>
        <v>0.76859359747451483</v>
      </c>
      <c r="V4" s="78">
        <f t="shared" si="0"/>
        <v>0.74624403903362846</v>
      </c>
      <c r="W4" s="78">
        <f t="shared" si="0"/>
        <v>0.71385884382906362</v>
      </c>
      <c r="X4" s="78">
        <f t="shared" si="0"/>
        <v>0.66122376282721418</v>
      </c>
      <c r="Y4" s="79">
        <f t="shared" si="0"/>
        <v>0.58661422652582562</v>
      </c>
    </row>
    <row r="8" spans="1:25" x14ac:dyDescent="0.25">
      <c r="A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28"/>
  <sheetViews>
    <sheetView zoomScale="85" zoomScaleNormal="85" workbookViewId="0">
      <selection activeCell="D12" sqref="D12"/>
    </sheetView>
  </sheetViews>
  <sheetFormatPr defaultRowHeight="13.8" x14ac:dyDescent="0.25"/>
  <cols>
    <col min="4" max="27" width="11.21875" bestFit="1" customWidth="1"/>
  </cols>
  <sheetData>
    <row r="1" spans="1:27" x14ac:dyDescent="0.25">
      <c r="A1" s="6" t="s">
        <v>20</v>
      </c>
      <c r="B1" s="6" t="s">
        <v>46</v>
      </c>
      <c r="C1" s="5" t="s">
        <v>45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  <c r="Y1" s="7" t="s">
        <v>42</v>
      </c>
      <c r="Z1" s="7" t="s">
        <v>43</v>
      </c>
      <c r="AA1" s="8" t="s">
        <v>44</v>
      </c>
    </row>
    <row r="2" spans="1:27" x14ac:dyDescent="0.25">
      <c r="A2" s="10">
        <v>1</v>
      </c>
      <c r="B2" s="13">
        <v>1</v>
      </c>
      <c r="C2" s="13">
        <v>1</v>
      </c>
      <c r="D2" s="20">
        <v>69.26780442317596</v>
      </c>
      <c r="E2" s="20">
        <v>64.637447676937668</v>
      </c>
      <c r="F2" s="20">
        <v>65.063364372580196</v>
      </c>
      <c r="G2" s="20">
        <v>64.981700889353249</v>
      </c>
      <c r="H2" s="20">
        <v>62.724982020129993</v>
      </c>
      <c r="I2" s="20">
        <v>64.454022781395224</v>
      </c>
      <c r="J2" s="20">
        <v>77.202468584533946</v>
      </c>
      <c r="K2" s="20">
        <v>95.818935852397431</v>
      </c>
      <c r="L2" s="20">
        <v>99.872456662897861</v>
      </c>
      <c r="M2" s="20">
        <v>101.37633413415944</v>
      </c>
      <c r="N2" s="20">
        <v>107.5822397260612</v>
      </c>
      <c r="O2" s="20">
        <v>97.751859683156155</v>
      </c>
      <c r="P2" s="20">
        <v>98.446401893507684</v>
      </c>
      <c r="Q2" s="20">
        <v>100.34501540314284</v>
      </c>
      <c r="R2" s="20">
        <v>101.90844581664516</v>
      </c>
      <c r="S2" s="20">
        <v>99.326182744420009</v>
      </c>
      <c r="T2" s="20">
        <v>107.99807622861618</v>
      </c>
      <c r="U2" s="20">
        <v>101.96473466219264</v>
      </c>
      <c r="V2" s="20">
        <v>103.35830940331105</v>
      </c>
      <c r="W2" s="20">
        <v>100.93755860065465</v>
      </c>
      <c r="X2" s="20">
        <v>97.880263033574153</v>
      </c>
      <c r="Y2" s="20">
        <v>89.675914003305593</v>
      </c>
      <c r="Z2" s="20">
        <v>76.545707786354328</v>
      </c>
      <c r="AA2" s="20">
        <v>66.461005707077945</v>
      </c>
    </row>
    <row r="3" spans="1:27" x14ac:dyDescent="0.25">
      <c r="A3" s="11">
        <v>1</v>
      </c>
      <c r="B3" s="12">
        <v>1</v>
      </c>
      <c r="C3" s="12">
        <v>2</v>
      </c>
      <c r="D3" s="20">
        <v>61.253603541249277</v>
      </c>
      <c r="E3" s="20">
        <v>60.50764611508631</v>
      </c>
      <c r="F3" s="20">
        <v>59.233791578448425</v>
      </c>
      <c r="G3" s="20">
        <v>55.825546271634984</v>
      </c>
      <c r="H3" s="20">
        <v>54.475846938506436</v>
      </c>
      <c r="I3" s="20">
        <v>57.853388180288256</v>
      </c>
      <c r="J3" s="20">
        <v>67.742803423275049</v>
      </c>
      <c r="K3" s="20">
        <v>85.959284230333338</v>
      </c>
      <c r="L3" s="20">
        <v>93.812853904974034</v>
      </c>
      <c r="M3" s="20">
        <v>91.981008705363408</v>
      </c>
      <c r="N3" s="20">
        <v>94.481498829713018</v>
      </c>
      <c r="O3" s="20">
        <v>89.733776210968358</v>
      </c>
      <c r="P3" s="20">
        <v>89.550116277619495</v>
      </c>
      <c r="Q3" s="20">
        <v>91.61874163896583</v>
      </c>
      <c r="R3" s="20">
        <v>84.805017369070143</v>
      </c>
      <c r="S3" s="20">
        <v>92.881518206755743</v>
      </c>
      <c r="T3" s="20">
        <v>97.960933793254739</v>
      </c>
      <c r="U3" s="20">
        <v>96.781913277377043</v>
      </c>
      <c r="V3" s="20">
        <v>98.998492814650064</v>
      </c>
      <c r="W3" s="20">
        <v>94.984031699819639</v>
      </c>
      <c r="X3" s="20">
        <v>88.692462002982907</v>
      </c>
      <c r="Y3" s="20">
        <v>75.671630226669095</v>
      </c>
      <c r="Z3" s="20">
        <v>73.209319028588126</v>
      </c>
      <c r="AA3" s="20">
        <v>60.053447708231523</v>
      </c>
    </row>
    <row r="4" spans="1:27" x14ac:dyDescent="0.25">
      <c r="A4" s="11">
        <v>1</v>
      </c>
      <c r="B4" s="12">
        <v>1</v>
      </c>
      <c r="C4" s="12">
        <v>3</v>
      </c>
      <c r="D4" s="20">
        <v>120.53936842216446</v>
      </c>
      <c r="E4" s="20">
        <v>116.1795351392293</v>
      </c>
      <c r="F4" s="20">
        <v>110.62430088936014</v>
      </c>
      <c r="G4" s="20">
        <v>99.617019771185511</v>
      </c>
      <c r="H4" s="20">
        <v>101.78218885197946</v>
      </c>
      <c r="I4" s="20">
        <v>110.19163560662466</v>
      </c>
      <c r="J4" s="20">
        <v>133.87982262027899</v>
      </c>
      <c r="K4" s="20">
        <v>145.61019711145968</v>
      </c>
      <c r="L4" s="20">
        <v>163.46633230449561</v>
      </c>
      <c r="M4" s="20">
        <v>169.80726850753902</v>
      </c>
      <c r="N4" s="20">
        <v>170.93017026909217</v>
      </c>
      <c r="O4" s="20">
        <v>176.95230177688478</v>
      </c>
      <c r="P4" s="20">
        <v>169.4097169944792</v>
      </c>
      <c r="Q4" s="20">
        <v>173.03940232884418</v>
      </c>
      <c r="R4" s="20">
        <v>170.99217434080856</v>
      </c>
      <c r="S4" s="20">
        <v>171.14570352564567</v>
      </c>
      <c r="T4" s="20">
        <v>171.9853293022</v>
      </c>
      <c r="U4" s="20">
        <v>176.11447671209953</v>
      </c>
      <c r="V4" s="20">
        <v>184.03204600997827</v>
      </c>
      <c r="W4" s="20">
        <v>169.59870174228828</v>
      </c>
      <c r="X4" s="20">
        <v>163.8860675790423</v>
      </c>
      <c r="Y4" s="20">
        <v>143.19402141855829</v>
      </c>
      <c r="Z4" s="20">
        <v>131.73259636958122</v>
      </c>
      <c r="AA4" s="20">
        <v>117.33151451883568</v>
      </c>
    </row>
    <row r="5" spans="1:27" x14ac:dyDescent="0.25">
      <c r="A5" s="11">
        <v>1</v>
      </c>
      <c r="B5" s="12">
        <v>1</v>
      </c>
      <c r="C5" s="12">
        <v>4</v>
      </c>
      <c r="D5" s="20">
        <v>47.440983796977669</v>
      </c>
      <c r="E5" s="20">
        <v>44.974117844440734</v>
      </c>
      <c r="F5" s="20">
        <v>44.746215521953303</v>
      </c>
      <c r="G5" s="20">
        <v>41.114560482903435</v>
      </c>
      <c r="H5" s="20">
        <v>41.519631814588223</v>
      </c>
      <c r="I5" s="20">
        <v>45.718409211334652</v>
      </c>
      <c r="J5" s="20">
        <v>53.65831910901224</v>
      </c>
      <c r="K5" s="20">
        <v>61.933642967060663</v>
      </c>
      <c r="L5" s="20">
        <v>67.910152757925616</v>
      </c>
      <c r="M5" s="20">
        <v>68.753985052235606</v>
      </c>
      <c r="N5" s="20">
        <v>72.004266647817843</v>
      </c>
      <c r="O5" s="20">
        <v>68.431528850623124</v>
      </c>
      <c r="P5" s="20">
        <v>67.916888531430757</v>
      </c>
      <c r="Q5" s="20">
        <v>68.72001235084015</v>
      </c>
      <c r="R5" s="20">
        <v>65.323319408498151</v>
      </c>
      <c r="S5" s="20">
        <v>66.145676642546093</v>
      </c>
      <c r="T5" s="20">
        <v>75.619872192473991</v>
      </c>
      <c r="U5" s="20">
        <v>72.20005123707017</v>
      </c>
      <c r="V5" s="20">
        <v>71.068530543958389</v>
      </c>
      <c r="W5" s="20">
        <v>73.08539896941781</v>
      </c>
      <c r="X5" s="20">
        <v>69.892473115296198</v>
      </c>
      <c r="Y5" s="20">
        <v>62.668889918067535</v>
      </c>
      <c r="Z5" s="20">
        <v>52.051616770885147</v>
      </c>
      <c r="AA5" s="20">
        <v>47.249304974071791</v>
      </c>
    </row>
    <row r="6" spans="1:27" x14ac:dyDescent="0.25">
      <c r="A6" s="11">
        <v>1</v>
      </c>
      <c r="B6" s="12">
        <v>1</v>
      </c>
      <c r="C6" s="12">
        <v>5</v>
      </c>
      <c r="D6" s="20">
        <v>45.183207770167435</v>
      </c>
      <c r="E6" s="21">
        <v>44.28187358627784</v>
      </c>
      <c r="F6" s="21">
        <v>40.384409459072259</v>
      </c>
      <c r="G6" s="21">
        <v>41.233595123837681</v>
      </c>
      <c r="H6" s="21">
        <v>40.822442243819559</v>
      </c>
      <c r="I6" s="21">
        <v>41.506523294819239</v>
      </c>
      <c r="J6" s="21">
        <v>54.394129198888578</v>
      </c>
      <c r="K6" s="21">
        <v>61.216630117301186</v>
      </c>
      <c r="L6" s="21">
        <v>65.592963420369543</v>
      </c>
      <c r="M6" s="21">
        <v>69.672403336191536</v>
      </c>
      <c r="N6" s="21">
        <v>64.677921919457177</v>
      </c>
      <c r="O6" s="21">
        <v>63.855772485190002</v>
      </c>
      <c r="P6" s="21">
        <v>65.214200946730415</v>
      </c>
      <c r="Q6" s="21">
        <v>66.211938486368467</v>
      </c>
      <c r="R6" s="21">
        <v>64.821128844231652</v>
      </c>
      <c r="S6" s="21">
        <v>69.015481086807995</v>
      </c>
      <c r="T6" s="21">
        <v>71.403032542995547</v>
      </c>
      <c r="U6" s="20">
        <v>67.041641786793221</v>
      </c>
      <c r="V6" s="21">
        <v>71.924258167564531</v>
      </c>
      <c r="W6" s="21">
        <v>64.331486662905306</v>
      </c>
      <c r="X6" s="21">
        <v>67.165849163208108</v>
      </c>
      <c r="Y6" s="21">
        <v>60.065738867553385</v>
      </c>
      <c r="Z6" s="21">
        <v>49.755986843608312</v>
      </c>
      <c r="AA6" s="22">
        <v>42.61440350458615</v>
      </c>
    </row>
    <row r="7" spans="1:27" x14ac:dyDescent="0.25">
      <c r="A7" s="11">
        <v>1</v>
      </c>
      <c r="B7" s="12">
        <v>1</v>
      </c>
      <c r="C7" s="12">
        <v>6</v>
      </c>
      <c r="D7" s="20">
        <v>88.885762879636957</v>
      </c>
      <c r="E7" s="21">
        <v>88.391259808941683</v>
      </c>
      <c r="F7" s="21">
        <v>79.607256659090226</v>
      </c>
      <c r="G7" s="21">
        <v>82.517240999459389</v>
      </c>
      <c r="H7" s="21">
        <v>80.538721225389423</v>
      </c>
      <c r="I7" s="21">
        <v>83.981812900610592</v>
      </c>
      <c r="J7" s="21">
        <v>102.30685283803309</v>
      </c>
      <c r="K7" s="21">
        <v>122.00268254155731</v>
      </c>
      <c r="L7" s="21">
        <v>131.31169154397932</v>
      </c>
      <c r="M7" s="21">
        <v>128.39823581968005</v>
      </c>
      <c r="N7" s="21">
        <v>123.36758918688244</v>
      </c>
      <c r="O7" s="21">
        <v>122.92194805992484</v>
      </c>
      <c r="P7" s="21">
        <v>133.82875315167115</v>
      </c>
      <c r="Q7" s="21">
        <v>133.29114934588188</v>
      </c>
      <c r="R7" s="21">
        <v>131.41500779362354</v>
      </c>
      <c r="S7" s="21">
        <v>128.64427339573913</v>
      </c>
      <c r="T7" s="21">
        <v>136.56625166605701</v>
      </c>
      <c r="U7" s="20">
        <v>133.68662615605905</v>
      </c>
      <c r="V7" s="21">
        <v>141.36334672186925</v>
      </c>
      <c r="W7" s="21">
        <v>131.39861277168802</v>
      </c>
      <c r="X7" s="21">
        <v>122.11335327793628</v>
      </c>
      <c r="Y7" s="21">
        <v>110.84609230209404</v>
      </c>
      <c r="Z7" s="21">
        <v>102.96346865962191</v>
      </c>
      <c r="AA7" s="22">
        <v>86.828760686985689</v>
      </c>
    </row>
    <row r="8" spans="1:27" s="9" customFormat="1" x14ac:dyDescent="0.25">
      <c r="A8" s="11">
        <v>1</v>
      </c>
      <c r="B8" s="12">
        <v>1</v>
      </c>
      <c r="C8" s="12">
        <v>7</v>
      </c>
      <c r="D8" s="20">
        <v>84.891075327077331</v>
      </c>
      <c r="E8" s="20">
        <v>79.077139356597968</v>
      </c>
      <c r="F8" s="20">
        <v>72.580062925668926</v>
      </c>
      <c r="G8" s="20">
        <v>71.614088878484765</v>
      </c>
      <c r="H8" s="20">
        <v>73.568124010058895</v>
      </c>
      <c r="I8" s="20">
        <v>77.817721779270357</v>
      </c>
      <c r="J8" s="20">
        <v>91.68777348754395</v>
      </c>
      <c r="K8" s="20">
        <v>109.39012856908785</v>
      </c>
      <c r="L8" s="20">
        <v>118.31468066632414</v>
      </c>
      <c r="M8" s="20">
        <v>120.26715934971854</v>
      </c>
      <c r="N8" s="20">
        <v>120.98190770905805</v>
      </c>
      <c r="O8" s="20">
        <v>112.36468672785995</v>
      </c>
      <c r="P8" s="20">
        <v>113.3352865533859</v>
      </c>
      <c r="Q8" s="20">
        <v>116.10631947125094</v>
      </c>
      <c r="R8" s="20">
        <v>112.86818061703595</v>
      </c>
      <c r="S8" s="20">
        <v>122.23157202283301</v>
      </c>
      <c r="T8" s="20">
        <v>117.25078855089738</v>
      </c>
      <c r="U8" s="20">
        <v>130.09238210666894</v>
      </c>
      <c r="V8" s="20">
        <v>123.33954866399893</v>
      </c>
      <c r="W8" s="20">
        <v>117.22034192914586</v>
      </c>
      <c r="X8" s="20">
        <v>114.84822323107586</v>
      </c>
      <c r="Y8" s="20">
        <v>103.2313698771397</v>
      </c>
      <c r="Z8" s="20">
        <v>89.601199804563365</v>
      </c>
      <c r="AA8" s="20">
        <v>80.596436186625738</v>
      </c>
    </row>
    <row r="9" spans="1:27" s="9" customFormat="1" x14ac:dyDescent="0.25">
      <c r="A9" s="11">
        <v>1</v>
      </c>
      <c r="B9" s="12">
        <v>1</v>
      </c>
      <c r="C9" s="12">
        <v>8</v>
      </c>
      <c r="D9" s="20">
        <v>115.96877322337265</v>
      </c>
      <c r="E9" s="20">
        <v>106.23255203499195</v>
      </c>
      <c r="F9" s="20">
        <v>99.912121306342883</v>
      </c>
      <c r="G9" s="20">
        <v>98.680970137142978</v>
      </c>
      <c r="H9" s="20">
        <v>99.398173286983365</v>
      </c>
      <c r="I9" s="20">
        <v>100.81561176075307</v>
      </c>
      <c r="J9" s="20">
        <v>123.92175422514352</v>
      </c>
      <c r="K9" s="20">
        <v>152.29094372660765</v>
      </c>
      <c r="L9" s="20">
        <v>154.77702412967369</v>
      </c>
      <c r="M9" s="20">
        <v>163.51343644367688</v>
      </c>
      <c r="N9" s="20">
        <v>164.84853429103063</v>
      </c>
      <c r="O9" s="20">
        <v>153.83261410565973</v>
      </c>
      <c r="P9" s="20">
        <v>158.21552949240299</v>
      </c>
      <c r="Q9" s="20">
        <v>159.84301678757458</v>
      </c>
      <c r="R9" s="20">
        <v>151.55616765663967</v>
      </c>
      <c r="S9" s="20">
        <v>165.26812480864797</v>
      </c>
      <c r="T9" s="20">
        <v>161.31172615954915</v>
      </c>
      <c r="U9" s="20">
        <v>169.0965478614925</v>
      </c>
      <c r="V9" s="20">
        <v>167.42790581246931</v>
      </c>
      <c r="W9" s="20">
        <v>160.5762354574961</v>
      </c>
      <c r="X9" s="20">
        <v>161.25619236380342</v>
      </c>
      <c r="Y9" s="20">
        <v>140.07079349990806</v>
      </c>
      <c r="Z9" s="20">
        <v>126.32772993621835</v>
      </c>
      <c r="AA9" s="20">
        <v>103.72315134182999</v>
      </c>
    </row>
    <row r="10" spans="1:27" s="9" customFormat="1" x14ac:dyDescent="0.25">
      <c r="A10" s="11">
        <v>1</v>
      </c>
      <c r="B10" s="12">
        <v>1</v>
      </c>
      <c r="C10" s="12">
        <v>9</v>
      </c>
      <c r="D10" s="20">
        <v>111.22076577688087</v>
      </c>
      <c r="E10" s="20">
        <v>110.27771384671088</v>
      </c>
      <c r="F10" s="20">
        <v>101.71699163423492</v>
      </c>
      <c r="G10" s="20">
        <v>105.34570584510151</v>
      </c>
      <c r="H10" s="20">
        <v>99.989946131609216</v>
      </c>
      <c r="I10" s="20">
        <v>104.95294390464269</v>
      </c>
      <c r="J10" s="20">
        <v>131.08848258235568</v>
      </c>
      <c r="K10" s="20">
        <v>150.17831123359096</v>
      </c>
      <c r="L10" s="20">
        <v>170.18919396036</v>
      </c>
      <c r="M10" s="20">
        <v>158.64262994387741</v>
      </c>
      <c r="N10" s="20">
        <v>161.10322558563112</v>
      </c>
      <c r="O10" s="20">
        <v>167.49431028982681</v>
      </c>
      <c r="P10" s="20">
        <v>164.00627667680516</v>
      </c>
      <c r="Q10" s="20">
        <v>155.75214231906668</v>
      </c>
      <c r="R10" s="20">
        <v>163.78465879665771</v>
      </c>
      <c r="S10" s="20">
        <v>154.98951939443924</v>
      </c>
      <c r="T10" s="20">
        <v>169.81522757594666</v>
      </c>
      <c r="U10" s="20">
        <v>177.79103755825514</v>
      </c>
      <c r="V10" s="20">
        <v>174.13766487942522</v>
      </c>
      <c r="W10" s="20">
        <v>164.2454167352731</v>
      </c>
      <c r="X10" s="20">
        <v>159.10222806976449</v>
      </c>
      <c r="Y10" s="20">
        <v>143.58997606572206</v>
      </c>
      <c r="Z10" s="20">
        <v>121.38757022306434</v>
      </c>
      <c r="AA10" s="20">
        <v>107.70377140572511</v>
      </c>
    </row>
    <row r="11" spans="1:27" s="9" customFormat="1" x14ac:dyDescent="0.25">
      <c r="A11" s="11">
        <v>1</v>
      </c>
      <c r="B11" s="12">
        <v>1</v>
      </c>
      <c r="C11" s="12">
        <v>10</v>
      </c>
      <c r="D11" s="20">
        <v>131.89091615210643</v>
      </c>
      <c r="E11" s="20">
        <v>115.54043388102902</v>
      </c>
      <c r="F11" s="20">
        <v>112.96522033215388</v>
      </c>
      <c r="G11" s="20">
        <v>110.58807006772848</v>
      </c>
      <c r="H11" s="20">
        <v>115.60228382359166</v>
      </c>
      <c r="I11" s="20">
        <v>109.81063170702348</v>
      </c>
      <c r="J11" s="20">
        <v>140.62111607274221</v>
      </c>
      <c r="K11" s="20">
        <v>161.57540350605285</v>
      </c>
      <c r="L11" s="20">
        <v>178.49806825717749</v>
      </c>
      <c r="M11" s="20">
        <v>192.44387865463315</v>
      </c>
      <c r="N11" s="20">
        <v>176.60902371509496</v>
      </c>
      <c r="O11" s="20">
        <v>190.84814811562887</v>
      </c>
      <c r="P11" s="20">
        <v>176.08036152360998</v>
      </c>
      <c r="Q11" s="20">
        <v>180.94833980835574</v>
      </c>
      <c r="R11" s="20">
        <v>172.29108917951743</v>
      </c>
      <c r="S11" s="20">
        <v>178.84950828138162</v>
      </c>
      <c r="T11" s="20">
        <v>184.80787527696333</v>
      </c>
      <c r="U11" s="20">
        <v>197.14643257168706</v>
      </c>
      <c r="V11" s="20">
        <v>183.52343605798893</v>
      </c>
      <c r="W11" s="20">
        <v>191.6698835611862</v>
      </c>
      <c r="X11" s="20">
        <v>180.76303402459584</v>
      </c>
      <c r="Y11" s="20">
        <v>160.77867893872829</v>
      </c>
      <c r="Z11" s="20">
        <v>141.42979439932157</v>
      </c>
      <c r="AA11" s="20">
        <v>120.31186507818444</v>
      </c>
    </row>
    <row r="12" spans="1:27" s="9" customFormat="1" x14ac:dyDescent="0.25">
      <c r="A12" s="11">
        <v>1</v>
      </c>
      <c r="B12" s="12">
        <v>1</v>
      </c>
      <c r="C12" s="12">
        <v>11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</row>
    <row r="13" spans="1:27" s="9" customFormat="1" x14ac:dyDescent="0.25">
      <c r="A13" s="11">
        <v>1</v>
      </c>
      <c r="B13" s="12">
        <v>1</v>
      </c>
      <c r="C13" s="12">
        <v>12</v>
      </c>
      <c r="D13" s="20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0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2">
        <v>0</v>
      </c>
    </row>
    <row r="14" spans="1:27" x14ac:dyDescent="0.25">
      <c r="A14" s="11">
        <v>1</v>
      </c>
      <c r="B14" s="12">
        <v>1</v>
      </c>
      <c r="C14" s="12">
        <v>13</v>
      </c>
      <c r="D14" s="20">
        <v>171.07308994984314</v>
      </c>
      <c r="E14" s="20">
        <v>162.9923141332342</v>
      </c>
      <c r="F14" s="20">
        <v>151.10109016445563</v>
      </c>
      <c r="G14" s="20">
        <v>159.55224119280874</v>
      </c>
      <c r="H14" s="20">
        <v>154.75261175581184</v>
      </c>
      <c r="I14" s="20">
        <v>159.80730458674793</v>
      </c>
      <c r="J14" s="20">
        <v>187.81218980782867</v>
      </c>
      <c r="K14" s="20">
        <v>218.94720017226871</v>
      </c>
      <c r="L14" s="20">
        <v>259.42699178076782</v>
      </c>
      <c r="M14" s="20">
        <v>250.77042495818372</v>
      </c>
      <c r="N14" s="20">
        <v>248.26349142978734</v>
      </c>
      <c r="O14" s="20">
        <v>256.00926976423233</v>
      </c>
      <c r="P14" s="20">
        <v>242.20864200031693</v>
      </c>
      <c r="Q14" s="20">
        <v>247.50446253342827</v>
      </c>
      <c r="R14" s="20">
        <v>247.22509879299361</v>
      </c>
      <c r="S14" s="20">
        <v>238.21688458574769</v>
      </c>
      <c r="T14" s="20">
        <v>268.5385962635836</v>
      </c>
      <c r="U14" s="20">
        <v>265.65430507007142</v>
      </c>
      <c r="V14" s="20">
        <v>256.66777526049873</v>
      </c>
      <c r="W14" s="20">
        <v>255.05152643351266</v>
      </c>
      <c r="X14" s="20">
        <v>248.52666919281546</v>
      </c>
      <c r="Y14" s="20">
        <v>221.61579336310177</v>
      </c>
      <c r="Z14" s="20">
        <v>192.79391284522717</v>
      </c>
      <c r="AA14" s="20">
        <v>166.6569007513821</v>
      </c>
    </row>
    <row r="15" spans="1:27" x14ac:dyDescent="0.25">
      <c r="A15" s="11">
        <v>1</v>
      </c>
      <c r="B15" s="12">
        <v>1</v>
      </c>
      <c r="C15" s="12">
        <v>14</v>
      </c>
      <c r="D15" s="20">
        <v>133.31938771055755</v>
      </c>
      <c r="E15" s="20">
        <v>120.68258398695795</v>
      </c>
      <c r="F15" s="20">
        <v>110.70574310023453</v>
      </c>
      <c r="G15" s="20">
        <v>114.58056539850212</v>
      </c>
      <c r="H15" s="20">
        <v>116.77484746285079</v>
      </c>
      <c r="I15" s="20">
        <v>118.59504364692958</v>
      </c>
      <c r="J15" s="20">
        <v>145.83350184549806</v>
      </c>
      <c r="K15" s="20">
        <v>172.89806274649473</v>
      </c>
      <c r="L15" s="20">
        <v>181.51532670812659</v>
      </c>
      <c r="M15" s="20">
        <v>187.8900631050661</v>
      </c>
      <c r="N15" s="20">
        <v>185.62268706521093</v>
      </c>
      <c r="O15" s="20">
        <v>178.57931460321288</v>
      </c>
      <c r="P15" s="20">
        <v>189.94717234608927</v>
      </c>
      <c r="Q15" s="20">
        <v>181.87295386462566</v>
      </c>
      <c r="R15" s="20">
        <v>180.62090080524143</v>
      </c>
      <c r="S15" s="20">
        <v>174.91204818796595</v>
      </c>
      <c r="T15" s="20">
        <v>198.89339200028346</v>
      </c>
      <c r="U15" s="20">
        <v>198.39104159566446</v>
      </c>
      <c r="V15" s="20">
        <v>194.92872287598846</v>
      </c>
      <c r="W15" s="20">
        <v>191.18991790832794</v>
      </c>
      <c r="X15" s="20">
        <v>173.03174639330848</v>
      </c>
      <c r="Y15" s="20">
        <v>163.01162377041376</v>
      </c>
      <c r="Z15" s="20">
        <v>146.19154753037827</v>
      </c>
      <c r="AA15" s="20">
        <v>114.85188301135413</v>
      </c>
    </row>
    <row r="16" spans="1:27" x14ac:dyDescent="0.25">
      <c r="A16" s="11">
        <v>1</v>
      </c>
      <c r="B16" s="12">
        <v>1</v>
      </c>
      <c r="C16" s="12">
        <v>15</v>
      </c>
      <c r="D16" s="20">
        <v>199.74430808513819</v>
      </c>
      <c r="E16" s="20">
        <v>188.25054198039928</v>
      </c>
      <c r="F16" s="20">
        <v>193.99847252524921</v>
      </c>
      <c r="G16" s="20">
        <v>191.68150299563604</v>
      </c>
      <c r="H16" s="20">
        <v>184.98761000571983</v>
      </c>
      <c r="I16" s="20">
        <v>192.39822289017289</v>
      </c>
      <c r="J16" s="20">
        <v>226.24150675807843</v>
      </c>
      <c r="K16" s="20">
        <v>264.96064707048441</v>
      </c>
      <c r="L16" s="20">
        <v>299.84277637075849</v>
      </c>
      <c r="M16" s="20">
        <v>311.97258890119514</v>
      </c>
      <c r="N16" s="20">
        <v>309.3540652798149</v>
      </c>
      <c r="O16" s="20">
        <v>295.90085670953761</v>
      </c>
      <c r="P16" s="20">
        <v>284.96514328553536</v>
      </c>
      <c r="Q16" s="20">
        <v>299.52470241610297</v>
      </c>
      <c r="R16" s="20">
        <v>280.38591275379287</v>
      </c>
      <c r="S16" s="20">
        <v>284.57893194393631</v>
      </c>
      <c r="T16" s="20">
        <v>309.93816446954406</v>
      </c>
      <c r="U16" s="20">
        <v>319.81765943301588</v>
      </c>
      <c r="V16" s="20">
        <v>322.05223159032545</v>
      </c>
      <c r="W16" s="20">
        <v>308.79967406342752</v>
      </c>
      <c r="X16" s="20">
        <v>279.31113721638792</v>
      </c>
      <c r="Y16" s="20">
        <v>251.28607213247878</v>
      </c>
      <c r="Z16" s="20">
        <v>228.60714514896947</v>
      </c>
      <c r="AA16" s="20">
        <v>188.06616441292468</v>
      </c>
    </row>
    <row r="17" spans="1:27" x14ac:dyDescent="0.25">
      <c r="A17" s="11">
        <v>1</v>
      </c>
      <c r="B17" s="12">
        <v>1</v>
      </c>
      <c r="C17" s="12">
        <v>16</v>
      </c>
      <c r="D17" s="20">
        <v>68.08441725630793</v>
      </c>
      <c r="E17" s="20">
        <v>62.425148317243554</v>
      </c>
      <c r="F17" s="20">
        <v>61.701896714736371</v>
      </c>
      <c r="G17" s="20">
        <v>56.338935472134906</v>
      </c>
      <c r="H17" s="20">
        <v>56.754031861870565</v>
      </c>
      <c r="I17" s="20">
        <v>61.912662730941115</v>
      </c>
      <c r="J17" s="20">
        <v>73.218908644322283</v>
      </c>
      <c r="K17" s="20">
        <v>86.759875718731934</v>
      </c>
      <c r="L17" s="20">
        <v>93.038697579984969</v>
      </c>
      <c r="M17" s="20">
        <v>91.045419628269002</v>
      </c>
      <c r="N17" s="20">
        <v>92.265618328558745</v>
      </c>
      <c r="O17" s="20">
        <v>89.451843675713221</v>
      </c>
      <c r="P17" s="20">
        <v>92.455463490469356</v>
      </c>
      <c r="Q17" s="20">
        <v>95.824506834180482</v>
      </c>
      <c r="R17" s="20">
        <v>89.424268395890195</v>
      </c>
      <c r="S17" s="20">
        <v>92.366437026929688</v>
      </c>
      <c r="T17" s="20">
        <v>94.575891257634524</v>
      </c>
      <c r="U17" s="20">
        <v>102.52047481986108</v>
      </c>
      <c r="V17" s="20">
        <v>100.49366319687056</v>
      </c>
      <c r="W17" s="20">
        <v>94.392803542496992</v>
      </c>
      <c r="X17" s="20">
        <v>92.431941551115003</v>
      </c>
      <c r="Y17" s="20">
        <v>82.1792235377509</v>
      </c>
      <c r="Z17" s="20">
        <v>75.050525835294508</v>
      </c>
      <c r="AA17" s="20">
        <v>62.583935173341722</v>
      </c>
    </row>
    <row r="18" spans="1:27" x14ac:dyDescent="0.25">
      <c r="A18" s="11">
        <v>1</v>
      </c>
      <c r="B18" s="12">
        <v>1</v>
      </c>
      <c r="C18" s="12">
        <v>17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</row>
    <row r="19" spans="1:27" x14ac:dyDescent="0.25">
      <c r="A19" s="11">
        <v>1</v>
      </c>
      <c r="B19" s="12">
        <v>1</v>
      </c>
      <c r="C19" s="12">
        <v>18</v>
      </c>
      <c r="D19" s="20">
        <v>223.55447034824866</v>
      </c>
      <c r="E19" s="20">
        <v>213.02140392515869</v>
      </c>
      <c r="F19" s="20">
        <v>195.53645002835717</v>
      </c>
      <c r="G19" s="20">
        <v>198.903013540156</v>
      </c>
      <c r="H19" s="20">
        <v>200.37393805193301</v>
      </c>
      <c r="I19" s="20">
        <v>192.12533315995378</v>
      </c>
      <c r="J19" s="20">
        <v>246.46002093142414</v>
      </c>
      <c r="K19" s="20">
        <v>280.10342762342049</v>
      </c>
      <c r="L19" s="20">
        <v>313.36548100758716</v>
      </c>
      <c r="M19" s="20">
        <v>321.90926087488594</v>
      </c>
      <c r="N19" s="20">
        <v>321.99661981474662</v>
      </c>
      <c r="O19" s="20">
        <v>297.91779081378553</v>
      </c>
      <c r="P19" s="20">
        <v>318.18547204069472</v>
      </c>
      <c r="Q19" s="20">
        <v>316.04133240019672</v>
      </c>
      <c r="R19" s="20">
        <v>296.09864058455685</v>
      </c>
      <c r="S19" s="20">
        <v>301.86484542870909</v>
      </c>
      <c r="T19" s="20">
        <v>330.65315976540688</v>
      </c>
      <c r="U19" s="20">
        <v>320.62675636119712</v>
      </c>
      <c r="V19" s="20">
        <v>341.5154048374834</v>
      </c>
      <c r="W19" s="20">
        <v>305.27874387070682</v>
      </c>
      <c r="X19" s="20">
        <v>312.87495329752716</v>
      </c>
      <c r="Y19" s="20">
        <v>267.87950148872886</v>
      </c>
      <c r="Z19" s="20">
        <v>230.16945770509008</v>
      </c>
      <c r="AA19" s="20">
        <v>215.85412474861889</v>
      </c>
    </row>
    <row r="20" spans="1:27" x14ac:dyDescent="0.25">
      <c r="A20" s="11">
        <v>1</v>
      </c>
      <c r="B20" s="12">
        <v>1</v>
      </c>
      <c r="C20" s="12">
        <v>19</v>
      </c>
      <c r="D20" s="20">
        <v>126.43060224996752</v>
      </c>
      <c r="E20" s="20">
        <v>110.02304393974174</v>
      </c>
      <c r="F20" s="20">
        <v>104.81123624283744</v>
      </c>
      <c r="G20" s="20">
        <v>104.06137213686834</v>
      </c>
      <c r="H20" s="20">
        <v>106.87860931396315</v>
      </c>
      <c r="I20" s="20">
        <v>104.48038003896285</v>
      </c>
      <c r="J20" s="20">
        <v>128.28419313281057</v>
      </c>
      <c r="K20" s="20">
        <v>148.54947023780528</v>
      </c>
      <c r="L20" s="20">
        <v>167.95329263130421</v>
      </c>
      <c r="M20" s="20">
        <v>165.85061563686253</v>
      </c>
      <c r="N20" s="20">
        <v>174.91936913971134</v>
      </c>
      <c r="O20" s="20">
        <v>169.00689426436557</v>
      </c>
      <c r="P20" s="20">
        <v>175.92851245637826</v>
      </c>
      <c r="Q20" s="20">
        <v>171.0949442190778</v>
      </c>
      <c r="R20" s="20">
        <v>173.16842878572169</v>
      </c>
      <c r="S20" s="20">
        <v>172.20628168121809</v>
      </c>
      <c r="T20" s="20">
        <v>180.5506302854559</v>
      </c>
      <c r="U20" s="20">
        <v>177.46471011555906</v>
      </c>
      <c r="V20" s="20">
        <v>188.54071226128724</v>
      </c>
      <c r="W20" s="20">
        <v>178.87905238724352</v>
      </c>
      <c r="X20" s="20">
        <v>167.14907416541212</v>
      </c>
      <c r="Y20" s="20">
        <v>152.71906736135682</v>
      </c>
      <c r="Z20" s="20">
        <v>130.65348998601058</v>
      </c>
      <c r="AA20" s="20">
        <v>111.29014893742024</v>
      </c>
    </row>
    <row r="21" spans="1:27" x14ac:dyDescent="0.25">
      <c r="A21" s="11">
        <v>1</v>
      </c>
      <c r="B21" s="12">
        <v>1</v>
      </c>
      <c r="C21" s="12">
        <v>20</v>
      </c>
      <c r="D21" s="20">
        <v>87.509817072328786</v>
      </c>
      <c r="E21" s="20">
        <v>78.845950605164745</v>
      </c>
      <c r="F21" s="20">
        <v>73.220763466041589</v>
      </c>
      <c r="G21" s="20">
        <v>71.515887886228214</v>
      </c>
      <c r="H21" s="20">
        <v>74.7251751540756</v>
      </c>
      <c r="I21" s="20">
        <v>78.183269929516769</v>
      </c>
      <c r="J21" s="20">
        <v>92.800179749330511</v>
      </c>
      <c r="K21" s="20">
        <v>107.81961978335815</v>
      </c>
      <c r="L21" s="20">
        <v>119.51370970905906</v>
      </c>
      <c r="M21" s="20">
        <v>122.74009074207856</v>
      </c>
      <c r="N21" s="20">
        <v>126.71736755791913</v>
      </c>
      <c r="O21" s="20">
        <v>126.16896468016779</v>
      </c>
      <c r="P21" s="20">
        <v>117.96851588630086</v>
      </c>
      <c r="Q21" s="20">
        <v>124.77535354846042</v>
      </c>
      <c r="R21" s="20">
        <v>113.89219340650992</v>
      </c>
      <c r="S21" s="20">
        <v>117.82255067205105</v>
      </c>
      <c r="T21" s="20">
        <v>128.41792876617995</v>
      </c>
      <c r="U21" s="20">
        <v>127.58901712580662</v>
      </c>
      <c r="V21" s="20">
        <v>126.62795090233183</v>
      </c>
      <c r="W21" s="20">
        <v>125.09027433548121</v>
      </c>
      <c r="X21" s="20">
        <v>113.04040694956532</v>
      </c>
      <c r="Y21" s="20">
        <v>110.28508546704268</v>
      </c>
      <c r="Z21" s="20">
        <v>89.014943538888573</v>
      </c>
      <c r="AA21" s="20">
        <v>80.188886487438936</v>
      </c>
    </row>
    <row r="22" spans="1:27" x14ac:dyDescent="0.25">
      <c r="A22" s="11">
        <v>1</v>
      </c>
      <c r="B22" s="12">
        <v>1</v>
      </c>
      <c r="C22" s="12">
        <v>21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</row>
    <row r="23" spans="1:27" x14ac:dyDescent="0.25">
      <c r="A23" s="11">
        <v>1</v>
      </c>
      <c r="B23" s="12">
        <v>1</v>
      </c>
      <c r="C23" s="12">
        <v>22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</row>
    <row r="24" spans="1:27" x14ac:dyDescent="0.25">
      <c r="A24" s="11">
        <v>1</v>
      </c>
      <c r="B24" s="12">
        <v>1</v>
      </c>
      <c r="C24" s="12">
        <v>23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</row>
    <row r="25" spans="1:27" x14ac:dyDescent="0.25">
      <c r="A25" s="11">
        <v>1</v>
      </c>
      <c r="B25" s="12">
        <v>1</v>
      </c>
      <c r="C25" s="12">
        <v>24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</row>
    <row r="28" spans="1:27" ht="15.6" x14ac:dyDescent="0.35">
      <c r="A28" t="s">
        <v>273</v>
      </c>
    </row>
  </sheetData>
  <sortState xmlns:xlrd2="http://schemas.microsoft.com/office/spreadsheetml/2017/richdata2" ref="A2:AA13">
    <sortCondition ref="C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79998168889431442"/>
  </sheetPr>
  <dimension ref="A1:AA7"/>
  <sheetViews>
    <sheetView workbookViewId="0">
      <selection activeCell="E10" sqref="E10"/>
    </sheetView>
  </sheetViews>
  <sheetFormatPr defaultRowHeight="13.8" x14ac:dyDescent="0.25"/>
  <cols>
    <col min="3" max="3" width="9.109375" bestFit="1" customWidth="1"/>
  </cols>
  <sheetData>
    <row r="1" spans="1:27" x14ac:dyDescent="0.25">
      <c r="A1" s="5" t="s">
        <v>46</v>
      </c>
      <c r="B1" s="42" t="s">
        <v>2</v>
      </c>
      <c r="C1" s="75" t="s">
        <v>47</v>
      </c>
      <c r="D1" s="75" t="s">
        <v>48</v>
      </c>
      <c r="E1" s="75" t="s">
        <v>49</v>
      </c>
      <c r="F1" s="75" t="s">
        <v>50</v>
      </c>
      <c r="G1" s="75" t="s">
        <v>51</v>
      </c>
      <c r="H1" s="75" t="s">
        <v>52</v>
      </c>
      <c r="I1" s="75" t="s">
        <v>53</v>
      </c>
      <c r="J1" s="75" t="s">
        <v>54</v>
      </c>
      <c r="K1" s="75" t="s">
        <v>55</v>
      </c>
      <c r="L1" s="75" t="s">
        <v>56</v>
      </c>
      <c r="M1" s="75" t="s">
        <v>57</v>
      </c>
      <c r="N1" s="75" t="s">
        <v>58</v>
      </c>
      <c r="O1" s="75" t="s">
        <v>59</v>
      </c>
      <c r="P1" s="75" t="s">
        <v>60</v>
      </c>
      <c r="Q1" s="75" t="s">
        <v>61</v>
      </c>
      <c r="R1" s="75" t="s">
        <v>62</v>
      </c>
      <c r="S1" s="75" t="s">
        <v>63</v>
      </c>
      <c r="T1" s="75" t="s">
        <v>64</v>
      </c>
      <c r="U1" s="75" t="s">
        <v>65</v>
      </c>
      <c r="V1" s="75" t="s">
        <v>66</v>
      </c>
      <c r="W1" s="75" t="s">
        <v>67</v>
      </c>
      <c r="X1" s="75" t="s">
        <v>68</v>
      </c>
      <c r="Y1" s="75" t="s">
        <v>69</v>
      </c>
      <c r="Z1" s="76" t="s">
        <v>70</v>
      </c>
    </row>
    <row r="2" spans="1:27" x14ac:dyDescent="0.25">
      <c r="A2" s="45">
        <v>1</v>
      </c>
      <c r="B2" s="46" t="s">
        <v>5</v>
      </c>
      <c r="C2" s="80">
        <v>0.441818181818182</v>
      </c>
      <c r="D2" s="80">
        <v>0.45272727272727298</v>
      </c>
      <c r="E2" s="80">
        <v>0.39818181818181803</v>
      </c>
      <c r="F2" s="80">
        <v>0.25636363636363602</v>
      </c>
      <c r="G2" s="80">
        <v>0.37636363636363601</v>
      </c>
      <c r="H2" s="80">
        <v>0.41454545454545499</v>
      </c>
      <c r="I2" s="80">
        <v>0.41454545454545499</v>
      </c>
      <c r="J2" s="80">
        <v>0.43636363636363601</v>
      </c>
      <c r="K2" s="80">
        <v>0.43636363636363601</v>
      </c>
      <c r="L2" s="80">
        <v>0.42</v>
      </c>
      <c r="M2" s="80">
        <v>0.321818181818182</v>
      </c>
      <c r="N2" s="80">
        <v>0.22909090909090901</v>
      </c>
      <c r="O2" s="80">
        <v>0.16909090909090899</v>
      </c>
      <c r="P2" s="80">
        <v>0.20181818181818201</v>
      </c>
      <c r="Q2" s="80">
        <v>0.18</v>
      </c>
      <c r="R2" s="80">
        <v>0.15818181818181801</v>
      </c>
      <c r="S2" s="80">
        <v>0.163636363636364</v>
      </c>
      <c r="T2" s="80">
        <v>0.22363636363636399</v>
      </c>
      <c r="U2" s="80">
        <v>0.13636363636363599</v>
      </c>
      <c r="V2" s="80">
        <v>0.18</v>
      </c>
      <c r="W2" s="80">
        <v>0.18</v>
      </c>
      <c r="X2" s="80">
        <v>0.130909090909091</v>
      </c>
      <c r="Y2" s="80">
        <v>0.12545454545454501</v>
      </c>
      <c r="Z2" s="81">
        <v>0.15272727272727299</v>
      </c>
      <c r="AA2" s="30"/>
    </row>
    <row r="3" spans="1:27" x14ac:dyDescent="0.25">
      <c r="A3" s="45">
        <v>1</v>
      </c>
      <c r="B3" s="46" t="s">
        <v>295</v>
      </c>
      <c r="C3" s="80">
        <v>0.34210909090909064</v>
      </c>
      <c r="D3" s="80">
        <v>0.38059636363636301</v>
      </c>
      <c r="E3" s="80">
        <v>0.38059636363636329</v>
      </c>
      <c r="F3" s="80">
        <v>0.38059636363636329</v>
      </c>
      <c r="G3" s="80">
        <v>0.37204363636363669</v>
      </c>
      <c r="H3" s="80">
        <v>0.39770181818181799</v>
      </c>
      <c r="I3" s="80">
        <v>0.42763636363636326</v>
      </c>
      <c r="J3" s="80">
        <v>0.42336000000000007</v>
      </c>
      <c r="K3" s="80">
        <v>0.36776727272727266</v>
      </c>
      <c r="L3" s="80">
        <v>0.35066181818181796</v>
      </c>
      <c r="M3" s="80">
        <v>0.27796363636363675</v>
      </c>
      <c r="N3" s="80">
        <v>0.28223999999999999</v>
      </c>
      <c r="O3" s="80">
        <v>0.1753309090909094</v>
      </c>
      <c r="P3" s="80">
        <v>0.18388363636363672</v>
      </c>
      <c r="Q3" s="80">
        <v>0.23947636363636404</v>
      </c>
      <c r="R3" s="80">
        <v>0.22664727272727267</v>
      </c>
      <c r="S3" s="80">
        <v>0.20954181818181797</v>
      </c>
      <c r="T3" s="80">
        <v>0.15822545454545472</v>
      </c>
      <c r="U3" s="80">
        <v>0.13256727272727264</v>
      </c>
      <c r="V3" s="80">
        <v>0.16677818181818205</v>
      </c>
      <c r="W3" s="80">
        <v>0.25230545454545467</v>
      </c>
      <c r="X3" s="80">
        <v>0.29934545454545475</v>
      </c>
      <c r="Y3" s="80">
        <v>0.27796363636363675</v>
      </c>
      <c r="Z3" s="81">
        <v>0.26513454545454529</v>
      </c>
      <c r="AA3" s="30"/>
    </row>
    <row r="4" spans="1:27" x14ac:dyDescent="0.25">
      <c r="A4" s="45">
        <v>2</v>
      </c>
      <c r="B4" s="46" t="s">
        <v>5</v>
      </c>
      <c r="C4" s="80">
        <v>0.130909090909091</v>
      </c>
      <c r="D4" s="80">
        <v>0.39818181818181803</v>
      </c>
      <c r="E4" s="80">
        <v>0.441818181818182</v>
      </c>
      <c r="F4" s="80">
        <v>0.45272727272727298</v>
      </c>
      <c r="G4" s="80">
        <v>0.45272727272727298</v>
      </c>
      <c r="H4" s="80">
        <v>0.44727272727272699</v>
      </c>
      <c r="I4" s="80">
        <v>0.37636363636363601</v>
      </c>
      <c r="J4" s="80">
        <v>0.38727272727272699</v>
      </c>
      <c r="K4" s="80">
        <v>0.42545454545454497</v>
      </c>
      <c r="L4" s="80">
        <v>0.41454545454545499</v>
      </c>
      <c r="M4" s="80">
        <v>0.42545454545454497</v>
      </c>
      <c r="N4" s="80">
        <v>0.32727272727272699</v>
      </c>
      <c r="O4" s="80">
        <v>0.27272727272727298</v>
      </c>
      <c r="P4" s="80">
        <v>0.321818181818182</v>
      </c>
      <c r="Q4" s="80">
        <v>0.267272727272727</v>
      </c>
      <c r="R4" s="80">
        <v>0.25090909090909103</v>
      </c>
      <c r="S4" s="80">
        <v>0.267272727272727</v>
      </c>
      <c r="T4" s="80">
        <v>0.22363636363636399</v>
      </c>
      <c r="U4" s="80">
        <v>0.15818181818181801</v>
      </c>
      <c r="V4" s="80">
        <v>0.24</v>
      </c>
      <c r="W4" s="80">
        <v>0.24545454545454501</v>
      </c>
      <c r="X4" s="80">
        <v>0.28363636363636402</v>
      </c>
      <c r="Y4" s="80">
        <v>0.28363636363636402</v>
      </c>
      <c r="Z4" s="81">
        <v>0.234545454545455</v>
      </c>
      <c r="AA4" s="30"/>
    </row>
    <row r="5" spans="1:27" x14ac:dyDescent="0.25">
      <c r="A5" s="45">
        <v>2</v>
      </c>
      <c r="B5" s="46" t="s">
        <v>295</v>
      </c>
      <c r="C5" s="80">
        <v>0.294545454545455</v>
      </c>
      <c r="D5" s="80">
        <v>0.40363636363636402</v>
      </c>
      <c r="E5" s="80">
        <v>0.39272727272727298</v>
      </c>
      <c r="F5" s="80">
        <v>0.39818181818181803</v>
      </c>
      <c r="G5" s="80">
        <v>0.43636363636363601</v>
      </c>
      <c r="H5" s="80">
        <v>0.44727272727272699</v>
      </c>
      <c r="I5" s="80">
        <v>0.37636363636363601</v>
      </c>
      <c r="J5" s="80">
        <v>0.33272727272727298</v>
      </c>
      <c r="K5" s="80">
        <v>0.37090909090909102</v>
      </c>
      <c r="L5" s="80">
        <v>0.39272727272727298</v>
      </c>
      <c r="M5" s="80">
        <v>0.40909090909090901</v>
      </c>
      <c r="N5" s="80">
        <v>0.39272727272727298</v>
      </c>
      <c r="O5" s="80">
        <v>0.37636363636363601</v>
      </c>
      <c r="P5" s="80">
        <v>0.33818181818181797</v>
      </c>
      <c r="Q5" s="80">
        <v>0.32727272727272699</v>
      </c>
      <c r="R5" s="80">
        <v>0.3</v>
      </c>
      <c r="S5" s="80">
        <v>0.24</v>
      </c>
      <c r="T5" s="80">
        <v>0.190909090909091</v>
      </c>
      <c r="U5" s="80">
        <v>0.24</v>
      </c>
      <c r="V5" s="80">
        <v>0.24</v>
      </c>
      <c r="W5" s="80">
        <v>0.174545454545455</v>
      </c>
      <c r="X5" s="80">
        <v>0.15272727272727299</v>
      </c>
      <c r="Y5" s="80">
        <v>0.147272727272727</v>
      </c>
      <c r="Z5" s="81">
        <v>0.13636363636363599</v>
      </c>
      <c r="AA5" s="30"/>
    </row>
    <row r="6" spans="1:27" x14ac:dyDescent="0.25">
      <c r="A6" s="45">
        <v>3</v>
      </c>
      <c r="B6" s="46" t="s">
        <v>5</v>
      </c>
      <c r="C6" s="80">
        <v>0.38727272727272699</v>
      </c>
      <c r="D6" s="80">
        <v>0.25636363636363602</v>
      </c>
      <c r="E6" s="80">
        <v>0.19636363636363599</v>
      </c>
      <c r="F6" s="80">
        <v>0.41454545454545499</v>
      </c>
      <c r="G6" s="80">
        <v>0.44727272727272699</v>
      </c>
      <c r="H6" s="80">
        <v>0.43090909090909102</v>
      </c>
      <c r="I6" s="80">
        <v>0.14181818181818201</v>
      </c>
      <c r="J6" s="80">
        <v>0.15272727272727299</v>
      </c>
      <c r="K6" s="80">
        <v>0.207272727272727</v>
      </c>
      <c r="L6" s="80">
        <v>0.174545454545455</v>
      </c>
      <c r="M6" s="80">
        <v>0.24545454545454501</v>
      </c>
      <c r="N6" s="80">
        <v>0.33272727272727298</v>
      </c>
      <c r="O6" s="80">
        <v>0.49090909090909102</v>
      </c>
      <c r="P6" s="80">
        <v>0.45818181818181802</v>
      </c>
      <c r="Q6" s="80">
        <v>0.49090909090909102</v>
      </c>
      <c r="R6" s="80">
        <v>0.52909090909090895</v>
      </c>
      <c r="S6" s="80">
        <v>0.49090909090909102</v>
      </c>
      <c r="T6" s="80">
        <v>0.44727272727272699</v>
      </c>
      <c r="U6" s="80">
        <v>0.49090909090909102</v>
      </c>
      <c r="V6" s="80">
        <v>0.49090909090909102</v>
      </c>
      <c r="W6" s="80">
        <v>0.47454545454545499</v>
      </c>
      <c r="X6" s="80">
        <v>0.39818181818181803</v>
      </c>
      <c r="Y6" s="80">
        <v>0.354545454545455</v>
      </c>
      <c r="Z6" s="81">
        <v>0.381818181818182</v>
      </c>
      <c r="AA6" s="30"/>
    </row>
    <row r="7" spans="1:27" x14ac:dyDescent="0.25">
      <c r="A7" s="51">
        <v>3</v>
      </c>
      <c r="B7" s="52" t="s">
        <v>295</v>
      </c>
      <c r="C7" s="82">
        <v>0.31832727272727279</v>
      </c>
      <c r="D7" s="82">
        <v>0.39211636363636349</v>
      </c>
      <c r="E7" s="82">
        <v>0.38666181818181811</v>
      </c>
      <c r="F7" s="82">
        <v>0.38938909090909068</v>
      </c>
      <c r="G7" s="82">
        <v>0.40420363636363632</v>
      </c>
      <c r="H7" s="82">
        <v>0.42248727272727249</v>
      </c>
      <c r="I7" s="82">
        <v>0.40199999999999964</v>
      </c>
      <c r="J7" s="82">
        <v>0.37804363636363653</v>
      </c>
      <c r="K7" s="82">
        <v>0.36933818181818184</v>
      </c>
      <c r="L7" s="82">
        <v>0.3716945454545455</v>
      </c>
      <c r="M7" s="82">
        <v>0.3435272727272729</v>
      </c>
      <c r="N7" s="82">
        <v>0.33748363636363649</v>
      </c>
      <c r="O7" s="82">
        <v>0.27584727272727272</v>
      </c>
      <c r="P7" s="82">
        <v>0.26103272727272736</v>
      </c>
      <c r="Q7" s="82">
        <v>0.28337454545454555</v>
      </c>
      <c r="R7" s="82">
        <v>0.26332363636363632</v>
      </c>
      <c r="S7" s="82">
        <v>0.22477090909090897</v>
      </c>
      <c r="T7" s="82">
        <v>0.17456727272727285</v>
      </c>
      <c r="U7" s="82">
        <v>0.18628363636363632</v>
      </c>
      <c r="V7" s="82">
        <v>0.20338909090909102</v>
      </c>
      <c r="W7" s="82">
        <v>0.21342545454545483</v>
      </c>
      <c r="X7" s="82">
        <v>0.22603636363636387</v>
      </c>
      <c r="Y7" s="82">
        <v>0.21261818181818187</v>
      </c>
      <c r="Z7" s="83">
        <v>0.20074909090909066</v>
      </c>
      <c r="AA7" s="30"/>
    </row>
  </sheetData>
  <sortState xmlns:xlrd2="http://schemas.microsoft.com/office/spreadsheetml/2017/richdata2" ref="A2:Z4">
    <sortCondition ref="A1:A4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79998168889431442"/>
  </sheetPr>
  <dimension ref="A1:AA7"/>
  <sheetViews>
    <sheetView workbookViewId="0">
      <selection activeCell="D12" sqref="D12"/>
    </sheetView>
  </sheetViews>
  <sheetFormatPr defaultRowHeight="13.8" x14ac:dyDescent="0.25"/>
  <cols>
    <col min="5" max="5" width="9.109375" bestFit="1" customWidth="1"/>
    <col min="6" max="6" width="9.21875" bestFit="1" customWidth="1"/>
    <col min="8" max="8" width="9.109375" bestFit="1" customWidth="1"/>
    <col min="9" max="9" width="9.21875" bestFit="1" customWidth="1"/>
    <col min="13" max="13" width="9.109375" bestFit="1" customWidth="1"/>
    <col min="21" max="21" width="9.109375" bestFit="1" customWidth="1"/>
    <col min="22" max="22" width="9.21875" bestFit="1" customWidth="1"/>
    <col min="24" max="24" width="9.21875" bestFit="1" customWidth="1"/>
    <col min="25" max="25" width="9.109375" bestFit="1" customWidth="1"/>
  </cols>
  <sheetData>
    <row r="1" spans="1:27" ht="27.6" x14ac:dyDescent="0.25">
      <c r="A1" s="6" t="s">
        <v>20</v>
      </c>
      <c r="B1" s="6" t="s">
        <v>46</v>
      </c>
      <c r="C1" s="2" t="s">
        <v>2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  <c r="O1" s="6" t="s">
        <v>58</v>
      </c>
      <c r="P1" s="6" t="s">
        <v>59</v>
      </c>
      <c r="Q1" s="6" t="s">
        <v>60</v>
      </c>
      <c r="R1" s="6" t="s">
        <v>61</v>
      </c>
      <c r="S1" s="6" t="s">
        <v>62</v>
      </c>
      <c r="T1" s="6" t="s">
        <v>63</v>
      </c>
      <c r="U1" s="6" t="s">
        <v>64</v>
      </c>
      <c r="V1" s="6" t="s">
        <v>65</v>
      </c>
      <c r="W1" s="6" t="s">
        <v>66</v>
      </c>
      <c r="X1" s="6" t="s">
        <v>67</v>
      </c>
      <c r="Y1" s="6" t="s">
        <v>68</v>
      </c>
      <c r="Z1" s="6" t="s">
        <v>69</v>
      </c>
      <c r="AA1" s="6" t="s">
        <v>70</v>
      </c>
    </row>
    <row r="2" spans="1:27" x14ac:dyDescent="0.25">
      <c r="A2" s="10">
        <v>1</v>
      </c>
      <c r="B2" s="13">
        <v>1</v>
      </c>
      <c r="C2" s="13" t="s">
        <v>71</v>
      </c>
      <c r="D2" s="23">
        <v>0.15074636159999999</v>
      </c>
      <c r="E2" s="24">
        <v>0.16423089799999999</v>
      </c>
      <c r="F2" s="24">
        <v>0.190847982</v>
      </c>
      <c r="G2" s="24">
        <v>0.1533563104</v>
      </c>
      <c r="H2" s="25">
        <v>0.20180736360000001</v>
      </c>
      <c r="I2" s="25">
        <v>0.35300512519999999</v>
      </c>
      <c r="J2" s="24">
        <v>0.42210155319999998</v>
      </c>
      <c r="K2" s="24">
        <v>0.43233383520000002</v>
      </c>
      <c r="L2" s="24">
        <v>0.42674825399999999</v>
      </c>
      <c r="M2" s="24">
        <v>0.37743431319999998</v>
      </c>
      <c r="N2" s="24">
        <v>0.42696289440000001</v>
      </c>
      <c r="O2" s="24">
        <v>0.39248484480000001</v>
      </c>
      <c r="P2" s="24">
        <v>0.37904653840000002</v>
      </c>
      <c r="Q2" s="24">
        <v>0.38804272519999999</v>
      </c>
      <c r="R2" s="24">
        <v>0.4364218936</v>
      </c>
      <c r="S2" s="24">
        <v>0.27592463319999999</v>
      </c>
      <c r="T2" s="24">
        <v>0.19846259720000001</v>
      </c>
      <c r="U2" s="25">
        <v>0.1658218944</v>
      </c>
      <c r="V2" s="25">
        <v>0.18584777</v>
      </c>
      <c r="W2" s="24">
        <v>0.15981630960000001</v>
      </c>
      <c r="X2" s="24">
        <v>0.16330080120000001</v>
      </c>
      <c r="Y2" s="24">
        <v>0.12740820080000001</v>
      </c>
      <c r="Z2" s="24">
        <v>9.5383531199999996E-2</v>
      </c>
      <c r="AA2" s="26">
        <v>0.11545023879999999</v>
      </c>
    </row>
    <row r="7" spans="1:27" ht="15.6" x14ac:dyDescent="0.35">
      <c r="A7" t="s">
        <v>274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K58"/>
  <sheetViews>
    <sheetView topLeftCell="A7" workbookViewId="0">
      <selection activeCell="D35" sqref="D35"/>
    </sheetView>
  </sheetViews>
  <sheetFormatPr defaultColWidth="9" defaultRowHeight="13.8" x14ac:dyDescent="0.25"/>
  <cols>
    <col min="1" max="1" width="7.109375" style="17" customWidth="1"/>
    <col min="2" max="2" width="9.77734375" style="17" bestFit="1" customWidth="1"/>
    <col min="3" max="3" width="4.77734375" style="17" bestFit="1" customWidth="1"/>
    <col min="4" max="5" width="11" style="17" bestFit="1" customWidth="1"/>
    <col min="6" max="6" width="10.6640625" style="17" customWidth="1"/>
    <col min="7" max="7" width="12.6640625" style="17" customWidth="1"/>
    <col min="8" max="8" width="11.21875" style="17" customWidth="1"/>
    <col min="9" max="9" width="13.44140625" style="17" bestFit="1" customWidth="1"/>
    <col min="10" max="10" width="18" style="17" bestFit="1" customWidth="1"/>
    <col min="11" max="16384" width="9" style="17"/>
  </cols>
  <sheetData>
    <row r="1" spans="1:10" s="15" customFormat="1" ht="41.25" customHeight="1" x14ac:dyDescent="0.25">
      <c r="A1" s="38" t="s">
        <v>1</v>
      </c>
      <c r="B1" s="42" t="s">
        <v>2</v>
      </c>
      <c r="C1" s="42" t="s">
        <v>3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39" t="s">
        <v>286</v>
      </c>
    </row>
    <row r="2" spans="1:10" s="3" customFormat="1" x14ac:dyDescent="0.25">
      <c r="A2" s="45">
        <v>1</v>
      </c>
      <c r="B2" s="46" t="s">
        <v>4</v>
      </c>
      <c r="C2" s="47">
        <v>101</v>
      </c>
      <c r="D2" s="46">
        <v>1.5199999999999998</v>
      </c>
      <c r="E2" s="46">
        <v>0</v>
      </c>
      <c r="F2" s="46">
        <v>1.5199999999999998</v>
      </c>
      <c r="G2" s="46">
        <v>1.5199999999999998</v>
      </c>
      <c r="H2" s="46">
        <v>1.5199999999999998</v>
      </c>
      <c r="I2" s="46">
        <v>1.5199999999999998</v>
      </c>
      <c r="J2" s="48">
        <v>7.9920000000000009</v>
      </c>
    </row>
    <row r="3" spans="1:10" s="3" customFormat="1" x14ac:dyDescent="0.25">
      <c r="A3" s="45">
        <v>2</v>
      </c>
      <c r="B3" s="46" t="s">
        <v>296</v>
      </c>
      <c r="C3" s="47">
        <v>102</v>
      </c>
      <c r="D3" s="46">
        <v>1.5199999999999998</v>
      </c>
      <c r="E3" s="46">
        <v>0</v>
      </c>
      <c r="F3" s="46">
        <v>1.5199999999999998</v>
      </c>
      <c r="G3" s="46">
        <v>1.5199999999999998</v>
      </c>
      <c r="H3" s="46">
        <v>1.5199999999999998</v>
      </c>
      <c r="I3" s="46">
        <v>1.5199999999999998</v>
      </c>
      <c r="J3" s="48">
        <f>J2+0.5</f>
        <v>8.4920000000000009</v>
      </c>
    </row>
    <row r="4" spans="1:10" s="3" customFormat="1" x14ac:dyDescent="0.25">
      <c r="A4" s="45">
        <v>3</v>
      </c>
      <c r="B4" s="46" t="s">
        <v>297</v>
      </c>
      <c r="C4" s="47">
        <v>107</v>
      </c>
      <c r="D4" s="46">
        <v>3.5</v>
      </c>
      <c r="E4" s="46">
        <v>0</v>
      </c>
      <c r="F4" s="46">
        <v>3.5</v>
      </c>
      <c r="G4" s="46">
        <v>3.5</v>
      </c>
      <c r="H4" s="46">
        <v>3.5</v>
      </c>
      <c r="I4" s="46">
        <v>3.5</v>
      </c>
      <c r="J4" s="48">
        <v>12.42</v>
      </c>
    </row>
    <row r="5" spans="1:10" s="3" customFormat="1" x14ac:dyDescent="0.25">
      <c r="A5" s="45">
        <v>4</v>
      </c>
      <c r="B5" s="46" t="s">
        <v>78</v>
      </c>
      <c r="C5" s="47">
        <v>113</v>
      </c>
      <c r="D5" s="46">
        <v>5.91</v>
      </c>
      <c r="E5" s="46">
        <v>0</v>
      </c>
      <c r="F5" s="46">
        <v>5.91</v>
      </c>
      <c r="G5" s="46">
        <v>5.91</v>
      </c>
      <c r="H5" s="46">
        <v>5.91</v>
      </c>
      <c r="I5" s="46">
        <v>5.91</v>
      </c>
      <c r="J5" s="48">
        <v>12.558</v>
      </c>
    </row>
    <row r="6" spans="1:10" s="3" customFormat="1" x14ac:dyDescent="0.25">
      <c r="A6" s="45">
        <v>5</v>
      </c>
      <c r="B6" s="46" t="s">
        <v>298</v>
      </c>
      <c r="C6" s="47">
        <v>115</v>
      </c>
      <c r="D6" s="46">
        <v>2.15</v>
      </c>
      <c r="E6" s="46">
        <v>0</v>
      </c>
      <c r="F6" s="46">
        <v>2.15</v>
      </c>
      <c r="G6" s="46">
        <v>2.15</v>
      </c>
      <c r="H6" s="46">
        <v>2.15</v>
      </c>
      <c r="I6" s="46">
        <v>2.15</v>
      </c>
      <c r="J6" s="49">
        <v>15.665999999999999</v>
      </c>
    </row>
    <row r="7" spans="1:10" s="3" customFormat="1" x14ac:dyDescent="0.25">
      <c r="A7" s="45">
        <v>7</v>
      </c>
      <c r="B7" s="46" t="s">
        <v>79</v>
      </c>
      <c r="C7" s="47">
        <v>116</v>
      </c>
      <c r="D7" s="46">
        <v>1.55</v>
      </c>
      <c r="E7" s="46">
        <v>0</v>
      </c>
      <c r="F7" s="46">
        <v>1.55</v>
      </c>
      <c r="G7" s="46">
        <v>1.55</v>
      </c>
      <c r="H7" s="46">
        <v>1.55</v>
      </c>
      <c r="I7" s="46">
        <v>1.55</v>
      </c>
      <c r="J7" s="48">
        <v>6.3119999999999994</v>
      </c>
    </row>
    <row r="8" spans="1:10" s="3" customFormat="1" x14ac:dyDescent="0.25">
      <c r="A8" s="45">
        <v>8</v>
      </c>
      <c r="B8" s="46" t="s">
        <v>80</v>
      </c>
      <c r="C8" s="47">
        <v>118</v>
      </c>
      <c r="D8" s="46">
        <v>4</v>
      </c>
      <c r="E8" s="46">
        <v>0</v>
      </c>
      <c r="F8" s="46">
        <v>4</v>
      </c>
      <c r="G8" s="46">
        <v>4</v>
      </c>
      <c r="H8" s="46">
        <v>4</v>
      </c>
      <c r="I8" s="46">
        <v>4</v>
      </c>
      <c r="J8" s="48">
        <v>3.6120000000000001</v>
      </c>
    </row>
    <row r="9" spans="1:10" s="3" customFormat="1" x14ac:dyDescent="0.25">
      <c r="A9" s="45">
        <v>9</v>
      </c>
      <c r="B9" s="46" t="s">
        <v>81</v>
      </c>
      <c r="C9" s="47">
        <v>121</v>
      </c>
      <c r="D9" s="46">
        <v>4</v>
      </c>
      <c r="E9" s="46">
        <v>0</v>
      </c>
      <c r="F9" s="46">
        <v>4</v>
      </c>
      <c r="G9" s="46">
        <v>4</v>
      </c>
      <c r="H9" s="46">
        <v>4</v>
      </c>
      <c r="I9" s="46">
        <v>4</v>
      </c>
      <c r="J9" s="48">
        <v>3.282</v>
      </c>
    </row>
    <row r="10" spans="1:10" s="3" customFormat="1" x14ac:dyDescent="0.25">
      <c r="A10" s="45">
        <v>10</v>
      </c>
      <c r="B10" s="46" t="s">
        <v>82</v>
      </c>
      <c r="C10" s="47">
        <v>122</v>
      </c>
      <c r="D10" s="46">
        <v>2.9999999999999996</v>
      </c>
      <c r="E10" s="46">
        <v>0</v>
      </c>
      <c r="F10" s="46">
        <v>2.9999999999999996</v>
      </c>
      <c r="G10" s="46">
        <v>2.9999999999999996</v>
      </c>
      <c r="H10" s="46">
        <v>2.9999999999999996</v>
      </c>
      <c r="I10" s="46">
        <v>2.9999999999999996</v>
      </c>
      <c r="J10" s="48">
        <f>J7+0.5</f>
        <v>6.8119999999999994</v>
      </c>
    </row>
    <row r="11" spans="1:10" s="3" customFormat="1" x14ac:dyDescent="0.25">
      <c r="A11" s="45">
        <v>11</v>
      </c>
      <c r="B11" s="46" t="s">
        <v>299</v>
      </c>
      <c r="C11" s="50">
        <v>123</v>
      </c>
      <c r="D11" s="46">
        <v>6.6</v>
      </c>
      <c r="E11" s="46">
        <v>0</v>
      </c>
      <c r="F11" s="46">
        <v>6.6</v>
      </c>
      <c r="G11" s="46">
        <v>6.6</v>
      </c>
      <c r="H11" s="46">
        <v>6.6</v>
      </c>
      <c r="I11" s="46">
        <v>6.6</v>
      </c>
      <c r="J11" s="48">
        <v>6.4290000000000003</v>
      </c>
    </row>
    <row r="12" spans="1:10" s="3" customFormat="1" x14ac:dyDescent="0.25">
      <c r="A12" s="45">
        <v>1</v>
      </c>
      <c r="B12" s="46" t="s">
        <v>4</v>
      </c>
      <c r="C12" s="47">
        <v>201</v>
      </c>
      <c r="D12" s="46">
        <v>1.5199999999999998</v>
      </c>
      <c r="E12" s="46">
        <v>0</v>
      </c>
      <c r="F12" s="46">
        <v>1.5199999999999998</v>
      </c>
      <c r="G12" s="46">
        <v>1.5199999999999998</v>
      </c>
      <c r="H12" s="46">
        <v>1.5199999999999998</v>
      </c>
      <c r="I12" s="46">
        <v>1.5199999999999998</v>
      </c>
      <c r="J12" s="48">
        <v>7.9920000000000009</v>
      </c>
    </row>
    <row r="13" spans="1:10" s="3" customFormat="1" x14ac:dyDescent="0.25">
      <c r="A13" s="45">
        <v>2</v>
      </c>
      <c r="B13" s="46" t="s">
        <v>296</v>
      </c>
      <c r="C13" s="47">
        <v>202</v>
      </c>
      <c r="D13" s="46">
        <v>1.5199999999999998</v>
      </c>
      <c r="E13" s="46">
        <v>0</v>
      </c>
      <c r="F13" s="46">
        <v>1.5199999999999998</v>
      </c>
      <c r="G13" s="46">
        <v>1.5199999999999998</v>
      </c>
      <c r="H13" s="46">
        <v>1.5199999999999998</v>
      </c>
      <c r="I13" s="46">
        <v>1.5199999999999998</v>
      </c>
      <c r="J13" s="48">
        <f>J12+0.5</f>
        <v>8.4920000000000009</v>
      </c>
    </row>
    <row r="14" spans="1:10" s="3" customFormat="1" x14ac:dyDescent="0.25">
      <c r="A14" s="45">
        <v>3</v>
      </c>
      <c r="B14" s="46" t="s">
        <v>297</v>
      </c>
      <c r="C14" s="47">
        <v>207</v>
      </c>
      <c r="D14" s="46">
        <v>3.5</v>
      </c>
      <c r="E14" s="46">
        <v>0</v>
      </c>
      <c r="F14" s="46">
        <v>3.5</v>
      </c>
      <c r="G14" s="46">
        <v>3.5</v>
      </c>
      <c r="H14" s="46">
        <v>3.5</v>
      </c>
      <c r="I14" s="46">
        <v>3.5</v>
      </c>
      <c r="J14" s="48">
        <v>12.42</v>
      </c>
    </row>
    <row r="15" spans="1:10" s="3" customFormat="1" x14ac:dyDescent="0.25">
      <c r="A15" s="45">
        <v>4</v>
      </c>
      <c r="B15" s="46" t="s">
        <v>78</v>
      </c>
      <c r="C15" s="47">
        <v>213</v>
      </c>
      <c r="D15" s="46">
        <v>5.91</v>
      </c>
      <c r="E15" s="46">
        <v>0</v>
      </c>
      <c r="F15" s="46">
        <v>5.91</v>
      </c>
      <c r="G15" s="46">
        <v>5.91</v>
      </c>
      <c r="H15" s="46">
        <v>5.91</v>
      </c>
      <c r="I15" s="46">
        <v>5.91</v>
      </c>
      <c r="J15" s="48">
        <v>12.558</v>
      </c>
    </row>
    <row r="16" spans="1:10" s="3" customFormat="1" x14ac:dyDescent="0.25">
      <c r="A16" s="45">
        <v>5</v>
      </c>
      <c r="B16" s="46" t="s">
        <v>298</v>
      </c>
      <c r="C16" s="47">
        <v>215</v>
      </c>
      <c r="D16" s="46">
        <v>2.15</v>
      </c>
      <c r="E16" s="46">
        <v>0</v>
      </c>
      <c r="F16" s="46">
        <v>2.15</v>
      </c>
      <c r="G16" s="46">
        <v>2.15</v>
      </c>
      <c r="H16" s="46">
        <v>2.15</v>
      </c>
      <c r="I16" s="46">
        <v>2.15</v>
      </c>
      <c r="J16" s="49">
        <v>15.665999999999999</v>
      </c>
    </row>
    <row r="17" spans="1:10" s="3" customFormat="1" x14ac:dyDescent="0.25">
      <c r="A17" s="45">
        <v>7</v>
      </c>
      <c r="B17" s="46" t="s">
        <v>79</v>
      </c>
      <c r="C17" s="47">
        <v>216</v>
      </c>
      <c r="D17" s="46">
        <v>1.55</v>
      </c>
      <c r="E17" s="46">
        <v>0</v>
      </c>
      <c r="F17" s="46">
        <v>1.55</v>
      </c>
      <c r="G17" s="46">
        <v>1.55</v>
      </c>
      <c r="H17" s="46">
        <v>1.55</v>
      </c>
      <c r="I17" s="46">
        <v>1.55</v>
      </c>
      <c r="J17" s="48">
        <v>6.3119999999999994</v>
      </c>
    </row>
    <row r="18" spans="1:10" s="3" customFormat="1" x14ac:dyDescent="0.25">
      <c r="A18" s="45">
        <v>8</v>
      </c>
      <c r="B18" s="46" t="s">
        <v>80</v>
      </c>
      <c r="C18" s="47">
        <v>218</v>
      </c>
      <c r="D18" s="46">
        <v>4</v>
      </c>
      <c r="E18" s="46">
        <v>0</v>
      </c>
      <c r="F18" s="46">
        <v>4</v>
      </c>
      <c r="G18" s="46">
        <v>4</v>
      </c>
      <c r="H18" s="46">
        <v>4</v>
      </c>
      <c r="I18" s="46">
        <v>4</v>
      </c>
      <c r="J18" s="48">
        <v>3.6120000000000001</v>
      </c>
    </row>
    <row r="19" spans="1:10" s="3" customFormat="1" x14ac:dyDescent="0.25">
      <c r="A19" s="45">
        <v>9</v>
      </c>
      <c r="B19" s="46" t="s">
        <v>81</v>
      </c>
      <c r="C19" s="47">
        <v>221</v>
      </c>
      <c r="D19" s="46">
        <v>4</v>
      </c>
      <c r="E19" s="46">
        <v>0</v>
      </c>
      <c r="F19" s="46">
        <v>4</v>
      </c>
      <c r="G19" s="46">
        <v>4</v>
      </c>
      <c r="H19" s="46">
        <v>4</v>
      </c>
      <c r="I19" s="46">
        <v>4</v>
      </c>
      <c r="J19" s="48">
        <v>3.282</v>
      </c>
    </row>
    <row r="20" spans="1:10" s="3" customFormat="1" x14ac:dyDescent="0.25">
      <c r="A20" s="45">
        <v>10</v>
      </c>
      <c r="B20" s="46" t="s">
        <v>82</v>
      </c>
      <c r="C20" s="47">
        <v>222</v>
      </c>
      <c r="D20" s="46">
        <v>2.9999999999999996</v>
      </c>
      <c r="E20" s="46">
        <v>0</v>
      </c>
      <c r="F20" s="46">
        <v>2.9999999999999996</v>
      </c>
      <c r="G20" s="46">
        <v>2.9999999999999996</v>
      </c>
      <c r="H20" s="46">
        <v>2.9999999999999996</v>
      </c>
      <c r="I20" s="46">
        <v>2.9999999999999996</v>
      </c>
      <c r="J20" s="48">
        <f>J17+0.5</f>
        <v>6.8119999999999994</v>
      </c>
    </row>
    <row r="21" spans="1:10" s="3" customFormat="1" x14ac:dyDescent="0.25">
      <c r="A21" s="45">
        <v>11</v>
      </c>
      <c r="B21" s="46" t="s">
        <v>299</v>
      </c>
      <c r="C21" s="50">
        <v>223</v>
      </c>
      <c r="D21" s="46">
        <v>6.6</v>
      </c>
      <c r="E21" s="46">
        <v>0</v>
      </c>
      <c r="F21" s="46">
        <v>6.6</v>
      </c>
      <c r="G21" s="46">
        <v>6.6</v>
      </c>
      <c r="H21" s="46">
        <v>6.6</v>
      </c>
      <c r="I21" s="46">
        <v>6.6</v>
      </c>
      <c r="J21" s="48">
        <v>6.4290000000000003</v>
      </c>
    </row>
    <row r="22" spans="1:10" s="3" customFormat="1" x14ac:dyDescent="0.25">
      <c r="A22" s="45">
        <v>1</v>
      </c>
      <c r="B22" s="46" t="s">
        <v>4</v>
      </c>
      <c r="C22" s="47">
        <v>301</v>
      </c>
      <c r="D22" s="46">
        <v>1.5199999999999998</v>
      </c>
      <c r="E22" s="46">
        <v>0</v>
      </c>
      <c r="F22" s="46">
        <v>1.5199999999999998</v>
      </c>
      <c r="G22" s="46">
        <v>1.5199999999999998</v>
      </c>
      <c r="H22" s="46">
        <v>1.5199999999999998</v>
      </c>
      <c r="I22" s="46">
        <v>1.5199999999999998</v>
      </c>
      <c r="J22" s="48">
        <v>7.9920000000000009</v>
      </c>
    </row>
    <row r="23" spans="1:10" s="3" customFormat="1" x14ac:dyDescent="0.25">
      <c r="A23" s="45">
        <v>2</v>
      </c>
      <c r="B23" s="46" t="s">
        <v>296</v>
      </c>
      <c r="C23" s="47">
        <v>302</v>
      </c>
      <c r="D23" s="46">
        <v>1.5199999999999998</v>
      </c>
      <c r="E23" s="46">
        <v>0</v>
      </c>
      <c r="F23" s="46">
        <v>1.5199999999999998</v>
      </c>
      <c r="G23" s="46">
        <v>1.5199999999999998</v>
      </c>
      <c r="H23" s="46">
        <v>1.5199999999999998</v>
      </c>
      <c r="I23" s="46">
        <v>1.5199999999999998</v>
      </c>
      <c r="J23" s="48">
        <f>J22+0.5</f>
        <v>8.4920000000000009</v>
      </c>
    </row>
    <row r="24" spans="1:10" s="3" customFormat="1" x14ac:dyDescent="0.25">
      <c r="A24" s="45">
        <v>3</v>
      </c>
      <c r="B24" s="46" t="s">
        <v>297</v>
      </c>
      <c r="C24" s="47">
        <v>307</v>
      </c>
      <c r="D24" s="46">
        <v>3.5</v>
      </c>
      <c r="E24" s="46">
        <v>0</v>
      </c>
      <c r="F24" s="46">
        <v>3.5</v>
      </c>
      <c r="G24" s="46">
        <v>3.5</v>
      </c>
      <c r="H24" s="46">
        <v>3.5</v>
      </c>
      <c r="I24" s="46">
        <v>3.5</v>
      </c>
      <c r="J24" s="48">
        <v>12.42</v>
      </c>
    </row>
    <row r="25" spans="1:10" s="3" customFormat="1" x14ac:dyDescent="0.25">
      <c r="A25" s="45">
        <v>4</v>
      </c>
      <c r="B25" s="46" t="s">
        <v>78</v>
      </c>
      <c r="C25" s="47">
        <v>313</v>
      </c>
      <c r="D25" s="46">
        <v>5.91</v>
      </c>
      <c r="E25" s="46">
        <v>0</v>
      </c>
      <c r="F25" s="46">
        <v>5.91</v>
      </c>
      <c r="G25" s="46">
        <v>5.91</v>
      </c>
      <c r="H25" s="46">
        <v>5.91</v>
      </c>
      <c r="I25" s="46">
        <v>5.91</v>
      </c>
      <c r="J25" s="48">
        <v>12.558</v>
      </c>
    </row>
    <row r="26" spans="1:10" s="3" customFormat="1" x14ac:dyDescent="0.25">
      <c r="A26" s="45">
        <v>5</v>
      </c>
      <c r="B26" s="46" t="s">
        <v>298</v>
      </c>
      <c r="C26" s="47">
        <v>315</v>
      </c>
      <c r="D26" s="46">
        <v>2.15</v>
      </c>
      <c r="E26" s="46">
        <v>0</v>
      </c>
      <c r="F26" s="46">
        <v>2.15</v>
      </c>
      <c r="G26" s="46">
        <v>2.15</v>
      </c>
      <c r="H26" s="46">
        <v>2.15</v>
      </c>
      <c r="I26" s="46">
        <v>2.15</v>
      </c>
      <c r="J26" s="49">
        <v>15.665999999999999</v>
      </c>
    </row>
    <row r="27" spans="1:10" s="3" customFormat="1" x14ac:dyDescent="0.25">
      <c r="A27" s="45">
        <v>7</v>
      </c>
      <c r="B27" s="46" t="s">
        <v>79</v>
      </c>
      <c r="C27" s="47">
        <v>316</v>
      </c>
      <c r="D27" s="46">
        <v>1.55</v>
      </c>
      <c r="E27" s="46">
        <v>0</v>
      </c>
      <c r="F27" s="46">
        <v>1.55</v>
      </c>
      <c r="G27" s="46">
        <v>1.55</v>
      </c>
      <c r="H27" s="46">
        <v>1.55</v>
      </c>
      <c r="I27" s="46">
        <v>1.55</v>
      </c>
      <c r="J27" s="48">
        <v>6.3119999999999994</v>
      </c>
    </row>
    <row r="28" spans="1:10" s="3" customFormat="1" x14ac:dyDescent="0.25">
      <c r="A28" s="45">
        <v>8</v>
      </c>
      <c r="B28" s="46" t="s">
        <v>80</v>
      </c>
      <c r="C28" s="47">
        <v>318</v>
      </c>
      <c r="D28" s="46">
        <v>4</v>
      </c>
      <c r="E28" s="46">
        <v>0</v>
      </c>
      <c r="F28" s="46">
        <v>4</v>
      </c>
      <c r="G28" s="46">
        <v>4</v>
      </c>
      <c r="H28" s="46">
        <v>4</v>
      </c>
      <c r="I28" s="46">
        <v>4</v>
      </c>
      <c r="J28" s="48">
        <v>3.6120000000000001</v>
      </c>
    </row>
    <row r="29" spans="1:10" s="3" customFormat="1" x14ac:dyDescent="0.25">
      <c r="A29" s="45">
        <v>9</v>
      </c>
      <c r="B29" s="46" t="s">
        <v>81</v>
      </c>
      <c r="C29" s="47">
        <v>321</v>
      </c>
      <c r="D29" s="46">
        <v>4</v>
      </c>
      <c r="E29" s="46">
        <v>0</v>
      </c>
      <c r="F29" s="46">
        <v>4</v>
      </c>
      <c r="G29" s="46">
        <v>4</v>
      </c>
      <c r="H29" s="46">
        <v>4</v>
      </c>
      <c r="I29" s="46">
        <v>4</v>
      </c>
      <c r="J29" s="48">
        <v>3.282</v>
      </c>
    </row>
    <row r="30" spans="1:10" s="3" customFormat="1" x14ac:dyDescent="0.25">
      <c r="A30" s="45">
        <v>10</v>
      </c>
      <c r="B30" s="46" t="s">
        <v>82</v>
      </c>
      <c r="C30" s="47">
        <v>322</v>
      </c>
      <c r="D30" s="46">
        <v>2.9999999999999996</v>
      </c>
      <c r="E30" s="46">
        <v>0</v>
      </c>
      <c r="F30" s="46">
        <v>2.9999999999999996</v>
      </c>
      <c r="G30" s="46">
        <v>2.9999999999999996</v>
      </c>
      <c r="H30" s="46">
        <v>2.9999999999999996</v>
      </c>
      <c r="I30" s="46">
        <v>2.9999999999999996</v>
      </c>
      <c r="J30" s="48">
        <f>J27+0.5</f>
        <v>6.8119999999999994</v>
      </c>
    </row>
    <row r="31" spans="1:10" s="3" customFormat="1" x14ac:dyDescent="0.25">
      <c r="A31" s="51">
        <v>11</v>
      </c>
      <c r="B31" s="52" t="s">
        <v>299</v>
      </c>
      <c r="C31" s="53">
        <v>323</v>
      </c>
      <c r="D31" s="52">
        <v>6.6</v>
      </c>
      <c r="E31" s="52">
        <v>0</v>
      </c>
      <c r="F31" s="52">
        <v>6.6</v>
      </c>
      <c r="G31" s="52">
        <v>6.6</v>
      </c>
      <c r="H31" s="52">
        <v>6.6</v>
      </c>
      <c r="I31" s="52">
        <v>6.6</v>
      </c>
      <c r="J31" s="54">
        <v>6.4290000000000003</v>
      </c>
    </row>
    <row r="32" spans="1:10" x14ac:dyDescent="0.25">
      <c r="A32" s="28"/>
      <c r="B32" s="28"/>
      <c r="C32" s="55"/>
      <c r="D32" s="28"/>
      <c r="E32" s="28"/>
      <c r="F32" s="16"/>
      <c r="G32" s="16"/>
      <c r="H32" s="16"/>
      <c r="I32" s="16"/>
      <c r="J32" s="16"/>
    </row>
    <row r="33" spans="1:10" x14ac:dyDescent="0.25">
      <c r="A33" s="28"/>
      <c r="B33" s="28"/>
      <c r="C33" s="55"/>
      <c r="D33" s="28"/>
      <c r="E33" s="28"/>
      <c r="F33" s="16"/>
      <c r="G33" s="16"/>
      <c r="H33" s="16"/>
      <c r="I33" s="16"/>
      <c r="J33" s="16"/>
    </row>
    <row r="34" spans="1:10" x14ac:dyDescent="0.25">
      <c r="A34" s="28"/>
      <c r="B34" s="28"/>
      <c r="C34" s="55"/>
      <c r="D34" s="28"/>
      <c r="E34" s="28"/>
      <c r="F34" s="16"/>
      <c r="G34" s="16"/>
      <c r="H34" s="16"/>
      <c r="I34" s="16"/>
      <c r="J34" s="16"/>
    </row>
    <row r="35" spans="1:10" x14ac:dyDescent="0.25">
      <c r="A35" s="28"/>
      <c r="B35" s="28"/>
      <c r="C35" s="55"/>
      <c r="D35" s="28"/>
      <c r="E35" s="28"/>
      <c r="F35" s="16"/>
      <c r="G35" s="16"/>
      <c r="H35" s="16"/>
      <c r="I35" s="16"/>
      <c r="J35" s="29"/>
    </row>
    <row r="36" spans="1:10" x14ac:dyDescent="0.25">
      <c r="A36" s="28"/>
      <c r="B36" s="28"/>
      <c r="C36" s="55"/>
      <c r="D36" s="28"/>
      <c r="E36" s="28"/>
      <c r="F36" s="16"/>
      <c r="G36" s="16"/>
      <c r="H36" s="16"/>
      <c r="I36" s="16"/>
      <c r="J36" s="16"/>
    </row>
    <row r="37" spans="1:10" x14ac:dyDescent="0.25">
      <c r="A37" s="28"/>
      <c r="B37" s="28"/>
      <c r="C37" s="55"/>
      <c r="D37" s="28"/>
      <c r="E37" s="28"/>
      <c r="F37" s="16"/>
      <c r="G37" s="16"/>
      <c r="H37" s="16"/>
      <c r="I37" s="16"/>
      <c r="J37" s="16"/>
    </row>
    <row r="38" spans="1:10" x14ac:dyDescent="0.25">
      <c r="A38" s="55"/>
      <c r="B38" s="55"/>
      <c r="C38" s="55"/>
      <c r="D38" s="55"/>
      <c r="E38" s="56"/>
      <c r="F38"/>
      <c r="G38"/>
      <c r="H38"/>
      <c r="I38"/>
    </row>
    <row r="39" spans="1:10" x14ac:dyDescent="0.25">
      <c r="A39" s="55"/>
      <c r="B39" s="55"/>
      <c r="C39" s="55"/>
      <c r="D39" s="55"/>
      <c r="E39" s="55"/>
    </row>
    <row r="40" spans="1:10" x14ac:dyDescent="0.25">
      <c r="A40" s="55"/>
      <c r="B40" s="55"/>
      <c r="C40" s="55"/>
      <c r="D40" s="55"/>
      <c r="E40" s="55"/>
    </row>
    <row r="41" spans="1:10" x14ac:dyDescent="0.25">
      <c r="A41" s="55"/>
      <c r="B41" s="55"/>
      <c r="C41" s="55"/>
      <c r="D41" s="55"/>
      <c r="E41" s="55"/>
    </row>
    <row r="42" spans="1:10" x14ac:dyDescent="0.25">
      <c r="A42" s="55"/>
      <c r="B42" s="55"/>
      <c r="C42" s="55"/>
      <c r="D42" s="55"/>
      <c r="E42" s="55"/>
    </row>
    <row r="43" spans="1:10" x14ac:dyDescent="0.25">
      <c r="A43" s="55"/>
      <c r="B43" s="55"/>
      <c r="C43" s="55"/>
      <c r="D43" s="55"/>
      <c r="E43" s="55"/>
    </row>
    <row r="44" spans="1:10" x14ac:dyDescent="0.25">
      <c r="A44" s="55"/>
      <c r="B44" s="55"/>
      <c r="C44" s="55"/>
      <c r="D44" s="55"/>
      <c r="E44" s="55"/>
    </row>
    <row r="45" spans="1:10" x14ac:dyDescent="0.25">
      <c r="A45" s="55"/>
      <c r="B45" s="55"/>
      <c r="C45" s="55"/>
      <c r="D45" s="55"/>
      <c r="E45" s="56"/>
      <c r="F45"/>
      <c r="G45"/>
      <c r="H45"/>
      <c r="I45"/>
    </row>
    <row r="46" spans="1:10" x14ac:dyDescent="0.25">
      <c r="A46" s="55"/>
      <c r="B46" s="55"/>
      <c r="C46" s="55"/>
      <c r="D46" s="55"/>
      <c r="E46" s="56"/>
      <c r="F46"/>
      <c r="G46"/>
      <c r="H46"/>
      <c r="I46"/>
    </row>
    <row r="47" spans="1:10" x14ac:dyDescent="0.25">
      <c r="A47" s="55"/>
      <c r="B47" s="55"/>
      <c r="C47" s="55"/>
      <c r="D47" s="55"/>
      <c r="E47" s="55"/>
    </row>
    <row r="48" spans="1:10" x14ac:dyDescent="0.25">
      <c r="A48" s="55"/>
      <c r="B48" s="55"/>
      <c r="C48" s="55"/>
      <c r="D48" s="55"/>
      <c r="E48" s="55"/>
    </row>
    <row r="57" spans="6:11" ht="15.6" x14ac:dyDescent="0.4">
      <c r="F57" s="19"/>
      <c r="G57" s="19"/>
      <c r="H57" s="19"/>
      <c r="I57" s="19"/>
      <c r="J57" s="19"/>
      <c r="K57" s="19"/>
    </row>
    <row r="58" spans="6:11" x14ac:dyDescent="0.25">
      <c r="F5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K14"/>
  <sheetViews>
    <sheetView workbookViewId="0">
      <selection activeCell="G6" sqref="G6"/>
    </sheetView>
  </sheetViews>
  <sheetFormatPr defaultColWidth="9" defaultRowHeight="13.8" x14ac:dyDescent="0.25"/>
  <cols>
    <col min="1" max="3" width="9" style="16"/>
    <col min="4" max="4" width="8.6640625" style="16" bestFit="1" customWidth="1"/>
    <col min="5" max="5" width="11.44140625" style="16" bestFit="1" customWidth="1"/>
    <col min="6" max="6" width="14.33203125" style="16" customWidth="1"/>
    <col min="7" max="7" width="9" style="16"/>
    <col min="8" max="8" width="13.21875" style="16" customWidth="1"/>
    <col min="9" max="10" width="14.88671875" style="16" customWidth="1"/>
    <col min="11" max="11" width="14.109375" style="16" customWidth="1"/>
    <col min="12" max="16384" width="9" style="16"/>
  </cols>
  <sheetData>
    <row r="1" spans="1:11" s="14" customFormat="1" ht="55.2" x14ac:dyDescent="0.25">
      <c r="A1" s="38" t="s">
        <v>1</v>
      </c>
      <c r="B1" s="42" t="s">
        <v>2</v>
      </c>
      <c r="C1" s="42" t="s">
        <v>3</v>
      </c>
      <c r="D1" s="42" t="s">
        <v>280</v>
      </c>
      <c r="E1" s="42" t="s">
        <v>281</v>
      </c>
      <c r="F1" s="42" t="s">
        <v>288</v>
      </c>
      <c r="G1" s="42" t="s">
        <v>72</v>
      </c>
      <c r="H1" s="42" t="s">
        <v>74</v>
      </c>
      <c r="I1" s="42" t="s">
        <v>75</v>
      </c>
      <c r="J1" s="42" t="s">
        <v>272</v>
      </c>
      <c r="K1" s="39" t="s">
        <v>287</v>
      </c>
    </row>
    <row r="2" spans="1:11" x14ac:dyDescent="0.25">
      <c r="A2" s="45">
        <v>1</v>
      </c>
      <c r="B2" s="46" t="s">
        <v>5</v>
      </c>
      <c r="C2" s="46">
        <v>105</v>
      </c>
      <c r="D2" s="46">
        <v>0.2</v>
      </c>
      <c r="E2" s="46">
        <v>0</v>
      </c>
      <c r="F2" s="57">
        <v>100000</v>
      </c>
      <c r="G2" s="46">
        <v>25</v>
      </c>
      <c r="H2" s="46">
        <v>0</v>
      </c>
      <c r="I2" s="46">
        <v>1</v>
      </c>
      <c r="J2" s="46">
        <v>50</v>
      </c>
      <c r="K2" s="48">
        <v>0</v>
      </c>
    </row>
    <row r="3" spans="1:11" x14ac:dyDescent="0.25">
      <c r="A3" s="51">
        <v>2</v>
      </c>
      <c r="B3" s="52" t="s">
        <v>295</v>
      </c>
      <c r="C3" s="52">
        <v>207</v>
      </c>
      <c r="D3" s="52">
        <v>0.2</v>
      </c>
      <c r="E3" s="52">
        <v>0</v>
      </c>
      <c r="F3" s="60">
        <v>100000</v>
      </c>
      <c r="G3" s="52">
        <v>25</v>
      </c>
      <c r="H3" s="52">
        <v>0</v>
      </c>
      <c r="I3" s="52">
        <v>1</v>
      </c>
      <c r="J3" s="52">
        <v>50</v>
      </c>
      <c r="K3" s="54">
        <v>0</v>
      </c>
    </row>
    <row r="12" spans="1:11" x14ac:dyDescent="0.25">
      <c r="A12" s="35"/>
    </row>
    <row r="13" spans="1:11" x14ac:dyDescent="0.25">
      <c r="A13" s="35"/>
    </row>
    <row r="14" spans="1:11" x14ac:dyDescent="0.25">
      <c r="A14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3"/>
  <sheetViews>
    <sheetView tabSelected="1" workbookViewId="0">
      <selection activeCell="A27" sqref="A27"/>
    </sheetView>
  </sheetViews>
  <sheetFormatPr defaultColWidth="9" defaultRowHeight="13.8" x14ac:dyDescent="0.25"/>
  <cols>
    <col min="1" max="1" width="9.77734375" style="16" customWidth="1"/>
    <col min="2" max="2" width="6.109375" style="16" customWidth="1"/>
    <col min="3" max="3" width="11" style="16" bestFit="1" customWidth="1"/>
    <col min="4" max="4" width="10.88671875" style="16" bestFit="1" customWidth="1"/>
    <col min="5" max="5" width="7.6640625" style="16" bestFit="1" customWidth="1"/>
    <col min="6" max="6" width="8" style="16" bestFit="1" customWidth="1"/>
    <col min="7" max="7" width="9" style="16"/>
    <col min="8" max="8" width="8.88671875" style="16" bestFit="1" customWidth="1"/>
    <col min="9" max="9" width="9" style="16"/>
    <col min="10" max="10" width="10.33203125" style="16" customWidth="1"/>
    <col min="11" max="12" width="8.88671875" style="16" customWidth="1"/>
    <col min="13" max="13" width="12.109375" style="16" customWidth="1"/>
    <col min="14" max="14" width="14.44140625" style="16" customWidth="1"/>
    <col min="15" max="15" width="17.6640625" style="16" customWidth="1"/>
    <col min="16" max="16" width="18.33203125" style="16" customWidth="1"/>
    <col min="17" max="17" width="12.44140625" style="16" customWidth="1"/>
    <col min="18" max="18" width="11.44140625" style="16" customWidth="1"/>
    <col min="19" max="16384" width="9" style="16"/>
  </cols>
  <sheetData>
    <row r="1" spans="1:18" ht="55.2" x14ac:dyDescent="0.25">
      <c r="A1" s="38" t="s">
        <v>1</v>
      </c>
      <c r="B1" s="42" t="s">
        <v>2</v>
      </c>
      <c r="C1" s="42" t="s">
        <v>3</v>
      </c>
      <c r="D1" s="42" t="s">
        <v>280</v>
      </c>
      <c r="E1" s="42" t="s">
        <v>289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290</v>
      </c>
      <c r="N1" s="42" t="s">
        <v>291</v>
      </c>
      <c r="O1" s="42" t="s">
        <v>292</v>
      </c>
      <c r="P1" s="42" t="s">
        <v>293</v>
      </c>
      <c r="Q1" s="58" t="s">
        <v>72</v>
      </c>
      <c r="R1" s="39" t="s">
        <v>272</v>
      </c>
    </row>
    <row r="2" spans="1:18" x14ac:dyDescent="0.25">
      <c r="A2" s="45">
        <v>1</v>
      </c>
      <c r="B2" s="46" t="s">
        <v>13</v>
      </c>
      <c r="C2" s="46">
        <v>105</v>
      </c>
      <c r="D2" s="46">
        <v>0.1</v>
      </c>
      <c r="E2" s="46">
        <v>0.4</v>
      </c>
      <c r="F2" s="61">
        <v>0.05</v>
      </c>
      <c r="G2" s="61">
        <v>0.95</v>
      </c>
      <c r="H2" s="61">
        <v>0.5</v>
      </c>
      <c r="I2" s="61">
        <v>0</v>
      </c>
      <c r="J2" s="46">
        <v>4</v>
      </c>
      <c r="K2" s="61">
        <v>0.95</v>
      </c>
      <c r="L2" s="61">
        <v>0.95</v>
      </c>
      <c r="M2" s="46">
        <v>0.1</v>
      </c>
      <c r="N2" s="46">
        <v>0.1</v>
      </c>
      <c r="O2" s="61">
        <v>21100</v>
      </c>
      <c r="P2" s="61">
        <v>18900</v>
      </c>
      <c r="Q2" s="46">
        <v>15</v>
      </c>
      <c r="R2" s="48">
        <v>20</v>
      </c>
    </row>
    <row r="3" spans="1:18" x14ac:dyDescent="0.25">
      <c r="A3" s="51">
        <v>2</v>
      </c>
      <c r="B3" s="52" t="s">
        <v>300</v>
      </c>
      <c r="C3" s="52">
        <v>207</v>
      </c>
      <c r="D3" s="52">
        <v>0.1</v>
      </c>
      <c r="E3" s="52">
        <v>0.4</v>
      </c>
      <c r="F3" s="62">
        <v>0.05</v>
      </c>
      <c r="G3" s="62">
        <v>0.95</v>
      </c>
      <c r="H3" s="62">
        <v>0.5</v>
      </c>
      <c r="I3" s="62">
        <v>0</v>
      </c>
      <c r="J3" s="52">
        <v>4</v>
      </c>
      <c r="K3" s="62">
        <v>0.95</v>
      </c>
      <c r="L3" s="62">
        <v>0.95</v>
      </c>
      <c r="M3" s="52">
        <v>0.1</v>
      </c>
      <c r="N3" s="52">
        <v>0.1</v>
      </c>
      <c r="O3" s="62">
        <v>21100</v>
      </c>
      <c r="P3" s="62">
        <v>18900</v>
      </c>
      <c r="Q3" s="52">
        <v>15</v>
      </c>
      <c r="R3" s="54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128"/>
  <sheetViews>
    <sheetView workbookViewId="0">
      <selection activeCell="K9" sqref="K9"/>
    </sheetView>
  </sheetViews>
  <sheetFormatPr defaultColWidth="8.88671875" defaultRowHeight="13.8" x14ac:dyDescent="0.25"/>
  <cols>
    <col min="1" max="1" width="8.88671875" style="1"/>
    <col min="2" max="2" width="6.77734375" style="1" bestFit="1" customWidth="1"/>
    <col min="3" max="3" width="9.44140625" style="1" bestFit="1" customWidth="1"/>
    <col min="4" max="4" width="10.88671875" style="1" bestFit="1" customWidth="1"/>
    <col min="5" max="6" width="8.88671875" style="1"/>
    <col min="7" max="7" width="11.33203125" style="1" bestFit="1" customWidth="1"/>
    <col min="8" max="8" width="22.21875" style="1" customWidth="1"/>
    <col min="9" max="9" width="8.33203125" style="1" bestFit="1" customWidth="1"/>
    <col min="10" max="16384" width="8.88671875" style="1"/>
  </cols>
  <sheetData>
    <row r="1" spans="1:12" x14ac:dyDescent="0.25">
      <c r="A1" s="64" t="s">
        <v>14</v>
      </c>
      <c r="B1" s="58" t="s">
        <v>15</v>
      </c>
      <c r="C1" s="58" t="s">
        <v>16</v>
      </c>
      <c r="D1" s="58" t="s">
        <v>17</v>
      </c>
      <c r="E1" s="58" t="s">
        <v>18</v>
      </c>
      <c r="F1" s="58" t="s">
        <v>19</v>
      </c>
      <c r="G1" s="58" t="s">
        <v>294</v>
      </c>
      <c r="H1" s="58" t="s">
        <v>83</v>
      </c>
      <c r="I1" s="59" t="s">
        <v>72</v>
      </c>
    </row>
    <row r="2" spans="1:12" x14ac:dyDescent="0.25">
      <c r="A2" s="45">
        <v>1</v>
      </c>
      <c r="B2" s="46">
        <v>1</v>
      </c>
      <c r="C2" s="46">
        <v>3</v>
      </c>
      <c r="D2" s="46">
        <v>101</v>
      </c>
      <c r="E2" s="46">
        <v>102</v>
      </c>
      <c r="F2" s="46">
        <v>1.46E-2</v>
      </c>
      <c r="G2" s="46">
        <f>1.225*(0.75/0.7)</f>
        <v>1.3125</v>
      </c>
      <c r="H2" s="46">
        <v>2850.0000000000005</v>
      </c>
      <c r="I2" s="48">
        <v>40</v>
      </c>
    </row>
    <row r="3" spans="1:12" x14ac:dyDescent="0.25">
      <c r="A3" s="45">
        <v>2</v>
      </c>
      <c r="B3" s="46">
        <v>1</v>
      </c>
      <c r="C3" s="46">
        <v>3</v>
      </c>
      <c r="D3" s="46">
        <v>101</v>
      </c>
      <c r="E3" s="46">
        <v>103</v>
      </c>
      <c r="F3" s="46">
        <v>0.2253</v>
      </c>
      <c r="G3" s="46">
        <f>1.225*(0.75/0.7)</f>
        <v>1.3125</v>
      </c>
      <c r="H3" s="46">
        <v>52250</v>
      </c>
      <c r="I3" s="48">
        <v>40</v>
      </c>
    </row>
    <row r="4" spans="1:12" x14ac:dyDescent="0.25">
      <c r="A4" s="45">
        <v>3</v>
      </c>
      <c r="B4" s="46">
        <v>0</v>
      </c>
      <c r="C4" s="46">
        <v>3</v>
      </c>
      <c r="D4" s="46">
        <v>101</v>
      </c>
      <c r="E4" s="46">
        <v>105</v>
      </c>
      <c r="F4" s="46">
        <v>9.0700000000000003E-2</v>
      </c>
      <c r="G4" s="46">
        <v>1</v>
      </c>
      <c r="H4" s="46">
        <v>20900</v>
      </c>
      <c r="I4" s="48">
        <v>40</v>
      </c>
    </row>
    <row r="5" spans="1:12" s="31" customFormat="1" x14ac:dyDescent="0.25">
      <c r="A5" s="45">
        <v>4</v>
      </c>
      <c r="B5" s="46">
        <v>1</v>
      </c>
      <c r="C5" s="46">
        <v>3</v>
      </c>
      <c r="D5" s="46">
        <v>102</v>
      </c>
      <c r="E5" s="46">
        <v>104</v>
      </c>
      <c r="F5" s="46">
        <v>0.1356</v>
      </c>
      <c r="G5" s="46">
        <f>1.225*(0.75/0.7)</f>
        <v>1.3125</v>
      </c>
      <c r="H5" s="46">
        <v>31350.000000000004</v>
      </c>
      <c r="I5" s="48">
        <v>40</v>
      </c>
    </row>
    <row r="6" spans="1:12" x14ac:dyDescent="0.25">
      <c r="A6" s="45">
        <v>5</v>
      </c>
      <c r="B6" s="46">
        <v>1</v>
      </c>
      <c r="C6" s="46">
        <v>3</v>
      </c>
      <c r="D6" s="46">
        <v>102</v>
      </c>
      <c r="E6" s="46">
        <v>106</v>
      </c>
      <c r="F6" s="46">
        <v>0.20499999999999999</v>
      </c>
      <c r="G6" s="46">
        <f>1.225*(0.75/0.7)</f>
        <v>1.3125</v>
      </c>
      <c r="H6" s="46">
        <v>47500</v>
      </c>
      <c r="I6" s="48">
        <v>40</v>
      </c>
    </row>
    <row r="7" spans="1:12" x14ac:dyDescent="0.25">
      <c r="A7" s="45">
        <v>6</v>
      </c>
      <c r="B7" s="46">
        <v>1</v>
      </c>
      <c r="C7" s="46">
        <v>3</v>
      </c>
      <c r="D7" s="46">
        <v>103</v>
      </c>
      <c r="E7" s="46">
        <v>109</v>
      </c>
      <c r="F7" s="46">
        <v>0.12709999999999999</v>
      </c>
      <c r="G7" s="46">
        <f>1.225*(0.75/0.7)</f>
        <v>1.3125</v>
      </c>
      <c r="H7" s="46">
        <v>29450</v>
      </c>
      <c r="I7" s="48">
        <v>40</v>
      </c>
    </row>
    <row r="8" spans="1:12" x14ac:dyDescent="0.25">
      <c r="A8" s="45">
        <v>7</v>
      </c>
      <c r="B8" s="46">
        <v>1</v>
      </c>
      <c r="C8" s="46">
        <v>3</v>
      </c>
      <c r="D8" s="46">
        <v>103</v>
      </c>
      <c r="E8" s="46">
        <v>124</v>
      </c>
      <c r="F8" s="46">
        <v>8.4000000000000005E-2</v>
      </c>
      <c r="G8" s="46">
        <f>2.8*(0.75/0.7)</f>
        <v>2.9999999999999996</v>
      </c>
      <c r="H8" s="46">
        <v>47500</v>
      </c>
      <c r="I8" s="48">
        <v>40</v>
      </c>
    </row>
    <row r="9" spans="1:12" s="31" customFormat="1" x14ac:dyDescent="0.25">
      <c r="A9" s="45">
        <v>8</v>
      </c>
      <c r="B9" s="46">
        <v>1</v>
      </c>
      <c r="C9" s="46">
        <v>3</v>
      </c>
      <c r="D9" s="46">
        <v>104</v>
      </c>
      <c r="E9" s="46">
        <v>109</v>
      </c>
      <c r="F9" s="46">
        <v>0.111</v>
      </c>
      <c r="G9" s="46">
        <f>1.225*(0.75/0.7)</f>
        <v>1.3125</v>
      </c>
      <c r="H9" s="46">
        <v>25650</v>
      </c>
      <c r="I9" s="48">
        <v>40</v>
      </c>
    </row>
    <row r="10" spans="1:12" x14ac:dyDescent="0.25">
      <c r="A10" s="45">
        <v>9</v>
      </c>
      <c r="B10" s="46">
        <v>0</v>
      </c>
      <c r="C10" s="46">
        <v>3</v>
      </c>
      <c r="D10" s="46">
        <v>105</v>
      </c>
      <c r="E10" s="46">
        <v>110</v>
      </c>
      <c r="F10" s="46">
        <v>9.4E-2</v>
      </c>
      <c r="G10" s="46">
        <v>1</v>
      </c>
      <c r="H10" s="46">
        <v>21850</v>
      </c>
      <c r="I10" s="48">
        <v>40</v>
      </c>
    </row>
    <row r="11" spans="1:12" x14ac:dyDescent="0.25">
      <c r="A11" s="45">
        <v>10</v>
      </c>
      <c r="B11" s="46">
        <v>1</v>
      </c>
      <c r="C11" s="46">
        <v>3</v>
      </c>
      <c r="D11" s="46">
        <v>106</v>
      </c>
      <c r="E11" s="46">
        <v>110</v>
      </c>
      <c r="F11" s="46">
        <v>6.4199999999999993E-2</v>
      </c>
      <c r="G11" s="46">
        <f>1.225*(0.75/0.7)</f>
        <v>1.3125</v>
      </c>
      <c r="H11" s="46">
        <v>15200</v>
      </c>
      <c r="I11" s="48">
        <v>40</v>
      </c>
    </row>
    <row r="12" spans="1:12" s="27" customFormat="1" x14ac:dyDescent="0.25">
      <c r="A12" s="45">
        <v>11</v>
      </c>
      <c r="B12" s="46">
        <v>1</v>
      </c>
      <c r="C12" s="46">
        <v>3</v>
      </c>
      <c r="D12" s="46">
        <v>107</v>
      </c>
      <c r="E12" s="46">
        <v>108</v>
      </c>
      <c r="F12" s="63">
        <v>6.5199999999999994E-2</v>
      </c>
      <c r="G12" s="46">
        <f>2.45*(0.75/0.7)</f>
        <v>2.625</v>
      </c>
      <c r="H12" s="46">
        <v>30400</v>
      </c>
      <c r="I12" s="48">
        <v>40</v>
      </c>
      <c r="K12" s="1"/>
      <c r="L12" s="1"/>
    </row>
    <row r="13" spans="1:12" x14ac:dyDescent="0.25">
      <c r="A13" s="45">
        <v>12</v>
      </c>
      <c r="B13" s="46">
        <v>1</v>
      </c>
      <c r="C13" s="46">
        <v>3</v>
      </c>
      <c r="D13" s="46">
        <v>108</v>
      </c>
      <c r="E13" s="46">
        <v>109</v>
      </c>
      <c r="F13" s="46">
        <v>0.1762</v>
      </c>
      <c r="G13" s="46">
        <f>1.225*(0.75/0.7)</f>
        <v>1.3125</v>
      </c>
      <c r="H13" s="46">
        <v>40850</v>
      </c>
      <c r="I13" s="48">
        <v>40</v>
      </c>
    </row>
    <row r="14" spans="1:12" x14ac:dyDescent="0.25">
      <c r="A14" s="45">
        <v>13</v>
      </c>
      <c r="B14" s="46">
        <v>1</v>
      </c>
      <c r="C14" s="46">
        <v>3</v>
      </c>
      <c r="D14" s="46">
        <v>108</v>
      </c>
      <c r="E14" s="46">
        <v>110</v>
      </c>
      <c r="F14" s="46">
        <v>0.1762</v>
      </c>
      <c r="G14" s="46">
        <f>1.225*(0.75/0.7)</f>
        <v>1.3125</v>
      </c>
      <c r="H14" s="46">
        <v>40850</v>
      </c>
      <c r="I14" s="48">
        <v>40</v>
      </c>
    </row>
    <row r="15" spans="1:12" x14ac:dyDescent="0.25">
      <c r="A15" s="45">
        <v>14</v>
      </c>
      <c r="B15" s="46">
        <v>1</v>
      </c>
      <c r="C15" s="46">
        <v>3</v>
      </c>
      <c r="D15" s="46">
        <v>109</v>
      </c>
      <c r="E15" s="46">
        <v>111</v>
      </c>
      <c r="F15" s="46">
        <v>8.4000000000000005E-2</v>
      </c>
      <c r="G15" s="46">
        <f>2.8*(0.75/0.7)</f>
        <v>2.9999999999999996</v>
      </c>
      <c r="H15" s="46">
        <v>47500</v>
      </c>
      <c r="I15" s="48">
        <v>40</v>
      </c>
    </row>
    <row r="16" spans="1:12" x14ac:dyDescent="0.25">
      <c r="A16" s="45">
        <v>15</v>
      </c>
      <c r="B16" s="46">
        <v>1</v>
      </c>
      <c r="C16" s="46">
        <v>3</v>
      </c>
      <c r="D16" s="46">
        <v>109</v>
      </c>
      <c r="E16" s="46">
        <v>112</v>
      </c>
      <c r="F16" s="46">
        <v>8.4000000000000005E-2</v>
      </c>
      <c r="G16" s="46">
        <f>2.8*(0.75/0.7)</f>
        <v>2.9999999999999996</v>
      </c>
      <c r="H16" s="46">
        <v>47500</v>
      </c>
      <c r="I16" s="48">
        <v>40</v>
      </c>
    </row>
    <row r="17" spans="1:9" x14ac:dyDescent="0.25">
      <c r="A17" s="45">
        <v>16</v>
      </c>
      <c r="B17" s="46">
        <v>1</v>
      </c>
      <c r="C17" s="46">
        <v>3</v>
      </c>
      <c r="D17" s="46">
        <v>110</v>
      </c>
      <c r="E17" s="46">
        <v>111</v>
      </c>
      <c r="F17" s="46">
        <v>8.4000000000000005E-2</v>
      </c>
      <c r="G17" s="46">
        <f>2.8*(0.75/0.7)</f>
        <v>2.9999999999999996</v>
      </c>
      <c r="H17" s="46">
        <v>47500</v>
      </c>
      <c r="I17" s="48">
        <v>40</v>
      </c>
    </row>
    <row r="18" spans="1:9" x14ac:dyDescent="0.25">
      <c r="A18" s="45">
        <v>17</v>
      </c>
      <c r="B18" s="46">
        <v>1</v>
      </c>
      <c r="C18" s="46">
        <v>3</v>
      </c>
      <c r="D18" s="46">
        <v>110</v>
      </c>
      <c r="E18" s="46">
        <v>112</v>
      </c>
      <c r="F18" s="46">
        <v>8.4000000000000005E-2</v>
      </c>
      <c r="G18" s="46">
        <f>2.8*(0.75/0.7)</f>
        <v>2.9999999999999996</v>
      </c>
      <c r="H18" s="46">
        <v>47500</v>
      </c>
      <c r="I18" s="48">
        <v>40</v>
      </c>
    </row>
    <row r="19" spans="1:9" x14ac:dyDescent="0.25">
      <c r="A19" s="45">
        <v>18</v>
      </c>
      <c r="B19" s="46">
        <v>1</v>
      </c>
      <c r="C19" s="46">
        <v>3</v>
      </c>
      <c r="D19" s="46">
        <v>111</v>
      </c>
      <c r="E19" s="46">
        <v>113</v>
      </c>
      <c r="F19" s="46">
        <v>4.8800000000000003E-2</v>
      </c>
      <c r="G19" s="46">
        <f t="shared" ref="G19:G25" si="0">3.5*(0.75/0.7)</f>
        <v>3.75</v>
      </c>
      <c r="H19" s="46">
        <v>31350.000000000004</v>
      </c>
      <c r="I19" s="48">
        <v>40</v>
      </c>
    </row>
    <row r="20" spans="1:9" x14ac:dyDescent="0.25">
      <c r="A20" s="45">
        <v>19</v>
      </c>
      <c r="B20" s="46">
        <v>1</v>
      </c>
      <c r="C20" s="46">
        <v>3</v>
      </c>
      <c r="D20" s="46">
        <v>111</v>
      </c>
      <c r="E20" s="46">
        <v>114</v>
      </c>
      <c r="F20" s="46">
        <v>4.2599999999999999E-2</v>
      </c>
      <c r="G20" s="46">
        <f t="shared" si="0"/>
        <v>3.75</v>
      </c>
      <c r="H20" s="46">
        <v>27550</v>
      </c>
      <c r="I20" s="48">
        <v>40</v>
      </c>
    </row>
    <row r="21" spans="1:9" x14ac:dyDescent="0.25">
      <c r="A21" s="45">
        <v>20</v>
      </c>
      <c r="B21" s="46">
        <v>1</v>
      </c>
      <c r="C21" s="46">
        <v>3</v>
      </c>
      <c r="D21" s="46">
        <v>112</v>
      </c>
      <c r="E21" s="46">
        <v>113</v>
      </c>
      <c r="F21" s="46">
        <v>4.8800000000000003E-2</v>
      </c>
      <c r="G21" s="46">
        <f t="shared" si="0"/>
        <v>3.75</v>
      </c>
      <c r="H21" s="46">
        <v>31350.000000000004</v>
      </c>
      <c r="I21" s="48">
        <v>40</v>
      </c>
    </row>
    <row r="22" spans="1:9" x14ac:dyDescent="0.25">
      <c r="A22" s="45">
        <v>21</v>
      </c>
      <c r="B22" s="46">
        <v>1</v>
      </c>
      <c r="C22" s="46">
        <v>3</v>
      </c>
      <c r="D22" s="46">
        <v>112</v>
      </c>
      <c r="E22" s="46">
        <v>123</v>
      </c>
      <c r="F22" s="46">
        <v>9.8500000000000004E-2</v>
      </c>
      <c r="G22" s="46">
        <f t="shared" si="0"/>
        <v>3.75</v>
      </c>
      <c r="H22" s="46">
        <v>63650</v>
      </c>
      <c r="I22" s="48">
        <v>40</v>
      </c>
    </row>
    <row r="23" spans="1:9" x14ac:dyDescent="0.25">
      <c r="A23" s="45">
        <v>22</v>
      </c>
      <c r="B23" s="46">
        <v>1</v>
      </c>
      <c r="C23" s="46">
        <v>3</v>
      </c>
      <c r="D23" s="46">
        <v>113</v>
      </c>
      <c r="E23" s="46">
        <v>123</v>
      </c>
      <c r="F23" s="46">
        <v>8.8400000000000006E-2</v>
      </c>
      <c r="G23" s="46">
        <f>(3.5*(0.75/0.7))*0.8</f>
        <v>3</v>
      </c>
      <c r="H23" s="46">
        <v>57000</v>
      </c>
      <c r="I23" s="48">
        <v>40</v>
      </c>
    </row>
    <row r="24" spans="1:9" x14ac:dyDescent="0.25">
      <c r="A24" s="45">
        <v>23</v>
      </c>
      <c r="B24" s="46">
        <v>1</v>
      </c>
      <c r="C24" s="46">
        <v>3</v>
      </c>
      <c r="D24" s="46">
        <v>114</v>
      </c>
      <c r="E24" s="46">
        <v>116</v>
      </c>
      <c r="F24" s="46">
        <v>5.9400000000000001E-2</v>
      </c>
      <c r="G24" s="46">
        <v>1.875</v>
      </c>
      <c r="H24" s="46">
        <v>25650</v>
      </c>
      <c r="I24" s="48">
        <v>40</v>
      </c>
    </row>
    <row r="25" spans="1:9" x14ac:dyDescent="0.25">
      <c r="A25" s="45">
        <v>24</v>
      </c>
      <c r="B25" s="46">
        <v>1</v>
      </c>
      <c r="C25" s="46">
        <v>3</v>
      </c>
      <c r="D25" s="46">
        <v>115</v>
      </c>
      <c r="E25" s="46">
        <v>116</v>
      </c>
      <c r="F25" s="46">
        <v>1.72E-2</v>
      </c>
      <c r="G25" s="46">
        <f t="shared" si="0"/>
        <v>3.75</v>
      </c>
      <c r="H25" s="46">
        <v>11400.000000000002</v>
      </c>
      <c r="I25" s="48">
        <v>40</v>
      </c>
    </row>
    <row r="26" spans="1:9" x14ac:dyDescent="0.25">
      <c r="A26" s="45">
        <v>25</v>
      </c>
      <c r="B26" s="46">
        <v>1</v>
      </c>
      <c r="C26" s="46">
        <v>3</v>
      </c>
      <c r="D26" s="46">
        <v>115</v>
      </c>
      <c r="E26" s="46">
        <v>121</v>
      </c>
      <c r="F26" s="46">
        <v>2.4899999999999999E-2</v>
      </c>
      <c r="G26" s="46">
        <f>7*(0.75/0.7)</f>
        <v>7.5</v>
      </c>
      <c r="H26" s="46">
        <v>32300</v>
      </c>
      <c r="I26" s="48">
        <v>40</v>
      </c>
    </row>
    <row r="27" spans="1:9" x14ac:dyDescent="0.25">
      <c r="A27" s="45">
        <v>26</v>
      </c>
      <c r="B27" s="46">
        <v>1</v>
      </c>
      <c r="C27" s="46">
        <v>3</v>
      </c>
      <c r="D27" s="46">
        <v>115</v>
      </c>
      <c r="E27" s="46">
        <v>124</v>
      </c>
      <c r="F27" s="46">
        <v>5.2900000000000003E-2</v>
      </c>
      <c r="G27" s="46">
        <f>3.5*(0.75/0.7)</f>
        <v>3.75</v>
      </c>
      <c r="H27" s="46">
        <v>17100</v>
      </c>
      <c r="I27" s="48">
        <v>40</v>
      </c>
    </row>
    <row r="28" spans="1:9" x14ac:dyDescent="0.25">
      <c r="A28" s="45">
        <v>27</v>
      </c>
      <c r="B28" s="46">
        <v>1</v>
      </c>
      <c r="C28" s="46">
        <v>3</v>
      </c>
      <c r="D28" s="46">
        <v>116</v>
      </c>
      <c r="E28" s="46">
        <v>117</v>
      </c>
      <c r="F28" s="46">
        <v>2.63E-2</v>
      </c>
      <c r="G28" s="46">
        <f>3.5*(0.75/0.7)</f>
        <v>3.75</v>
      </c>
      <c r="H28" s="46">
        <v>15200</v>
      </c>
      <c r="I28" s="48">
        <v>40</v>
      </c>
    </row>
    <row r="29" spans="1:9" x14ac:dyDescent="0.25">
      <c r="A29" s="45">
        <v>28</v>
      </c>
      <c r="B29" s="46">
        <v>1</v>
      </c>
      <c r="C29" s="46">
        <v>3</v>
      </c>
      <c r="D29" s="46">
        <v>116</v>
      </c>
      <c r="E29" s="46">
        <v>119</v>
      </c>
      <c r="F29" s="46">
        <v>2.3400000000000001E-2</v>
      </c>
      <c r="G29" s="46">
        <f>3.5*(0.75/0.7)</f>
        <v>3.75</v>
      </c>
      <c r="H29" s="46">
        <v>9500</v>
      </c>
      <c r="I29" s="48">
        <v>40</v>
      </c>
    </row>
    <row r="30" spans="1:9" x14ac:dyDescent="0.25">
      <c r="A30" s="45">
        <v>29</v>
      </c>
      <c r="B30" s="46">
        <v>1</v>
      </c>
      <c r="C30" s="46">
        <v>3</v>
      </c>
      <c r="D30" s="46">
        <v>117</v>
      </c>
      <c r="E30" s="46">
        <v>118</v>
      </c>
      <c r="F30" s="46">
        <v>1.43E-2</v>
      </c>
      <c r="G30" s="46">
        <f>3.5*(0.75/0.7)</f>
        <v>3.75</v>
      </c>
      <c r="H30" s="46">
        <v>69350</v>
      </c>
      <c r="I30" s="48">
        <v>40</v>
      </c>
    </row>
    <row r="31" spans="1:9" x14ac:dyDescent="0.25">
      <c r="A31" s="45">
        <v>30</v>
      </c>
      <c r="B31" s="46">
        <v>1</v>
      </c>
      <c r="C31" s="46">
        <v>3</v>
      </c>
      <c r="D31" s="46">
        <v>117</v>
      </c>
      <c r="E31" s="46">
        <v>122</v>
      </c>
      <c r="F31" s="46">
        <v>0.1069</v>
      </c>
      <c r="G31" s="46">
        <f>3.5*(0.75/0.7)</f>
        <v>3.75</v>
      </c>
      <c r="H31" s="46">
        <v>17100</v>
      </c>
      <c r="I31" s="48">
        <v>40</v>
      </c>
    </row>
    <row r="32" spans="1:9" x14ac:dyDescent="0.25">
      <c r="A32" s="45">
        <v>31</v>
      </c>
      <c r="B32" s="46">
        <v>1</v>
      </c>
      <c r="C32" s="46">
        <v>3</v>
      </c>
      <c r="D32" s="46">
        <v>118</v>
      </c>
      <c r="E32" s="46">
        <v>121</v>
      </c>
      <c r="F32" s="46">
        <v>1.32E-2</v>
      </c>
      <c r="G32" s="46">
        <f>7*(0.75/0.7)</f>
        <v>7.5</v>
      </c>
      <c r="H32" s="46">
        <v>26125</v>
      </c>
      <c r="I32" s="48">
        <v>40</v>
      </c>
    </row>
    <row r="33" spans="1:12" x14ac:dyDescent="0.25">
      <c r="A33" s="45">
        <v>32</v>
      </c>
      <c r="B33" s="46">
        <v>1</v>
      </c>
      <c r="C33" s="46">
        <v>3</v>
      </c>
      <c r="D33" s="46">
        <v>119</v>
      </c>
      <c r="E33" s="46">
        <v>120</v>
      </c>
      <c r="F33" s="46">
        <v>2.0299999999999999E-2</v>
      </c>
      <c r="G33" s="46">
        <f>7*(0.75/0.7)</f>
        <v>7.5</v>
      </c>
      <c r="H33" s="46">
        <v>44650</v>
      </c>
      <c r="I33" s="48">
        <v>40</v>
      </c>
    </row>
    <row r="34" spans="1:12" x14ac:dyDescent="0.25">
      <c r="A34" s="45">
        <v>33</v>
      </c>
      <c r="B34" s="46">
        <v>1</v>
      </c>
      <c r="C34" s="46">
        <v>3</v>
      </c>
      <c r="D34" s="46">
        <v>120</v>
      </c>
      <c r="E34" s="46">
        <v>123</v>
      </c>
      <c r="F34" s="46">
        <v>1.12E-2</v>
      </c>
      <c r="G34" s="46">
        <f>7*(0.75/0.7)</f>
        <v>7.5</v>
      </c>
      <c r="H34" s="46">
        <v>31349.999999999996</v>
      </c>
      <c r="I34" s="48">
        <v>40</v>
      </c>
    </row>
    <row r="35" spans="1:12" x14ac:dyDescent="0.25">
      <c r="A35" s="45">
        <v>34</v>
      </c>
      <c r="B35" s="46">
        <v>1</v>
      </c>
      <c r="C35" s="46">
        <v>3</v>
      </c>
      <c r="D35" s="46">
        <v>121</v>
      </c>
      <c r="E35" s="46">
        <v>122</v>
      </c>
      <c r="F35" s="46">
        <v>6.9199999999999998E-2</v>
      </c>
      <c r="G35" s="46">
        <f>3.5*(0.75/0.7)</f>
        <v>3.75</v>
      </c>
      <c r="H35" s="46">
        <v>29450</v>
      </c>
      <c r="I35" s="48">
        <v>40</v>
      </c>
    </row>
    <row r="36" spans="1:12" x14ac:dyDescent="0.25">
      <c r="A36" s="45">
        <v>35</v>
      </c>
      <c r="B36" s="46">
        <v>1</v>
      </c>
      <c r="C36" s="46">
        <v>3</v>
      </c>
      <c r="D36" s="46">
        <v>201</v>
      </c>
      <c r="E36" s="46">
        <v>202</v>
      </c>
      <c r="F36" s="46">
        <v>1.46E-2</v>
      </c>
      <c r="G36" s="46">
        <f>1.225*(0.75/0.7)</f>
        <v>1.3125</v>
      </c>
      <c r="H36" s="46">
        <v>2850.0000000000005</v>
      </c>
      <c r="I36" s="48">
        <v>40</v>
      </c>
    </row>
    <row r="37" spans="1:12" x14ac:dyDescent="0.25">
      <c r="A37" s="45">
        <v>36</v>
      </c>
      <c r="B37" s="46">
        <v>1</v>
      </c>
      <c r="C37" s="46">
        <v>3</v>
      </c>
      <c r="D37" s="46">
        <v>201</v>
      </c>
      <c r="E37" s="46">
        <v>203</v>
      </c>
      <c r="F37" s="46">
        <v>0.2253</v>
      </c>
      <c r="G37" s="46">
        <f>1.225*(0.75/0.7)</f>
        <v>1.3125</v>
      </c>
      <c r="H37" s="46">
        <v>52250</v>
      </c>
      <c r="I37" s="48">
        <v>40</v>
      </c>
    </row>
    <row r="38" spans="1:12" x14ac:dyDescent="0.25">
      <c r="A38" s="45">
        <v>37</v>
      </c>
      <c r="B38" s="46">
        <v>1</v>
      </c>
      <c r="C38" s="46">
        <v>3</v>
      </c>
      <c r="D38" s="46">
        <v>201</v>
      </c>
      <c r="E38" s="46">
        <v>205</v>
      </c>
      <c r="F38" s="46">
        <v>9.0700000000000003E-2</v>
      </c>
      <c r="G38" s="46">
        <v>1.5</v>
      </c>
      <c r="H38" s="46">
        <v>20900</v>
      </c>
      <c r="I38" s="48">
        <v>40</v>
      </c>
    </row>
    <row r="39" spans="1:12" s="31" customFormat="1" x14ac:dyDescent="0.25">
      <c r="A39" s="45">
        <v>38</v>
      </c>
      <c r="B39" s="46">
        <v>1</v>
      </c>
      <c r="C39" s="46">
        <v>3</v>
      </c>
      <c r="D39" s="46">
        <v>202</v>
      </c>
      <c r="E39" s="46">
        <v>204</v>
      </c>
      <c r="F39" s="46">
        <v>0.1356</v>
      </c>
      <c r="G39" s="46">
        <f>1.225*(0.75/0.7)</f>
        <v>1.3125</v>
      </c>
      <c r="H39" s="46">
        <v>31350.000000000004</v>
      </c>
      <c r="I39" s="48">
        <v>40</v>
      </c>
    </row>
    <row r="40" spans="1:12" s="18" customFormat="1" x14ac:dyDescent="0.25">
      <c r="A40" s="45">
        <v>39</v>
      </c>
      <c r="B40" s="46">
        <v>1</v>
      </c>
      <c r="C40" s="46">
        <v>3</v>
      </c>
      <c r="D40" s="46">
        <v>202</v>
      </c>
      <c r="E40" s="46">
        <v>206</v>
      </c>
      <c r="F40" s="46">
        <v>0.20499999999999999</v>
      </c>
      <c r="G40" s="46">
        <f>1.225*(0.75/0.7)</f>
        <v>1.3125</v>
      </c>
      <c r="H40" s="46">
        <v>47500</v>
      </c>
      <c r="I40" s="48">
        <v>40</v>
      </c>
      <c r="K40" s="1"/>
      <c r="L40" s="1"/>
    </row>
    <row r="41" spans="1:12" s="18" customFormat="1" x14ac:dyDescent="0.25">
      <c r="A41" s="45">
        <v>40</v>
      </c>
      <c r="B41" s="46">
        <v>1</v>
      </c>
      <c r="C41" s="46">
        <v>3</v>
      </c>
      <c r="D41" s="46">
        <v>203</v>
      </c>
      <c r="E41" s="46">
        <v>209</v>
      </c>
      <c r="F41" s="46">
        <v>0.12709999999999999</v>
      </c>
      <c r="G41" s="46">
        <f>1.225*(0.75/0.7)</f>
        <v>1.3125</v>
      </c>
      <c r="H41" s="46">
        <v>29450</v>
      </c>
      <c r="I41" s="48">
        <v>40</v>
      </c>
      <c r="K41" s="1"/>
      <c r="L41" s="1"/>
    </row>
    <row r="42" spans="1:12" s="18" customFormat="1" x14ac:dyDescent="0.25">
      <c r="A42" s="45">
        <v>41</v>
      </c>
      <c r="B42" s="46">
        <v>1</v>
      </c>
      <c r="C42" s="46">
        <v>3</v>
      </c>
      <c r="D42" s="46">
        <v>203</v>
      </c>
      <c r="E42" s="46">
        <v>224</v>
      </c>
      <c r="F42" s="46">
        <v>8.4000000000000005E-2</v>
      </c>
      <c r="G42" s="46">
        <f>2.8*(0.75/0.7)</f>
        <v>2.9999999999999996</v>
      </c>
      <c r="H42" s="46">
        <v>47500</v>
      </c>
      <c r="I42" s="48">
        <v>40</v>
      </c>
      <c r="K42" s="1"/>
      <c r="L42" s="1"/>
    </row>
    <row r="43" spans="1:12" s="32" customFormat="1" x14ac:dyDescent="0.25">
      <c r="A43" s="45">
        <v>42</v>
      </c>
      <c r="B43" s="46">
        <v>1</v>
      </c>
      <c r="C43" s="46">
        <v>3</v>
      </c>
      <c r="D43" s="46">
        <v>204</v>
      </c>
      <c r="E43" s="46">
        <v>209</v>
      </c>
      <c r="F43" s="46">
        <v>0.111</v>
      </c>
      <c r="G43" s="46">
        <f>1.225*(0.75/0.7)</f>
        <v>1.3125</v>
      </c>
      <c r="H43" s="46">
        <v>25650</v>
      </c>
      <c r="I43" s="48">
        <v>40</v>
      </c>
      <c r="K43" s="31"/>
      <c r="L43" s="31"/>
    </row>
    <row r="44" spans="1:12" s="18" customFormat="1" x14ac:dyDescent="0.25">
      <c r="A44" s="45">
        <v>43</v>
      </c>
      <c r="B44" s="46">
        <v>1</v>
      </c>
      <c r="C44" s="46">
        <v>3</v>
      </c>
      <c r="D44" s="46">
        <v>205</v>
      </c>
      <c r="E44" s="46">
        <v>210</v>
      </c>
      <c r="F44" s="46">
        <v>9.4E-2</v>
      </c>
      <c r="G44" s="46">
        <v>1.5</v>
      </c>
      <c r="H44" s="46">
        <v>21850</v>
      </c>
      <c r="I44" s="48">
        <v>40</v>
      </c>
      <c r="K44" s="1"/>
      <c r="L44" s="1"/>
    </row>
    <row r="45" spans="1:12" x14ac:dyDescent="0.25">
      <c r="A45" s="45">
        <v>44</v>
      </c>
      <c r="B45" s="46">
        <v>1</v>
      </c>
      <c r="C45" s="46">
        <v>3</v>
      </c>
      <c r="D45" s="46">
        <v>206</v>
      </c>
      <c r="E45" s="46">
        <v>210</v>
      </c>
      <c r="F45" s="46">
        <v>6.4199999999999993E-2</v>
      </c>
      <c r="G45" s="46">
        <f>1.225*(0.75/0.7)</f>
        <v>1.3125</v>
      </c>
      <c r="H45" s="46">
        <v>15200</v>
      </c>
      <c r="I45" s="48">
        <v>40</v>
      </c>
    </row>
    <row r="46" spans="1:12" x14ac:dyDescent="0.25">
      <c r="A46" s="45">
        <v>45</v>
      </c>
      <c r="B46" s="46">
        <v>1</v>
      </c>
      <c r="C46" s="46">
        <v>3</v>
      </c>
      <c r="D46" s="46">
        <v>207</v>
      </c>
      <c r="E46" s="46">
        <v>208</v>
      </c>
      <c r="F46" s="63">
        <v>6.5199999999999994E-2</v>
      </c>
      <c r="G46" s="46">
        <v>1</v>
      </c>
      <c r="H46" s="46">
        <v>30400</v>
      </c>
      <c r="I46" s="48">
        <v>40</v>
      </c>
    </row>
    <row r="47" spans="1:12" x14ac:dyDescent="0.25">
      <c r="A47" s="45">
        <v>46</v>
      </c>
      <c r="B47" s="46">
        <v>1</v>
      </c>
      <c r="C47" s="46">
        <v>3</v>
      </c>
      <c r="D47" s="46">
        <v>208</v>
      </c>
      <c r="E47" s="46">
        <v>209</v>
      </c>
      <c r="F47" s="46">
        <v>0.1762</v>
      </c>
      <c r="G47" s="46">
        <f>1.225*(0.75/0.7)</f>
        <v>1.3125</v>
      </c>
      <c r="H47" s="46">
        <v>40850</v>
      </c>
      <c r="I47" s="48">
        <v>40</v>
      </c>
    </row>
    <row r="48" spans="1:12" x14ac:dyDescent="0.25">
      <c r="A48" s="45">
        <v>47</v>
      </c>
      <c r="B48" s="46">
        <v>1</v>
      </c>
      <c r="C48" s="46">
        <v>3</v>
      </c>
      <c r="D48" s="46">
        <v>208</v>
      </c>
      <c r="E48" s="46">
        <v>210</v>
      </c>
      <c r="F48" s="46">
        <v>0.1762</v>
      </c>
      <c r="G48" s="46">
        <f>1.225*(0.75/0.7)</f>
        <v>1.3125</v>
      </c>
      <c r="H48" s="46">
        <v>40850</v>
      </c>
      <c r="I48" s="48">
        <v>40</v>
      </c>
    </row>
    <row r="49" spans="1:9" x14ac:dyDescent="0.25">
      <c r="A49" s="45">
        <v>48</v>
      </c>
      <c r="B49" s="46">
        <v>1</v>
      </c>
      <c r="C49" s="46">
        <v>3</v>
      </c>
      <c r="D49" s="46">
        <v>209</v>
      </c>
      <c r="E49" s="46">
        <v>211</v>
      </c>
      <c r="F49" s="46">
        <v>8.4000000000000005E-2</v>
      </c>
      <c r="G49" s="46">
        <f>2.8*(0.75/0.7)</f>
        <v>2.9999999999999996</v>
      </c>
      <c r="H49" s="46">
        <v>47500</v>
      </c>
      <c r="I49" s="48">
        <v>40</v>
      </c>
    </row>
    <row r="50" spans="1:9" x14ac:dyDescent="0.25">
      <c r="A50" s="45">
        <v>49</v>
      </c>
      <c r="B50" s="46">
        <v>1</v>
      </c>
      <c r="C50" s="46">
        <v>3</v>
      </c>
      <c r="D50" s="46">
        <v>209</v>
      </c>
      <c r="E50" s="46">
        <v>212</v>
      </c>
      <c r="F50" s="46">
        <v>8.4000000000000005E-2</v>
      </c>
      <c r="G50" s="46">
        <f>2.8*(0.75/0.7)</f>
        <v>2.9999999999999996</v>
      </c>
      <c r="H50" s="46">
        <v>47500</v>
      </c>
      <c r="I50" s="48">
        <v>40</v>
      </c>
    </row>
    <row r="51" spans="1:9" x14ac:dyDescent="0.25">
      <c r="A51" s="45">
        <v>50</v>
      </c>
      <c r="B51" s="46">
        <v>1</v>
      </c>
      <c r="C51" s="46">
        <v>3</v>
      </c>
      <c r="D51" s="46">
        <v>210</v>
      </c>
      <c r="E51" s="46">
        <v>211</v>
      </c>
      <c r="F51" s="46">
        <v>8.4000000000000005E-2</v>
      </c>
      <c r="G51" s="46">
        <f>2.8*(0.75/0.7)</f>
        <v>2.9999999999999996</v>
      </c>
      <c r="H51" s="46">
        <v>47500</v>
      </c>
      <c r="I51" s="48">
        <v>40</v>
      </c>
    </row>
    <row r="52" spans="1:9" x14ac:dyDescent="0.25">
      <c r="A52" s="45">
        <v>51</v>
      </c>
      <c r="B52" s="46">
        <v>1</v>
      </c>
      <c r="C52" s="46">
        <v>3</v>
      </c>
      <c r="D52" s="46">
        <v>210</v>
      </c>
      <c r="E52" s="46">
        <v>212</v>
      </c>
      <c r="F52" s="46">
        <v>8.4000000000000005E-2</v>
      </c>
      <c r="G52" s="46">
        <f>2.8*(0.75/0.7)</f>
        <v>2.9999999999999996</v>
      </c>
      <c r="H52" s="46">
        <v>47500</v>
      </c>
      <c r="I52" s="48">
        <v>40</v>
      </c>
    </row>
    <row r="53" spans="1:9" x14ac:dyDescent="0.25">
      <c r="A53" s="45">
        <v>52</v>
      </c>
      <c r="B53" s="46">
        <v>1</v>
      </c>
      <c r="C53" s="46">
        <v>3</v>
      </c>
      <c r="D53" s="46">
        <v>211</v>
      </c>
      <c r="E53" s="46">
        <v>213</v>
      </c>
      <c r="F53" s="46">
        <v>4.8800000000000003E-2</v>
      </c>
      <c r="G53" s="46">
        <f t="shared" ref="G53:G59" si="1">3.5*(0.75/0.7)</f>
        <v>3.75</v>
      </c>
      <c r="H53" s="46">
        <v>31350.000000000004</v>
      </c>
      <c r="I53" s="48">
        <v>40</v>
      </c>
    </row>
    <row r="54" spans="1:9" x14ac:dyDescent="0.25">
      <c r="A54" s="45">
        <v>53</v>
      </c>
      <c r="B54" s="46">
        <v>1</v>
      </c>
      <c r="C54" s="46">
        <v>3</v>
      </c>
      <c r="D54" s="46">
        <v>211</v>
      </c>
      <c r="E54" s="46">
        <v>214</v>
      </c>
      <c r="F54" s="46">
        <v>4.2599999999999999E-2</v>
      </c>
      <c r="G54" s="46">
        <f t="shared" si="1"/>
        <v>3.75</v>
      </c>
      <c r="H54" s="46">
        <v>27550</v>
      </c>
      <c r="I54" s="48">
        <v>40</v>
      </c>
    </row>
    <row r="55" spans="1:9" x14ac:dyDescent="0.25">
      <c r="A55" s="45">
        <v>54</v>
      </c>
      <c r="B55" s="46">
        <v>1</v>
      </c>
      <c r="C55" s="46">
        <v>3</v>
      </c>
      <c r="D55" s="46">
        <v>212</v>
      </c>
      <c r="E55" s="46">
        <v>213</v>
      </c>
      <c r="F55" s="46">
        <v>4.8800000000000003E-2</v>
      </c>
      <c r="G55" s="46">
        <f t="shared" si="1"/>
        <v>3.75</v>
      </c>
      <c r="H55" s="46">
        <v>31350.000000000004</v>
      </c>
      <c r="I55" s="48">
        <v>40</v>
      </c>
    </row>
    <row r="56" spans="1:9" x14ac:dyDescent="0.25">
      <c r="A56" s="45">
        <v>55</v>
      </c>
      <c r="B56" s="46">
        <v>1</v>
      </c>
      <c r="C56" s="46">
        <v>3</v>
      </c>
      <c r="D56" s="46">
        <v>212</v>
      </c>
      <c r="E56" s="46">
        <v>223</v>
      </c>
      <c r="F56" s="46">
        <v>9.8500000000000004E-2</v>
      </c>
      <c r="G56" s="46">
        <f t="shared" si="1"/>
        <v>3.75</v>
      </c>
      <c r="H56" s="46">
        <v>63650</v>
      </c>
      <c r="I56" s="48">
        <v>40</v>
      </c>
    </row>
    <row r="57" spans="1:9" x14ac:dyDescent="0.25">
      <c r="A57" s="45">
        <v>56</v>
      </c>
      <c r="B57" s="46">
        <v>1</v>
      </c>
      <c r="C57" s="46">
        <v>3</v>
      </c>
      <c r="D57" s="46">
        <v>213</v>
      </c>
      <c r="E57" s="46">
        <v>223</v>
      </c>
      <c r="F57" s="46">
        <v>8.8400000000000006E-2</v>
      </c>
      <c r="G57" s="46">
        <f>(3.5*(0.75/0.7))*0.8</f>
        <v>3</v>
      </c>
      <c r="H57" s="46">
        <v>57000</v>
      </c>
      <c r="I57" s="48">
        <v>40</v>
      </c>
    </row>
    <row r="58" spans="1:9" x14ac:dyDescent="0.25">
      <c r="A58" s="45">
        <v>57</v>
      </c>
      <c r="B58" s="46">
        <v>1</v>
      </c>
      <c r="C58" s="46">
        <v>3</v>
      </c>
      <c r="D58" s="46">
        <v>214</v>
      </c>
      <c r="E58" s="46">
        <v>216</v>
      </c>
      <c r="F58" s="46">
        <v>5.9400000000000001E-2</v>
      </c>
      <c r="G58" s="46">
        <v>1.875</v>
      </c>
      <c r="H58" s="46">
        <v>25650</v>
      </c>
      <c r="I58" s="48">
        <v>40</v>
      </c>
    </row>
    <row r="59" spans="1:9" x14ac:dyDescent="0.25">
      <c r="A59" s="45">
        <v>58</v>
      </c>
      <c r="B59" s="46">
        <v>1</v>
      </c>
      <c r="C59" s="46">
        <v>3</v>
      </c>
      <c r="D59" s="46">
        <v>215</v>
      </c>
      <c r="E59" s="46">
        <v>216</v>
      </c>
      <c r="F59" s="46">
        <v>1.72E-2</v>
      </c>
      <c r="G59" s="46">
        <f t="shared" si="1"/>
        <v>3.75</v>
      </c>
      <c r="H59" s="46">
        <v>11400.000000000002</v>
      </c>
      <c r="I59" s="48">
        <v>40</v>
      </c>
    </row>
    <row r="60" spans="1:9" x14ac:dyDescent="0.25">
      <c r="A60" s="45">
        <v>59</v>
      </c>
      <c r="B60" s="46">
        <v>1</v>
      </c>
      <c r="C60" s="46">
        <v>3</v>
      </c>
      <c r="D60" s="46">
        <v>215</v>
      </c>
      <c r="E60" s="46">
        <v>221</v>
      </c>
      <c r="F60" s="46">
        <v>2.4899999999999999E-2</v>
      </c>
      <c r="G60" s="46">
        <f>7*(0.75/0.7)</f>
        <v>7.5</v>
      </c>
      <c r="H60" s="46">
        <v>32300</v>
      </c>
      <c r="I60" s="48">
        <v>40</v>
      </c>
    </row>
    <row r="61" spans="1:9" x14ac:dyDescent="0.25">
      <c r="A61" s="45">
        <v>60</v>
      </c>
      <c r="B61" s="46">
        <v>1</v>
      </c>
      <c r="C61" s="46">
        <v>3</v>
      </c>
      <c r="D61" s="46">
        <v>215</v>
      </c>
      <c r="E61" s="46">
        <v>224</v>
      </c>
      <c r="F61" s="46">
        <v>5.2900000000000003E-2</v>
      </c>
      <c r="G61" s="46">
        <f>3.5*(0.75/0.7)</f>
        <v>3.75</v>
      </c>
      <c r="H61" s="46">
        <v>17100</v>
      </c>
      <c r="I61" s="48">
        <v>40</v>
      </c>
    </row>
    <row r="62" spans="1:9" x14ac:dyDescent="0.25">
      <c r="A62" s="45">
        <v>61</v>
      </c>
      <c r="B62" s="46">
        <v>1</v>
      </c>
      <c r="C62" s="46">
        <v>3</v>
      </c>
      <c r="D62" s="46">
        <v>216</v>
      </c>
      <c r="E62" s="46">
        <v>217</v>
      </c>
      <c r="F62" s="46">
        <v>2.63E-2</v>
      </c>
      <c r="G62" s="46">
        <f>3.5*(0.75/0.7)</f>
        <v>3.75</v>
      </c>
      <c r="H62" s="46">
        <v>15200</v>
      </c>
      <c r="I62" s="48">
        <v>40</v>
      </c>
    </row>
    <row r="63" spans="1:9" x14ac:dyDescent="0.25">
      <c r="A63" s="45">
        <v>62</v>
      </c>
      <c r="B63" s="46">
        <v>1</v>
      </c>
      <c r="C63" s="46">
        <v>3</v>
      </c>
      <c r="D63" s="46">
        <v>216</v>
      </c>
      <c r="E63" s="46">
        <v>219</v>
      </c>
      <c r="F63" s="46">
        <v>2.3400000000000001E-2</v>
      </c>
      <c r="G63" s="46">
        <f>3.5*(0.75/0.7)</f>
        <v>3.75</v>
      </c>
      <c r="H63" s="46">
        <v>9500</v>
      </c>
      <c r="I63" s="48">
        <v>40</v>
      </c>
    </row>
    <row r="64" spans="1:9" x14ac:dyDescent="0.25">
      <c r="A64" s="45">
        <v>63</v>
      </c>
      <c r="B64" s="46">
        <v>1</v>
      </c>
      <c r="C64" s="46">
        <v>3</v>
      </c>
      <c r="D64" s="46">
        <v>217</v>
      </c>
      <c r="E64" s="46">
        <v>218</v>
      </c>
      <c r="F64" s="46">
        <v>1.43E-2</v>
      </c>
      <c r="G64" s="46">
        <f>3.5*(0.75/0.7)</f>
        <v>3.75</v>
      </c>
      <c r="H64" s="46">
        <v>69350</v>
      </c>
      <c r="I64" s="48">
        <v>40</v>
      </c>
    </row>
    <row r="65" spans="1:9" x14ac:dyDescent="0.25">
      <c r="A65" s="45">
        <v>64</v>
      </c>
      <c r="B65" s="46">
        <v>1</v>
      </c>
      <c r="C65" s="46">
        <v>3</v>
      </c>
      <c r="D65" s="46">
        <v>217</v>
      </c>
      <c r="E65" s="46">
        <v>222</v>
      </c>
      <c r="F65" s="46">
        <v>0.1069</v>
      </c>
      <c r="G65" s="46">
        <f>3.5*(0.75/0.7)</f>
        <v>3.75</v>
      </c>
      <c r="H65" s="46">
        <v>17100</v>
      </c>
      <c r="I65" s="48">
        <v>40</v>
      </c>
    </row>
    <row r="66" spans="1:9" x14ac:dyDescent="0.25">
      <c r="A66" s="45">
        <v>65</v>
      </c>
      <c r="B66" s="46">
        <v>1</v>
      </c>
      <c r="C66" s="46">
        <v>3</v>
      </c>
      <c r="D66" s="46">
        <v>218</v>
      </c>
      <c r="E66" s="46">
        <v>221</v>
      </c>
      <c r="F66" s="46">
        <v>1.32E-2</v>
      </c>
      <c r="G66" s="46">
        <f>7*(0.75/0.7)</f>
        <v>7.5</v>
      </c>
      <c r="H66" s="46">
        <v>26125</v>
      </c>
      <c r="I66" s="48">
        <v>40</v>
      </c>
    </row>
    <row r="67" spans="1:9" x14ac:dyDescent="0.25">
      <c r="A67" s="45">
        <v>66</v>
      </c>
      <c r="B67" s="46">
        <v>1</v>
      </c>
      <c r="C67" s="46">
        <v>3</v>
      </c>
      <c r="D67" s="46">
        <v>219</v>
      </c>
      <c r="E67" s="46">
        <v>220</v>
      </c>
      <c r="F67" s="46">
        <v>2.0299999999999999E-2</v>
      </c>
      <c r="G67" s="46">
        <f>7*(0.75/0.7)</f>
        <v>7.5</v>
      </c>
      <c r="H67" s="46">
        <v>44650</v>
      </c>
      <c r="I67" s="48">
        <v>40</v>
      </c>
    </row>
    <row r="68" spans="1:9" x14ac:dyDescent="0.25">
      <c r="A68" s="45">
        <v>67</v>
      </c>
      <c r="B68" s="46">
        <v>1</v>
      </c>
      <c r="C68" s="46">
        <v>3</v>
      </c>
      <c r="D68" s="46">
        <v>220</v>
      </c>
      <c r="E68" s="46">
        <v>223</v>
      </c>
      <c r="F68" s="46">
        <v>1.12E-2</v>
      </c>
      <c r="G68" s="46">
        <f>7*(0.75/0.7)</f>
        <v>7.5</v>
      </c>
      <c r="H68" s="46">
        <v>31349.999999999996</v>
      </c>
      <c r="I68" s="48">
        <v>40</v>
      </c>
    </row>
    <row r="69" spans="1:9" x14ac:dyDescent="0.25">
      <c r="A69" s="45">
        <v>68</v>
      </c>
      <c r="B69" s="46">
        <v>1</v>
      </c>
      <c r="C69" s="46">
        <v>3</v>
      </c>
      <c r="D69" s="46">
        <v>221</v>
      </c>
      <c r="E69" s="46">
        <v>222</v>
      </c>
      <c r="F69" s="46">
        <v>6.9199999999999998E-2</v>
      </c>
      <c r="G69" s="46">
        <f>3.5*(0.75/0.7)</f>
        <v>3.75</v>
      </c>
      <c r="H69" s="46">
        <v>29450</v>
      </c>
      <c r="I69" s="48">
        <v>40</v>
      </c>
    </row>
    <row r="70" spans="1:9" x14ac:dyDescent="0.25">
      <c r="A70" s="45">
        <v>69</v>
      </c>
      <c r="B70" s="46">
        <v>1</v>
      </c>
      <c r="C70" s="46">
        <v>3</v>
      </c>
      <c r="D70" s="46">
        <v>301</v>
      </c>
      <c r="E70" s="46">
        <v>302</v>
      </c>
      <c r="F70" s="46">
        <v>1.46E-2</v>
      </c>
      <c r="G70" s="46">
        <f>1.225*(0.75/0.7)</f>
        <v>1.3125</v>
      </c>
      <c r="H70" s="46">
        <v>2850.0000000000005</v>
      </c>
      <c r="I70" s="48">
        <v>40</v>
      </c>
    </row>
    <row r="71" spans="1:9" x14ac:dyDescent="0.25">
      <c r="A71" s="45">
        <v>70</v>
      </c>
      <c r="B71" s="46">
        <v>1</v>
      </c>
      <c r="C71" s="46">
        <v>3</v>
      </c>
      <c r="D71" s="46">
        <v>301</v>
      </c>
      <c r="E71" s="46">
        <v>303</v>
      </c>
      <c r="F71" s="46">
        <v>0.2253</v>
      </c>
      <c r="G71" s="46">
        <f>1.225*(0.75/0.7)</f>
        <v>1.3125</v>
      </c>
      <c r="H71" s="46">
        <v>52250</v>
      </c>
      <c r="I71" s="48">
        <v>40</v>
      </c>
    </row>
    <row r="72" spans="1:9" x14ac:dyDescent="0.25">
      <c r="A72" s="45">
        <v>71</v>
      </c>
      <c r="B72" s="46">
        <v>1</v>
      </c>
      <c r="C72" s="46">
        <v>3</v>
      </c>
      <c r="D72" s="46">
        <v>301</v>
      </c>
      <c r="E72" s="46">
        <v>305</v>
      </c>
      <c r="F72" s="46">
        <v>9.0700000000000003E-2</v>
      </c>
      <c r="G72" s="46">
        <v>1.5</v>
      </c>
      <c r="H72" s="46">
        <v>20900</v>
      </c>
      <c r="I72" s="48">
        <v>40</v>
      </c>
    </row>
    <row r="73" spans="1:9" s="31" customFormat="1" x14ac:dyDescent="0.25">
      <c r="A73" s="45">
        <v>72</v>
      </c>
      <c r="B73" s="46">
        <v>1</v>
      </c>
      <c r="C73" s="46">
        <v>3</v>
      </c>
      <c r="D73" s="46">
        <v>302</v>
      </c>
      <c r="E73" s="46">
        <v>304</v>
      </c>
      <c r="F73" s="46">
        <v>0.1356</v>
      </c>
      <c r="G73" s="46">
        <f>1.225*(0.75/0.7)</f>
        <v>1.3125</v>
      </c>
      <c r="H73" s="46">
        <v>31350.000000000004</v>
      </c>
      <c r="I73" s="48">
        <v>40</v>
      </c>
    </row>
    <row r="74" spans="1:9" x14ac:dyDescent="0.25">
      <c r="A74" s="45">
        <v>73</v>
      </c>
      <c r="B74" s="46">
        <v>1</v>
      </c>
      <c r="C74" s="46">
        <v>3</v>
      </c>
      <c r="D74" s="46">
        <v>302</v>
      </c>
      <c r="E74" s="46">
        <v>306</v>
      </c>
      <c r="F74" s="46">
        <v>0.20499999999999999</v>
      </c>
      <c r="G74" s="46">
        <f>1.225*(0.75/0.7)</f>
        <v>1.3125</v>
      </c>
      <c r="H74" s="46">
        <v>47500</v>
      </c>
      <c r="I74" s="48">
        <v>40</v>
      </c>
    </row>
    <row r="75" spans="1:9" x14ac:dyDescent="0.25">
      <c r="A75" s="45">
        <v>74</v>
      </c>
      <c r="B75" s="46">
        <v>1</v>
      </c>
      <c r="C75" s="46">
        <v>3</v>
      </c>
      <c r="D75" s="46">
        <v>303</v>
      </c>
      <c r="E75" s="46">
        <v>309</v>
      </c>
      <c r="F75" s="46">
        <v>0.12709999999999999</v>
      </c>
      <c r="G75" s="46">
        <f>1.225*(0.75/0.7)</f>
        <v>1.3125</v>
      </c>
      <c r="H75" s="46">
        <v>29450</v>
      </c>
      <c r="I75" s="48">
        <v>40</v>
      </c>
    </row>
    <row r="76" spans="1:9" x14ac:dyDescent="0.25">
      <c r="A76" s="45">
        <v>75</v>
      </c>
      <c r="B76" s="46">
        <v>1</v>
      </c>
      <c r="C76" s="46">
        <v>3</v>
      </c>
      <c r="D76" s="46">
        <v>303</v>
      </c>
      <c r="E76" s="46">
        <v>324</v>
      </c>
      <c r="F76" s="46">
        <v>8.4000000000000005E-2</v>
      </c>
      <c r="G76" s="46">
        <f>2.8*(0.75/0.7)</f>
        <v>2.9999999999999996</v>
      </c>
      <c r="H76" s="46">
        <v>47500</v>
      </c>
      <c r="I76" s="48">
        <v>40</v>
      </c>
    </row>
    <row r="77" spans="1:9" s="31" customFormat="1" x14ac:dyDescent="0.25">
      <c r="A77" s="45">
        <v>76</v>
      </c>
      <c r="B77" s="46">
        <v>1</v>
      </c>
      <c r="C77" s="46">
        <v>3</v>
      </c>
      <c r="D77" s="46">
        <v>304</v>
      </c>
      <c r="E77" s="46">
        <v>309</v>
      </c>
      <c r="F77" s="46">
        <v>0.111</v>
      </c>
      <c r="G77" s="46">
        <f>1.225*(0.75/0.7)</f>
        <v>1.3125</v>
      </c>
      <c r="H77" s="46">
        <v>25650</v>
      </c>
      <c r="I77" s="48">
        <v>40</v>
      </c>
    </row>
    <row r="78" spans="1:9" x14ac:dyDescent="0.25">
      <c r="A78" s="45">
        <v>77</v>
      </c>
      <c r="B78" s="46">
        <v>1</v>
      </c>
      <c r="C78" s="46">
        <v>3</v>
      </c>
      <c r="D78" s="46">
        <v>305</v>
      </c>
      <c r="E78" s="46">
        <v>310</v>
      </c>
      <c r="F78" s="46">
        <v>9.4E-2</v>
      </c>
      <c r="G78" s="46">
        <v>1.5</v>
      </c>
      <c r="H78" s="46">
        <v>21850</v>
      </c>
      <c r="I78" s="48">
        <v>40</v>
      </c>
    </row>
    <row r="79" spans="1:9" x14ac:dyDescent="0.25">
      <c r="A79" s="45">
        <v>78</v>
      </c>
      <c r="B79" s="46">
        <v>1</v>
      </c>
      <c r="C79" s="46">
        <v>3</v>
      </c>
      <c r="D79" s="46">
        <v>306</v>
      </c>
      <c r="E79" s="46">
        <v>310</v>
      </c>
      <c r="F79" s="46">
        <v>6.4199999999999993E-2</v>
      </c>
      <c r="G79" s="46">
        <f>1.225*(0.75/0.7)</f>
        <v>1.3125</v>
      </c>
      <c r="H79" s="46">
        <v>15200</v>
      </c>
      <c r="I79" s="48">
        <v>40</v>
      </c>
    </row>
    <row r="80" spans="1:9" x14ac:dyDescent="0.25">
      <c r="A80" s="45">
        <v>79</v>
      </c>
      <c r="B80" s="46">
        <v>1</v>
      </c>
      <c r="C80" s="46">
        <v>3</v>
      </c>
      <c r="D80" s="46">
        <v>307</v>
      </c>
      <c r="E80" s="46">
        <v>308</v>
      </c>
      <c r="F80" s="63">
        <v>6.5199999999999994E-2</v>
      </c>
      <c r="G80" s="46">
        <f>2.45*(0.75/0.7)</f>
        <v>2.625</v>
      </c>
      <c r="H80" s="46">
        <v>30400</v>
      </c>
      <c r="I80" s="48">
        <v>40</v>
      </c>
    </row>
    <row r="81" spans="1:12" x14ac:dyDescent="0.25">
      <c r="A81" s="45">
        <v>80</v>
      </c>
      <c r="B81" s="46">
        <v>1</v>
      </c>
      <c r="C81" s="46">
        <v>3</v>
      </c>
      <c r="D81" s="46">
        <v>308</v>
      </c>
      <c r="E81" s="46">
        <v>309</v>
      </c>
      <c r="F81" s="46">
        <v>0.1762</v>
      </c>
      <c r="G81" s="46">
        <f>1.225*(0.75/0.7)</f>
        <v>1.3125</v>
      </c>
      <c r="H81" s="46">
        <v>40850</v>
      </c>
      <c r="I81" s="48">
        <v>40</v>
      </c>
    </row>
    <row r="82" spans="1:12" x14ac:dyDescent="0.25">
      <c r="A82" s="45">
        <v>81</v>
      </c>
      <c r="B82" s="46">
        <v>1</v>
      </c>
      <c r="C82" s="46">
        <v>3</v>
      </c>
      <c r="D82" s="46">
        <v>308</v>
      </c>
      <c r="E82" s="46">
        <v>310</v>
      </c>
      <c r="F82" s="46">
        <v>0.1762</v>
      </c>
      <c r="G82" s="46">
        <f>1.225*(0.75/0.7)</f>
        <v>1.3125</v>
      </c>
      <c r="H82" s="46">
        <v>40850</v>
      </c>
      <c r="I82" s="48">
        <v>40</v>
      </c>
    </row>
    <row r="83" spans="1:12" s="18" customFormat="1" x14ac:dyDescent="0.25">
      <c r="A83" s="45">
        <v>82</v>
      </c>
      <c r="B83" s="46">
        <v>1</v>
      </c>
      <c r="C83" s="46">
        <v>3</v>
      </c>
      <c r="D83" s="46">
        <v>309</v>
      </c>
      <c r="E83" s="46">
        <v>311</v>
      </c>
      <c r="F83" s="46">
        <v>8.4000000000000005E-2</v>
      </c>
      <c r="G83" s="46">
        <f>2.8*(0.75/0.7)</f>
        <v>2.9999999999999996</v>
      </c>
      <c r="H83" s="46">
        <v>47500</v>
      </c>
      <c r="I83" s="48">
        <v>40</v>
      </c>
      <c r="K83" s="1"/>
      <c r="L83" s="1"/>
    </row>
    <row r="84" spans="1:12" s="18" customFormat="1" x14ac:dyDescent="0.25">
      <c r="A84" s="45">
        <v>83</v>
      </c>
      <c r="B84" s="46">
        <v>1</v>
      </c>
      <c r="C84" s="46">
        <v>3</v>
      </c>
      <c r="D84" s="46">
        <v>309</v>
      </c>
      <c r="E84" s="46">
        <v>312</v>
      </c>
      <c r="F84" s="46">
        <v>8.4000000000000005E-2</v>
      </c>
      <c r="G84" s="46">
        <f>2.8*(0.75/0.7)</f>
        <v>2.9999999999999996</v>
      </c>
      <c r="H84" s="46">
        <v>47500</v>
      </c>
      <c r="I84" s="48">
        <v>40</v>
      </c>
      <c r="K84" s="1"/>
      <c r="L84" s="1"/>
    </row>
    <row r="85" spans="1:12" s="18" customFormat="1" x14ac:dyDescent="0.25">
      <c r="A85" s="45">
        <v>84</v>
      </c>
      <c r="B85" s="46">
        <v>1</v>
      </c>
      <c r="C85" s="46">
        <v>3</v>
      </c>
      <c r="D85" s="46">
        <v>310</v>
      </c>
      <c r="E85" s="46">
        <v>311</v>
      </c>
      <c r="F85" s="46">
        <v>8.4000000000000005E-2</v>
      </c>
      <c r="G85" s="46">
        <f>2.8*(0.75/0.7)</f>
        <v>2.9999999999999996</v>
      </c>
      <c r="H85" s="46">
        <v>47500</v>
      </c>
      <c r="I85" s="48">
        <v>40</v>
      </c>
      <c r="K85" s="1"/>
      <c r="L85" s="1"/>
    </row>
    <row r="86" spans="1:12" s="18" customFormat="1" x14ac:dyDescent="0.25">
      <c r="A86" s="45">
        <v>85</v>
      </c>
      <c r="B86" s="46">
        <v>1</v>
      </c>
      <c r="C86" s="46">
        <v>3</v>
      </c>
      <c r="D86" s="46">
        <v>310</v>
      </c>
      <c r="E86" s="46">
        <v>312</v>
      </c>
      <c r="F86" s="46">
        <v>8.4000000000000005E-2</v>
      </c>
      <c r="G86" s="46">
        <f>2.8*(0.75/0.7)</f>
        <v>2.9999999999999996</v>
      </c>
      <c r="H86" s="46">
        <v>47500</v>
      </c>
      <c r="I86" s="48">
        <v>40</v>
      </c>
      <c r="K86" s="1"/>
      <c r="L86" s="1"/>
    </row>
    <row r="87" spans="1:12" s="18" customFormat="1" x14ac:dyDescent="0.25">
      <c r="A87" s="45">
        <v>86</v>
      </c>
      <c r="B87" s="46">
        <v>1</v>
      </c>
      <c r="C87" s="46">
        <v>3</v>
      </c>
      <c r="D87" s="46">
        <v>311</v>
      </c>
      <c r="E87" s="46">
        <v>313</v>
      </c>
      <c r="F87" s="46">
        <v>4.8800000000000003E-2</v>
      </c>
      <c r="G87" s="46">
        <f t="shared" ref="G87:G93" si="2">3.5*(0.75/0.7)</f>
        <v>3.75</v>
      </c>
      <c r="H87" s="46">
        <v>31350.000000000004</v>
      </c>
      <c r="I87" s="48">
        <v>40</v>
      </c>
      <c r="K87" s="1"/>
      <c r="L87" s="1"/>
    </row>
    <row r="88" spans="1:12" x14ac:dyDescent="0.25">
      <c r="A88" s="45">
        <v>87</v>
      </c>
      <c r="B88" s="46">
        <v>1</v>
      </c>
      <c r="C88" s="46">
        <v>3</v>
      </c>
      <c r="D88" s="46">
        <v>311</v>
      </c>
      <c r="E88" s="46">
        <v>314</v>
      </c>
      <c r="F88" s="46">
        <v>4.2599999999999999E-2</v>
      </c>
      <c r="G88" s="46">
        <f t="shared" si="2"/>
        <v>3.75</v>
      </c>
      <c r="H88" s="46">
        <v>27550</v>
      </c>
      <c r="I88" s="48">
        <v>40</v>
      </c>
    </row>
    <row r="89" spans="1:12" x14ac:dyDescent="0.25">
      <c r="A89" s="45">
        <v>88</v>
      </c>
      <c r="B89" s="46">
        <v>1</v>
      </c>
      <c r="C89" s="46">
        <v>3</v>
      </c>
      <c r="D89" s="46">
        <v>312</v>
      </c>
      <c r="E89" s="46">
        <v>313</v>
      </c>
      <c r="F89" s="46">
        <v>4.8800000000000003E-2</v>
      </c>
      <c r="G89" s="46">
        <f t="shared" si="2"/>
        <v>3.75</v>
      </c>
      <c r="H89" s="46">
        <v>31350.000000000004</v>
      </c>
      <c r="I89" s="48">
        <v>40</v>
      </c>
    </row>
    <row r="90" spans="1:12" x14ac:dyDescent="0.25">
      <c r="A90" s="45">
        <v>89</v>
      </c>
      <c r="B90" s="46">
        <v>1</v>
      </c>
      <c r="C90" s="46">
        <v>3</v>
      </c>
      <c r="D90" s="46">
        <v>312</v>
      </c>
      <c r="E90" s="46">
        <v>323</v>
      </c>
      <c r="F90" s="46">
        <v>9.8500000000000004E-2</v>
      </c>
      <c r="G90" s="46">
        <f t="shared" si="2"/>
        <v>3.75</v>
      </c>
      <c r="H90" s="46">
        <v>63650</v>
      </c>
      <c r="I90" s="48">
        <v>40</v>
      </c>
    </row>
    <row r="91" spans="1:12" x14ac:dyDescent="0.25">
      <c r="A91" s="45">
        <v>90</v>
      </c>
      <c r="B91" s="46">
        <v>1</v>
      </c>
      <c r="C91" s="46">
        <v>3</v>
      </c>
      <c r="D91" s="46">
        <v>313</v>
      </c>
      <c r="E91" s="46">
        <v>323</v>
      </c>
      <c r="F91" s="46">
        <v>8.8400000000000006E-2</v>
      </c>
      <c r="G91" s="46">
        <f>(3.5*(0.75/0.7))*0.8</f>
        <v>3</v>
      </c>
      <c r="H91" s="46">
        <v>57000</v>
      </c>
      <c r="I91" s="48">
        <v>40</v>
      </c>
    </row>
    <row r="92" spans="1:12" x14ac:dyDescent="0.25">
      <c r="A92" s="45">
        <v>91</v>
      </c>
      <c r="B92" s="46">
        <v>1</v>
      </c>
      <c r="C92" s="46">
        <v>3</v>
      </c>
      <c r="D92" s="46">
        <v>314</v>
      </c>
      <c r="E92" s="46">
        <v>316</v>
      </c>
      <c r="F92" s="46">
        <v>5.9400000000000001E-2</v>
      </c>
      <c r="G92" s="46">
        <v>1.875</v>
      </c>
      <c r="H92" s="46">
        <v>25650</v>
      </c>
      <c r="I92" s="48">
        <v>40</v>
      </c>
    </row>
    <row r="93" spans="1:12" x14ac:dyDescent="0.25">
      <c r="A93" s="45">
        <v>92</v>
      </c>
      <c r="B93" s="46">
        <v>1</v>
      </c>
      <c r="C93" s="46">
        <v>3</v>
      </c>
      <c r="D93" s="46">
        <v>315</v>
      </c>
      <c r="E93" s="46">
        <v>316</v>
      </c>
      <c r="F93" s="46">
        <v>1.72E-2</v>
      </c>
      <c r="G93" s="46">
        <f t="shared" si="2"/>
        <v>3.75</v>
      </c>
      <c r="H93" s="46">
        <v>11400.000000000002</v>
      </c>
      <c r="I93" s="48">
        <v>40</v>
      </c>
    </row>
    <row r="94" spans="1:12" x14ac:dyDescent="0.25">
      <c r="A94" s="45">
        <v>93</v>
      </c>
      <c r="B94" s="46">
        <v>1</v>
      </c>
      <c r="C94" s="46">
        <v>3</v>
      </c>
      <c r="D94" s="46">
        <v>315</v>
      </c>
      <c r="E94" s="46">
        <v>321</v>
      </c>
      <c r="F94" s="46">
        <v>2.4899999999999999E-2</v>
      </c>
      <c r="G94" s="46">
        <f>7*(0.75/0.7)</f>
        <v>7.5</v>
      </c>
      <c r="H94" s="46">
        <v>32300</v>
      </c>
      <c r="I94" s="48">
        <v>40</v>
      </c>
    </row>
    <row r="95" spans="1:12" x14ac:dyDescent="0.25">
      <c r="A95" s="45">
        <v>94</v>
      </c>
      <c r="B95" s="46">
        <v>1</v>
      </c>
      <c r="C95" s="46">
        <v>3</v>
      </c>
      <c r="D95" s="46">
        <v>315</v>
      </c>
      <c r="E95" s="46">
        <v>324</v>
      </c>
      <c r="F95" s="46">
        <v>5.2900000000000003E-2</v>
      </c>
      <c r="G95" s="46">
        <f>3.5*(0.75/0.7)</f>
        <v>3.75</v>
      </c>
      <c r="H95" s="46">
        <v>17100</v>
      </c>
      <c r="I95" s="48">
        <v>40</v>
      </c>
    </row>
    <row r="96" spans="1:12" x14ac:dyDescent="0.25">
      <c r="A96" s="45">
        <v>95</v>
      </c>
      <c r="B96" s="46">
        <v>1</v>
      </c>
      <c r="C96" s="46">
        <v>3</v>
      </c>
      <c r="D96" s="46">
        <v>316</v>
      </c>
      <c r="E96" s="46">
        <v>317</v>
      </c>
      <c r="F96" s="46">
        <v>2.63E-2</v>
      </c>
      <c r="G96" s="46">
        <f>3.5*(0.75/0.7)</f>
        <v>3.75</v>
      </c>
      <c r="H96" s="46">
        <v>15200</v>
      </c>
      <c r="I96" s="48">
        <v>40</v>
      </c>
    </row>
    <row r="97" spans="1:9" x14ac:dyDescent="0.25">
      <c r="A97" s="45">
        <v>96</v>
      </c>
      <c r="B97" s="46">
        <v>1</v>
      </c>
      <c r="C97" s="46">
        <v>3</v>
      </c>
      <c r="D97" s="46">
        <v>316</v>
      </c>
      <c r="E97" s="46">
        <v>319</v>
      </c>
      <c r="F97" s="46">
        <v>2.3400000000000001E-2</v>
      </c>
      <c r="G97" s="46">
        <f>3.5*(0.75/0.7)</f>
        <v>3.75</v>
      </c>
      <c r="H97" s="46">
        <v>9500</v>
      </c>
      <c r="I97" s="48">
        <v>40</v>
      </c>
    </row>
    <row r="98" spans="1:9" x14ac:dyDescent="0.25">
      <c r="A98" s="45">
        <v>97</v>
      </c>
      <c r="B98" s="46">
        <v>1</v>
      </c>
      <c r="C98" s="46">
        <v>3</v>
      </c>
      <c r="D98" s="46">
        <v>317</v>
      </c>
      <c r="E98" s="46">
        <v>318</v>
      </c>
      <c r="F98" s="46">
        <v>1.43E-2</v>
      </c>
      <c r="G98" s="46">
        <f>3.5*(0.75/0.7)</f>
        <v>3.75</v>
      </c>
      <c r="H98" s="46">
        <v>69350</v>
      </c>
      <c r="I98" s="48">
        <v>40</v>
      </c>
    </row>
    <row r="99" spans="1:9" x14ac:dyDescent="0.25">
      <c r="A99" s="45">
        <v>98</v>
      </c>
      <c r="B99" s="46">
        <v>1</v>
      </c>
      <c r="C99" s="46">
        <v>3</v>
      </c>
      <c r="D99" s="46">
        <v>317</v>
      </c>
      <c r="E99" s="46">
        <v>322</v>
      </c>
      <c r="F99" s="46">
        <v>0.1069</v>
      </c>
      <c r="G99" s="46">
        <f>3.5*(0.75/0.7)</f>
        <v>3.75</v>
      </c>
      <c r="H99" s="46">
        <v>17100</v>
      </c>
      <c r="I99" s="48">
        <v>40</v>
      </c>
    </row>
    <row r="100" spans="1:9" x14ac:dyDescent="0.25">
      <c r="A100" s="45">
        <v>99</v>
      </c>
      <c r="B100" s="46">
        <v>1</v>
      </c>
      <c r="C100" s="46">
        <v>3</v>
      </c>
      <c r="D100" s="46">
        <v>318</v>
      </c>
      <c r="E100" s="46">
        <v>321</v>
      </c>
      <c r="F100" s="46">
        <v>1.32E-2</v>
      </c>
      <c r="G100" s="46">
        <f>7*(0.75/0.7)</f>
        <v>7.5</v>
      </c>
      <c r="H100" s="46">
        <v>26125</v>
      </c>
      <c r="I100" s="48">
        <v>40</v>
      </c>
    </row>
    <row r="101" spans="1:9" x14ac:dyDescent="0.25">
      <c r="A101" s="45">
        <v>100</v>
      </c>
      <c r="B101" s="46">
        <v>1</v>
      </c>
      <c r="C101" s="46">
        <v>3</v>
      </c>
      <c r="D101" s="46">
        <v>319</v>
      </c>
      <c r="E101" s="46">
        <v>320</v>
      </c>
      <c r="F101" s="46">
        <v>2.0299999999999999E-2</v>
      </c>
      <c r="G101" s="46">
        <f>7*(0.75/0.7)</f>
        <v>7.5</v>
      </c>
      <c r="H101" s="46">
        <v>44650</v>
      </c>
      <c r="I101" s="48">
        <v>40</v>
      </c>
    </row>
    <row r="102" spans="1:9" x14ac:dyDescent="0.25">
      <c r="A102" s="45">
        <v>101</v>
      </c>
      <c r="B102" s="46">
        <v>1</v>
      </c>
      <c r="C102" s="46">
        <v>3</v>
      </c>
      <c r="D102" s="46">
        <v>320</v>
      </c>
      <c r="E102" s="46">
        <v>323</v>
      </c>
      <c r="F102" s="46">
        <v>1.12E-2</v>
      </c>
      <c r="G102" s="46">
        <f>7*(0.75/0.7)</f>
        <v>7.5</v>
      </c>
      <c r="H102" s="46">
        <v>31349.999999999996</v>
      </c>
      <c r="I102" s="48">
        <v>40</v>
      </c>
    </row>
    <row r="103" spans="1:9" x14ac:dyDescent="0.25">
      <c r="A103" s="45">
        <v>102</v>
      </c>
      <c r="B103" s="46">
        <v>1</v>
      </c>
      <c r="C103" s="46">
        <v>3</v>
      </c>
      <c r="D103" s="46">
        <v>321</v>
      </c>
      <c r="E103" s="46">
        <v>322</v>
      </c>
      <c r="F103" s="46">
        <v>6.9199999999999998E-2</v>
      </c>
      <c r="G103" s="46">
        <f t="shared" ref="G103:G109" si="3">3.5*(0.75/0.7)</f>
        <v>3.75</v>
      </c>
      <c r="H103" s="46">
        <v>29450</v>
      </c>
      <c r="I103" s="48">
        <v>40</v>
      </c>
    </row>
    <row r="104" spans="1:9" x14ac:dyDescent="0.25">
      <c r="A104" s="45">
        <v>103</v>
      </c>
      <c r="B104" s="46">
        <v>1</v>
      </c>
      <c r="C104" s="46">
        <v>3</v>
      </c>
      <c r="D104" s="46">
        <v>107</v>
      </c>
      <c r="E104" s="46">
        <v>203</v>
      </c>
      <c r="F104" s="46">
        <v>6.9199999999999998E-2</v>
      </c>
      <c r="G104" s="46">
        <f t="shared" si="3"/>
        <v>3.75</v>
      </c>
      <c r="H104" s="46">
        <v>29450</v>
      </c>
      <c r="I104" s="48">
        <v>40</v>
      </c>
    </row>
    <row r="105" spans="1:9" x14ac:dyDescent="0.25">
      <c r="A105" s="45">
        <v>104</v>
      </c>
      <c r="B105" s="46">
        <v>1</v>
      </c>
      <c r="C105" s="46">
        <v>3</v>
      </c>
      <c r="D105" s="46">
        <v>113</v>
      </c>
      <c r="E105" s="46">
        <v>215</v>
      </c>
      <c r="F105" s="46">
        <v>6.9199999999999998E-2</v>
      </c>
      <c r="G105" s="46">
        <f t="shared" si="3"/>
        <v>3.75</v>
      </c>
      <c r="H105" s="46">
        <v>29450</v>
      </c>
      <c r="I105" s="48">
        <v>40</v>
      </c>
    </row>
    <row r="106" spans="1:9" x14ac:dyDescent="0.25">
      <c r="A106" s="45">
        <v>105</v>
      </c>
      <c r="B106" s="46">
        <v>1</v>
      </c>
      <c r="C106" s="46">
        <v>3</v>
      </c>
      <c r="D106" s="46">
        <v>123</v>
      </c>
      <c r="E106" s="46">
        <v>217</v>
      </c>
      <c r="F106" s="46">
        <v>6.9199999999999998E-2</v>
      </c>
      <c r="G106" s="46">
        <f t="shared" si="3"/>
        <v>3.75</v>
      </c>
      <c r="H106" s="46">
        <v>29450</v>
      </c>
      <c r="I106" s="48">
        <v>40</v>
      </c>
    </row>
    <row r="107" spans="1:9" x14ac:dyDescent="0.25">
      <c r="A107" s="45">
        <v>106</v>
      </c>
      <c r="B107" s="46">
        <v>1</v>
      </c>
      <c r="C107" s="46">
        <v>3</v>
      </c>
      <c r="D107" s="46">
        <v>223</v>
      </c>
      <c r="E107" s="46">
        <v>318</v>
      </c>
      <c r="F107" s="46">
        <v>6.9199999999999998E-2</v>
      </c>
      <c r="G107" s="46">
        <f t="shared" si="3"/>
        <v>3.75</v>
      </c>
      <c r="H107" s="46">
        <v>29450</v>
      </c>
      <c r="I107" s="48">
        <v>40</v>
      </c>
    </row>
    <row r="108" spans="1:9" x14ac:dyDescent="0.25">
      <c r="A108" s="45">
        <v>107</v>
      </c>
      <c r="B108" s="46">
        <v>1</v>
      </c>
      <c r="C108" s="46">
        <v>3</v>
      </c>
      <c r="D108" s="46">
        <v>323</v>
      </c>
      <c r="E108" s="46">
        <v>325</v>
      </c>
      <c r="F108" s="46">
        <v>6.9199999999999998E-2</v>
      </c>
      <c r="G108" s="46">
        <f t="shared" si="3"/>
        <v>3.75</v>
      </c>
      <c r="H108" s="46">
        <v>29450</v>
      </c>
      <c r="I108" s="48">
        <v>40</v>
      </c>
    </row>
    <row r="109" spans="1:9" x14ac:dyDescent="0.25">
      <c r="A109" s="45">
        <v>108</v>
      </c>
      <c r="B109" s="46">
        <v>1</v>
      </c>
      <c r="C109" s="46">
        <v>3</v>
      </c>
      <c r="D109" s="46">
        <v>325</v>
      </c>
      <c r="E109" s="46">
        <v>121</v>
      </c>
      <c r="F109" s="46">
        <v>6.9199999999999998E-2</v>
      </c>
      <c r="G109" s="46">
        <f t="shared" si="3"/>
        <v>3.75</v>
      </c>
      <c r="H109" s="46">
        <v>29450</v>
      </c>
      <c r="I109" s="48">
        <v>40</v>
      </c>
    </row>
    <row r="110" spans="1:9" x14ac:dyDescent="0.25">
      <c r="A110" s="45">
        <v>3</v>
      </c>
      <c r="B110" s="46">
        <v>0</v>
      </c>
      <c r="C110" s="46">
        <v>3</v>
      </c>
      <c r="D110" s="46">
        <v>101</v>
      </c>
      <c r="E110" s="46">
        <v>105</v>
      </c>
      <c r="F110" s="46">
        <v>9.0700000000000003E-2</v>
      </c>
      <c r="G110" s="46">
        <v>1</v>
      </c>
      <c r="H110" s="46">
        <v>20900</v>
      </c>
      <c r="I110" s="48">
        <v>40</v>
      </c>
    </row>
    <row r="111" spans="1:9" x14ac:dyDescent="0.25">
      <c r="A111" s="45">
        <v>9</v>
      </c>
      <c r="B111" s="46">
        <v>0</v>
      </c>
      <c r="C111" s="46">
        <v>3</v>
      </c>
      <c r="D111" s="46">
        <v>105</v>
      </c>
      <c r="E111" s="46">
        <v>110</v>
      </c>
      <c r="F111" s="46">
        <v>9.4E-2</v>
      </c>
      <c r="G111" s="46">
        <v>1</v>
      </c>
      <c r="H111" s="46">
        <v>21850</v>
      </c>
      <c r="I111" s="48">
        <v>40</v>
      </c>
    </row>
    <row r="112" spans="1:9" x14ac:dyDescent="0.25">
      <c r="A112" s="45">
        <v>40</v>
      </c>
      <c r="B112" s="46">
        <v>0</v>
      </c>
      <c r="C112" s="46">
        <v>3</v>
      </c>
      <c r="D112" s="46">
        <v>113</v>
      </c>
      <c r="E112" s="46">
        <v>123</v>
      </c>
      <c r="F112" s="46">
        <v>8.8400000000000006E-2</v>
      </c>
      <c r="G112" s="46">
        <v>1.5</v>
      </c>
      <c r="H112" s="46">
        <v>31350.000000000004</v>
      </c>
      <c r="I112" s="48">
        <v>40</v>
      </c>
    </row>
    <row r="113" spans="1:9" x14ac:dyDescent="0.25">
      <c r="A113" s="45">
        <v>41</v>
      </c>
      <c r="B113" s="46">
        <v>0</v>
      </c>
      <c r="C113" s="46">
        <v>3</v>
      </c>
      <c r="D113" s="46">
        <v>114</v>
      </c>
      <c r="E113" s="46">
        <v>116</v>
      </c>
      <c r="F113" s="46">
        <v>5.9400000000000001E-2</v>
      </c>
      <c r="G113" s="46">
        <v>1.5</v>
      </c>
      <c r="H113" s="46">
        <v>25650</v>
      </c>
      <c r="I113" s="48">
        <v>40</v>
      </c>
    </row>
    <row r="114" spans="1:9" x14ac:dyDescent="0.25">
      <c r="A114" s="45">
        <v>40</v>
      </c>
      <c r="B114" s="46">
        <v>0</v>
      </c>
      <c r="C114" s="46">
        <v>3</v>
      </c>
      <c r="D114" s="46">
        <v>207</v>
      </c>
      <c r="E114" s="46">
        <v>208</v>
      </c>
      <c r="F114" s="63">
        <v>6.5199999999999994E-2</v>
      </c>
      <c r="G114" s="46">
        <v>1</v>
      </c>
      <c r="H114" s="46">
        <v>30400</v>
      </c>
      <c r="I114" s="48">
        <v>40</v>
      </c>
    </row>
    <row r="115" spans="1:9" x14ac:dyDescent="0.25">
      <c r="A115" s="45">
        <v>41</v>
      </c>
      <c r="B115" s="46">
        <v>0</v>
      </c>
      <c r="C115" s="46">
        <v>3</v>
      </c>
      <c r="D115" s="46">
        <v>207</v>
      </c>
      <c r="E115" s="46">
        <v>208</v>
      </c>
      <c r="F115" s="63">
        <v>6.5199999999999994E-2</v>
      </c>
      <c r="G115" s="46">
        <v>1</v>
      </c>
      <c r="H115" s="46">
        <v>30400</v>
      </c>
      <c r="I115" s="48">
        <v>40</v>
      </c>
    </row>
    <row r="116" spans="1:9" x14ac:dyDescent="0.25">
      <c r="A116" s="45">
        <v>40</v>
      </c>
      <c r="B116" s="46">
        <v>0</v>
      </c>
      <c r="C116" s="46">
        <v>3</v>
      </c>
      <c r="D116" s="46">
        <v>313</v>
      </c>
      <c r="E116" s="46">
        <v>323</v>
      </c>
      <c r="F116" s="46">
        <v>8.8400000000000006E-2</v>
      </c>
      <c r="G116" s="46">
        <v>1.5</v>
      </c>
      <c r="H116" s="46">
        <v>31350.000000000004</v>
      </c>
      <c r="I116" s="48">
        <v>40</v>
      </c>
    </row>
    <row r="117" spans="1:9" x14ac:dyDescent="0.25">
      <c r="A117" s="51">
        <v>41</v>
      </c>
      <c r="B117" s="52">
        <v>0</v>
      </c>
      <c r="C117" s="52">
        <v>3</v>
      </c>
      <c r="D117" s="52">
        <v>314</v>
      </c>
      <c r="E117" s="52">
        <v>316</v>
      </c>
      <c r="F117" s="52">
        <v>5.9400000000000001E-2</v>
      </c>
      <c r="G117" s="52">
        <v>1.5</v>
      </c>
      <c r="H117" s="52">
        <v>25650</v>
      </c>
      <c r="I117" s="54">
        <v>40</v>
      </c>
    </row>
    <row r="118" spans="1:9" x14ac:dyDescent="0.25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 x14ac:dyDescent="0.25">
      <c r="A119" s="18"/>
      <c r="B119" s="18"/>
      <c r="C119" s="18"/>
      <c r="D119" s="18"/>
      <c r="E119" s="18"/>
      <c r="F119" s="18"/>
      <c r="G119" s="18"/>
      <c r="H119" s="18"/>
      <c r="I119" s="18"/>
    </row>
    <row r="120" spans="1:9" x14ac:dyDescent="0.25">
      <c r="A120" s="33"/>
    </row>
    <row r="121" spans="1:9" x14ac:dyDescent="0.25">
      <c r="A121" s="33"/>
    </row>
    <row r="124" spans="1:9" s="18" customFormat="1" x14ac:dyDescent="0.25"/>
    <row r="125" spans="1:9" s="18" customFormat="1" x14ac:dyDescent="0.25"/>
    <row r="126" spans="1:9" s="18" customFormat="1" x14ac:dyDescent="0.25"/>
    <row r="127" spans="1:9" s="18" customFormat="1" x14ac:dyDescent="0.25"/>
    <row r="128" spans="1:9" s="18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A74"/>
  <sheetViews>
    <sheetView workbookViewId="0">
      <selection activeCell="D6" sqref="D6"/>
    </sheetView>
  </sheetViews>
  <sheetFormatPr defaultColWidth="9" defaultRowHeight="13.8" x14ac:dyDescent="0.25"/>
  <cols>
    <col min="1" max="16384" width="9" style="1"/>
  </cols>
  <sheetData>
    <row r="1" spans="1:1" x14ac:dyDescent="0.25">
      <c r="A1" s="65" t="s">
        <v>278</v>
      </c>
    </row>
    <row r="2" spans="1:1" x14ac:dyDescent="0.25">
      <c r="A2" s="66">
        <v>101</v>
      </c>
    </row>
    <row r="3" spans="1:1" x14ac:dyDescent="0.25">
      <c r="A3" s="66">
        <v>102</v>
      </c>
    </row>
    <row r="4" spans="1:1" x14ac:dyDescent="0.25">
      <c r="A4" s="66">
        <v>103</v>
      </c>
    </row>
    <row r="5" spans="1:1" x14ac:dyDescent="0.25">
      <c r="A5" s="66">
        <v>104</v>
      </c>
    </row>
    <row r="6" spans="1:1" x14ac:dyDescent="0.25">
      <c r="A6" s="66">
        <v>105</v>
      </c>
    </row>
    <row r="7" spans="1:1" x14ac:dyDescent="0.25">
      <c r="A7" s="66">
        <v>106</v>
      </c>
    </row>
    <row r="8" spans="1:1" x14ac:dyDescent="0.25">
      <c r="A8" s="66">
        <v>107</v>
      </c>
    </row>
    <row r="9" spans="1:1" x14ac:dyDescent="0.25">
      <c r="A9" s="66">
        <v>108</v>
      </c>
    </row>
    <row r="10" spans="1:1" x14ac:dyDescent="0.25">
      <c r="A10" s="66">
        <v>109</v>
      </c>
    </row>
    <row r="11" spans="1:1" x14ac:dyDescent="0.25">
      <c r="A11" s="66">
        <v>110</v>
      </c>
    </row>
    <row r="12" spans="1:1" x14ac:dyDescent="0.25">
      <c r="A12" s="66">
        <v>111</v>
      </c>
    </row>
    <row r="13" spans="1:1" x14ac:dyDescent="0.25">
      <c r="A13" s="66">
        <v>112</v>
      </c>
    </row>
    <row r="14" spans="1:1" x14ac:dyDescent="0.25">
      <c r="A14" s="66">
        <v>113</v>
      </c>
    </row>
    <row r="15" spans="1:1" x14ac:dyDescent="0.25">
      <c r="A15" s="66">
        <v>114</v>
      </c>
    </row>
    <row r="16" spans="1:1" x14ac:dyDescent="0.25">
      <c r="A16" s="66">
        <v>115</v>
      </c>
    </row>
    <row r="17" spans="1:1" x14ac:dyDescent="0.25">
      <c r="A17" s="66">
        <v>116</v>
      </c>
    </row>
    <row r="18" spans="1:1" x14ac:dyDescent="0.25">
      <c r="A18" s="66">
        <v>117</v>
      </c>
    </row>
    <row r="19" spans="1:1" x14ac:dyDescent="0.25">
      <c r="A19" s="66">
        <v>118</v>
      </c>
    </row>
    <row r="20" spans="1:1" x14ac:dyDescent="0.25">
      <c r="A20" s="66">
        <v>119</v>
      </c>
    </row>
    <row r="21" spans="1:1" x14ac:dyDescent="0.25">
      <c r="A21" s="66">
        <v>120</v>
      </c>
    </row>
    <row r="22" spans="1:1" x14ac:dyDescent="0.25">
      <c r="A22" s="66">
        <v>121</v>
      </c>
    </row>
    <row r="23" spans="1:1" x14ac:dyDescent="0.25">
      <c r="A23" s="66">
        <v>122</v>
      </c>
    </row>
    <row r="24" spans="1:1" x14ac:dyDescent="0.25">
      <c r="A24" s="66">
        <v>123</v>
      </c>
    </row>
    <row r="25" spans="1:1" x14ac:dyDescent="0.25">
      <c r="A25" s="66">
        <v>124</v>
      </c>
    </row>
    <row r="26" spans="1:1" x14ac:dyDescent="0.25">
      <c r="A26" s="66">
        <v>201</v>
      </c>
    </row>
    <row r="27" spans="1:1" x14ac:dyDescent="0.25">
      <c r="A27" s="66">
        <v>202</v>
      </c>
    </row>
    <row r="28" spans="1:1" x14ac:dyDescent="0.25">
      <c r="A28" s="66">
        <v>203</v>
      </c>
    </row>
    <row r="29" spans="1:1" x14ac:dyDescent="0.25">
      <c r="A29" s="66">
        <v>204</v>
      </c>
    </row>
    <row r="30" spans="1:1" x14ac:dyDescent="0.25">
      <c r="A30" s="66">
        <v>205</v>
      </c>
    </row>
    <row r="31" spans="1:1" x14ac:dyDescent="0.25">
      <c r="A31" s="66">
        <v>206</v>
      </c>
    </row>
    <row r="32" spans="1:1" x14ac:dyDescent="0.25">
      <c r="A32" s="66">
        <v>207</v>
      </c>
    </row>
    <row r="33" spans="1:1" x14ac:dyDescent="0.25">
      <c r="A33" s="66">
        <v>208</v>
      </c>
    </row>
    <row r="34" spans="1:1" x14ac:dyDescent="0.25">
      <c r="A34" s="66">
        <v>209</v>
      </c>
    </row>
    <row r="35" spans="1:1" x14ac:dyDescent="0.25">
      <c r="A35" s="66">
        <v>210</v>
      </c>
    </row>
    <row r="36" spans="1:1" x14ac:dyDescent="0.25">
      <c r="A36" s="66">
        <v>211</v>
      </c>
    </row>
    <row r="37" spans="1:1" x14ac:dyDescent="0.25">
      <c r="A37" s="66">
        <v>212</v>
      </c>
    </row>
    <row r="38" spans="1:1" x14ac:dyDescent="0.25">
      <c r="A38" s="66">
        <v>213</v>
      </c>
    </row>
    <row r="39" spans="1:1" x14ac:dyDescent="0.25">
      <c r="A39" s="66">
        <v>214</v>
      </c>
    </row>
    <row r="40" spans="1:1" x14ac:dyDescent="0.25">
      <c r="A40" s="66">
        <v>215</v>
      </c>
    </row>
    <row r="41" spans="1:1" x14ac:dyDescent="0.25">
      <c r="A41" s="66">
        <v>216</v>
      </c>
    </row>
    <row r="42" spans="1:1" x14ac:dyDescent="0.25">
      <c r="A42" s="66">
        <v>217</v>
      </c>
    </row>
    <row r="43" spans="1:1" x14ac:dyDescent="0.25">
      <c r="A43" s="66">
        <v>218</v>
      </c>
    </row>
    <row r="44" spans="1:1" x14ac:dyDescent="0.25">
      <c r="A44" s="66">
        <v>219</v>
      </c>
    </row>
    <row r="45" spans="1:1" x14ac:dyDescent="0.25">
      <c r="A45" s="66">
        <v>220</v>
      </c>
    </row>
    <row r="46" spans="1:1" x14ac:dyDescent="0.25">
      <c r="A46" s="66">
        <v>221</v>
      </c>
    </row>
    <row r="47" spans="1:1" x14ac:dyDescent="0.25">
      <c r="A47" s="66">
        <v>222</v>
      </c>
    </row>
    <row r="48" spans="1:1" x14ac:dyDescent="0.25">
      <c r="A48" s="66">
        <v>223</v>
      </c>
    </row>
    <row r="49" spans="1:1" x14ac:dyDescent="0.25">
      <c r="A49" s="66">
        <v>224</v>
      </c>
    </row>
    <row r="50" spans="1:1" x14ac:dyDescent="0.25">
      <c r="A50" s="66">
        <v>301</v>
      </c>
    </row>
    <row r="51" spans="1:1" x14ac:dyDescent="0.25">
      <c r="A51" s="66">
        <v>302</v>
      </c>
    </row>
    <row r="52" spans="1:1" x14ac:dyDescent="0.25">
      <c r="A52" s="66">
        <v>303</v>
      </c>
    </row>
    <row r="53" spans="1:1" x14ac:dyDescent="0.25">
      <c r="A53" s="66">
        <v>304</v>
      </c>
    </row>
    <row r="54" spans="1:1" x14ac:dyDescent="0.25">
      <c r="A54" s="66">
        <v>305</v>
      </c>
    </row>
    <row r="55" spans="1:1" x14ac:dyDescent="0.25">
      <c r="A55" s="66">
        <v>306</v>
      </c>
    </row>
    <row r="56" spans="1:1" x14ac:dyDescent="0.25">
      <c r="A56" s="66">
        <v>307</v>
      </c>
    </row>
    <row r="57" spans="1:1" x14ac:dyDescent="0.25">
      <c r="A57" s="66">
        <v>308</v>
      </c>
    </row>
    <row r="58" spans="1:1" x14ac:dyDescent="0.25">
      <c r="A58" s="66">
        <v>309</v>
      </c>
    </row>
    <row r="59" spans="1:1" x14ac:dyDescent="0.25">
      <c r="A59" s="66">
        <v>310</v>
      </c>
    </row>
    <row r="60" spans="1:1" x14ac:dyDescent="0.25">
      <c r="A60" s="66">
        <v>311</v>
      </c>
    </row>
    <row r="61" spans="1:1" x14ac:dyDescent="0.25">
      <c r="A61" s="66">
        <v>312</v>
      </c>
    </row>
    <row r="62" spans="1:1" x14ac:dyDescent="0.25">
      <c r="A62" s="66">
        <v>313</v>
      </c>
    </row>
    <row r="63" spans="1:1" x14ac:dyDescent="0.25">
      <c r="A63" s="66">
        <v>314</v>
      </c>
    </row>
    <row r="64" spans="1:1" x14ac:dyDescent="0.25">
      <c r="A64" s="66">
        <v>315</v>
      </c>
    </row>
    <row r="65" spans="1:1" x14ac:dyDescent="0.25">
      <c r="A65" s="66">
        <v>316</v>
      </c>
    </row>
    <row r="66" spans="1:1" x14ac:dyDescent="0.25">
      <c r="A66" s="66">
        <v>317</v>
      </c>
    </row>
    <row r="67" spans="1:1" x14ac:dyDescent="0.25">
      <c r="A67" s="66">
        <v>318</v>
      </c>
    </row>
    <row r="68" spans="1:1" x14ac:dyDescent="0.25">
      <c r="A68" s="66">
        <v>319</v>
      </c>
    </row>
    <row r="69" spans="1:1" x14ac:dyDescent="0.25">
      <c r="A69" s="66">
        <v>320</v>
      </c>
    </row>
    <row r="70" spans="1:1" x14ac:dyDescent="0.25">
      <c r="A70" s="66">
        <v>321</v>
      </c>
    </row>
    <row r="71" spans="1:1" x14ac:dyDescent="0.25">
      <c r="A71" s="66">
        <v>322</v>
      </c>
    </row>
    <row r="72" spans="1:1" x14ac:dyDescent="0.25">
      <c r="A72" s="66">
        <v>323</v>
      </c>
    </row>
    <row r="73" spans="1:1" x14ac:dyDescent="0.25">
      <c r="A73" s="66">
        <v>324</v>
      </c>
    </row>
    <row r="74" spans="1:1" x14ac:dyDescent="0.25">
      <c r="A74" s="67">
        <v>325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AW136"/>
  <sheetViews>
    <sheetView topLeftCell="W16" workbookViewId="0">
      <selection activeCell="AJ25" sqref="AJ25"/>
    </sheetView>
  </sheetViews>
  <sheetFormatPr defaultColWidth="8.88671875" defaultRowHeight="13.8" x14ac:dyDescent="0.25"/>
  <cols>
    <col min="1" max="16384" width="8.88671875" style="3"/>
  </cols>
  <sheetData>
    <row r="1" spans="1:49" x14ac:dyDescent="0.25"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109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  <c r="AO1" s="3" t="s">
        <v>123</v>
      </c>
      <c r="AP1" s="3" t="s">
        <v>124</v>
      </c>
      <c r="AQ1" s="3" t="s">
        <v>125</v>
      </c>
      <c r="AR1" s="3" t="s">
        <v>126</v>
      </c>
      <c r="AS1" s="3" t="s">
        <v>127</v>
      </c>
      <c r="AT1" s="3" t="s">
        <v>128</v>
      </c>
      <c r="AU1" s="3" t="s">
        <v>129</v>
      </c>
      <c r="AV1" s="3" t="s">
        <v>130</v>
      </c>
      <c r="AW1" s="3" t="s">
        <v>131</v>
      </c>
    </row>
    <row r="2" spans="1:49" x14ac:dyDescent="0.25">
      <c r="A2" s="3" t="s">
        <v>132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f>(1.86400295635555*(0.9/0.95))*(0.85/0.9)</f>
        <v>1.6677921188444396</v>
      </c>
      <c r="AA2" s="3">
        <f>(1.73939963254815*(0.9/0.95))*(0.85/0.9)</f>
        <v>1.5563049343851869</v>
      </c>
      <c r="AB2" s="3">
        <f>(1.75086108980741*(0.9/0.95))*(0.85/0.9)</f>
        <v>1.5665599224592615</v>
      </c>
      <c r="AC2" s="3">
        <f>(1.748663518*(0.9/0.95))*(0.85/0.9)</f>
        <v>1.5645936740000002</v>
      </c>
      <c r="AD2" s="3">
        <f>(1.6879350066963*(0.9/0.95))*(0.85/0.9)</f>
        <v>1.5102576375703738</v>
      </c>
      <c r="AE2" s="3">
        <f>(1.73446365182222*(0.9/0.95))*(0.85/0.9)</f>
        <v>1.5518885305777759</v>
      </c>
      <c r="AF2" s="3">
        <f>(2.07752549511111*(0.9/0.95))*(0.85/0.9)</f>
        <v>1.858838600888888</v>
      </c>
      <c r="AG2" s="3">
        <f>(2.57849633305185*(0.9/0.95))*(0.85/0.9)</f>
        <v>2.3070756664148133</v>
      </c>
      <c r="AH2" s="3">
        <f>(2.68757694903704*(0.9/0.95))*(0.85/0.9)</f>
        <v>2.4046741122962989</v>
      </c>
      <c r="AI2" s="3">
        <f>(2.72804642942222*(0.9/0.95))*(0.85/0.9)</f>
        <v>2.4408836473777757</v>
      </c>
      <c r="AJ2" s="3">
        <f>(2.89504791685926*(0.9/0.95))*(0.85/0.9)</f>
        <v>2.5903060308740748</v>
      </c>
      <c r="AK2" s="3">
        <f>(2.63051149023704*(0.9/0.95))*(0.85/0.9)</f>
        <v>2.3536155438962991</v>
      </c>
      <c r="AL2" s="3">
        <f>(2.64920168468148*(0.9/0.95))*(0.85/0.9)</f>
        <v>2.3703383494518508</v>
      </c>
      <c r="AM2" s="3">
        <f>(2.70029354798519*(0.9/0.95))*(0.85/0.9)</f>
        <v>2.4160521218814859</v>
      </c>
      <c r="AN2" s="3">
        <f>(2.7423656034963*(0.9/0.95))*(0.85/0.9)</f>
        <v>2.4536955399703739</v>
      </c>
      <c r="AO2" s="3">
        <f>(2.6728766678963*(0.9/0.95))*(0.85/0.9)</f>
        <v>2.3915212291703738</v>
      </c>
      <c r="AP2" s="3">
        <f>(2.9062381152*(0.9/0.95))*(0.85/0.9)</f>
        <v>2.6003183135999999</v>
      </c>
      <c r="AQ2" s="3">
        <f>(2.74388034148149*(0.9/0.95))*(0.85/0.9)</f>
        <v>2.4550508318518598</v>
      </c>
      <c r="AR2" s="3">
        <f>(2.7813815653037*(0.9/0.95))*(0.85/0.9)</f>
        <v>2.4886045584296266</v>
      </c>
      <c r="AS2" s="3">
        <f>(2.71623893965926*(0.9/0.95))*(0.85/0.9)</f>
        <v>2.4303190512740747</v>
      </c>
      <c r="AT2" s="3">
        <f>(2.63396683614815*(0.9/0.95))*(0.85/0.9)</f>
        <v>2.3567071691851869</v>
      </c>
      <c r="AU2" s="3">
        <f>(2.41318705288889*(0.9/0.95))*(0.85/0.9)</f>
        <v>2.1591673631111119</v>
      </c>
      <c r="AV2" s="3">
        <f>(2.05985200192593*(0.9/0.95))*(0.85/0.9)</f>
        <v>1.8430254754074109</v>
      </c>
      <c r="AW2" s="3">
        <f>(1.78847174602963*(0.9/0.95))*(0.85/0.9)</f>
        <v>1.6002115622370374</v>
      </c>
    </row>
    <row r="3" spans="1:49" x14ac:dyDescent="0.25">
      <c r="A3" s="3" t="s">
        <v>133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f>(1.64834007717037*(0.9/0.95))*(0.85/0.9)</f>
        <v>1.4748305953629628</v>
      </c>
      <c r="AA3" s="3">
        <f>(1.62826629456296*(0.9/0.95))*(0.85/0.9)</f>
        <v>1.4568698425037012</v>
      </c>
      <c r="AB3" s="3">
        <f>(1.5939867524*(0.9/0.95))*(0.85/0.9)</f>
        <v>1.4261986732</v>
      </c>
      <c r="AC3" s="3">
        <f>(1.50227055927407*(0.9/0.95))*(0.85/0.9)</f>
        <v>1.3441368161925891</v>
      </c>
      <c r="AD3" s="3">
        <f>(1.4659500266963*(0.9/0.95))*(0.85/0.9)</f>
        <v>1.3116394975703736</v>
      </c>
      <c r="AE3" s="3">
        <f>(1.55683997062222*(0.9/0.95))*(0.85/0.9)</f>
        <v>1.3929620789777759</v>
      </c>
      <c r="AF3" s="3">
        <f>(1.82296503988148*(0.9/0.95))*(0.85/0.9)</f>
        <v>1.6310739830518506</v>
      </c>
      <c r="AG3" s="3">
        <f>(2.31317220555555*(0.9/0.95))*(0.85/0.9)</f>
        <v>2.0696803944444397</v>
      </c>
      <c r="AH3" s="3">
        <f>(2.52451248425185*(0.9/0.95))*(0.85/0.9)</f>
        <v>2.2587743280148129</v>
      </c>
      <c r="AI3" s="3">
        <f>(2.47521736228149*(0.9/0.95))*(0.85/0.9)</f>
        <v>2.2146681662518595</v>
      </c>
      <c r="AJ3" s="3">
        <f>(2.54250578037037*(0.9/0.95))*(0.85/0.9)</f>
        <v>2.2748735929629627</v>
      </c>
      <c r="AK3" s="3">
        <f>(2.41474413019259*(0.9/0.95))*(0.85/0.9)</f>
        <v>2.1605605375407384</v>
      </c>
      <c r="AL3" s="3">
        <f>(2.40980182457778*(0.9/0.95))*(0.85/0.9)</f>
        <v>2.1561384746222245</v>
      </c>
      <c r="AM3" s="3">
        <f>(2.46546872237037*(0.9/0.95))*(0.85/0.9)</f>
        <v>2.2059456989629629</v>
      </c>
      <c r="AN3" s="3">
        <f>(2.28211077868148*(0.9/0.95))*(0.85/0.9)</f>
        <v>2.0418885914518508</v>
      </c>
      <c r="AO3" s="3">
        <f>(2.49945015537778*(0.9/0.95))*(0.85/0.9)</f>
        <v>2.2363501390222242</v>
      </c>
      <c r="AP3" s="3">
        <f>(2.63613769367407*(0.9/0.95))*(0.85/0.9)</f>
        <v>2.3586495153925888</v>
      </c>
      <c r="AQ3" s="3">
        <f>(2.60441014368889*(0.9/0.95))*(0.85/0.9)</f>
        <v>2.3302617075111121</v>
      </c>
      <c r="AR3" s="3">
        <f>(2.6640585018963*(0.9/0.95))*(0.85/0.9)</f>
        <v>2.3836312911703739</v>
      </c>
      <c r="AS3" s="3">
        <f>(2.5560289858963*(0.9/0.95))*(0.85/0.9)</f>
        <v>2.2869733031703738</v>
      </c>
      <c r="AT3" s="3">
        <f>(2.38672226955555*(0.9/0.95))*(0.85/0.9)</f>
        <v>2.1354883464444399</v>
      </c>
      <c r="AU3" s="3">
        <f>(2.0363304948*(0.9/0.95))*(0.85/0.9)</f>
        <v>1.8219799164000001</v>
      </c>
      <c r="AV3" s="3">
        <f>(1.97006947511111*(0.9/0.95))*(0.85/0.9)</f>
        <v>1.7626937408888881</v>
      </c>
      <c r="AW3" s="3">
        <f>(1.61604377386666*(0.9/0.95))*(0.85/0.9)</f>
        <v>1.4459339029333274</v>
      </c>
    </row>
    <row r="4" spans="1:49" x14ac:dyDescent="0.25">
      <c r="A4" s="3" t="s">
        <v>134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f>(3.2437254358963*(0.9/0.95))*(0.85/0.9)</f>
        <v>2.9022806531703735</v>
      </c>
      <c r="AA4" s="3">
        <f>(3.12640192324445*(0.9/0.95))*(0.85/0.9)</f>
        <v>2.7973069839555609</v>
      </c>
      <c r="AB4" s="3">
        <f>(2.97691006117037*(0.9/0.95))*(0.85/0.9)</f>
        <v>2.6635511073629625</v>
      </c>
      <c r="AC4" s="3">
        <f>(2.6807031189037*(0.9/0.95))*(0.85/0.9)</f>
        <v>2.3985238432296265</v>
      </c>
      <c r="AD4" s="3">
        <f>(2.73896801702222*(0.9/0.95))*(0.85/0.9)</f>
        <v>2.4506555941777757</v>
      </c>
      <c r="AE4" s="3">
        <f>(2.96526699881481*(0.9/0.95))*(0.85/0.9)</f>
        <v>2.6531336305185143</v>
      </c>
      <c r="AF4" s="3">
        <f>(3.60271827927407*(0.9/0.95))*(0.85/0.9)</f>
        <v>3.2234847761925889</v>
      </c>
      <c r="AG4" s="3">
        <f>(3.91838373038519*(0.9/0.95))*(0.85/0.9)</f>
        <v>3.505922285081486</v>
      </c>
      <c r="AH4" s="3">
        <f>(4.39889396260741*(0.9/0.95))*(0.85/0.9)</f>
        <v>3.9358524928592615</v>
      </c>
      <c r="AI4" s="3">
        <f>(4.56952913614815*(0.9/0.95))*(0.85/0.9)</f>
        <v>4.0885260691851872</v>
      </c>
      <c r="AJ4" s="3">
        <f>(4.59974652531851*(0.9/0.95))*(0.85/0.9)</f>
        <v>4.1155626805481411</v>
      </c>
      <c r="AK4" s="3">
        <f>(4.76180263533334*(0.9/0.95))*(0.85/0.9)</f>
        <v>4.2605602526666724</v>
      </c>
      <c r="AL4" s="3">
        <f>(4.55883098854815*(0.9/0.95))*(0.85/0.9)</f>
        <v>4.0789540423851873</v>
      </c>
      <c r="AM4" s="3">
        <f>(4.65650615308148*(0.9/0.95))*(0.85/0.9)</f>
        <v>4.1663476106518509</v>
      </c>
      <c r="AN4" s="3">
        <f>(4.60141506056296*(0.9/0.95))*(0.85/0.9)</f>
        <v>4.1170555805037017</v>
      </c>
      <c r="AO4" s="3">
        <f>(4.60554654497778*(0.9/0.95))*(0.85/0.9)</f>
        <v>4.1207521718222244</v>
      </c>
      <c r="AP4" s="3">
        <f>(4.62814095146666*(0.9/0.95))*(0.85/0.9)</f>
        <v>4.1409682197333275</v>
      </c>
      <c r="AQ4" s="3">
        <f>(4.73925668616296*(0.9/0.95))*(0.85/0.9)</f>
        <v>4.2403875613037014</v>
      </c>
      <c r="AR4" s="3">
        <f>(4.95231920057778*(0.9/0.95))*(0.85/0.9)</f>
        <v>4.4310224426222247</v>
      </c>
      <c r="AS4" s="3">
        <f>(4.56391658540741*(0.9/0.95))*(0.85/0.9)</f>
        <v>4.0835043132592617</v>
      </c>
      <c r="AT4" s="3">
        <f>(4.41018907725926*(0.9/0.95))*(0.85/0.9)</f>
        <v>3.9459586480740754</v>
      </c>
      <c r="AU4" s="3">
        <f>(3.85336422136296*(0.9/0.95))*(0.85/0.9)</f>
        <v>3.4477469349037011</v>
      </c>
      <c r="AV4" s="3">
        <f>(3.54493622435555*(0.9/0.95))*(0.85/0.9)</f>
        <v>3.1717850428444394</v>
      </c>
      <c r="AW4" s="3">
        <f>(3.15740179377778*(0.9/0.95))*(0.85/0.9)</f>
        <v>2.8250437102222246</v>
      </c>
    </row>
    <row r="5" spans="1:49" x14ac:dyDescent="0.25">
      <c r="A5" s="3" t="s">
        <v>135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f>(1.27664121573334*(0.9/0.95))*(0.85/0.9)</f>
        <v>1.1422579298666726</v>
      </c>
      <c r="AA5" s="3">
        <f>(1.21025762718519*(0.9/0.95))*(0.85/0.9)</f>
        <v>1.0828620874814858</v>
      </c>
      <c r="AB5" s="3">
        <f>(1.20412475482963*(0.9/0.95))*(0.85/0.9)</f>
        <v>1.0773747806370375</v>
      </c>
      <c r="AC5" s="3">
        <f>(1.10639658536296*(0.9/0.95))*(0.85/0.9)</f>
        <v>0.98993378690370104</v>
      </c>
      <c r="AD5" s="3">
        <f>(1.11729709197037*(0.9/0.95))*(0.85/0.9)</f>
        <v>0.99968687176296256</v>
      </c>
      <c r="AE5" s="3">
        <f>(1.23028657598519*(0.9/0.95))*(0.85/0.9)</f>
        <v>1.1007827258814857</v>
      </c>
      <c r="AF5" s="3">
        <f>(1.44395027798519*(0.9/0.95))*(0.85/0.9)</f>
        <v>1.2919555118814858</v>
      </c>
      <c r="AG5" s="3">
        <f>(1.66664000035555*(0.9/0.95))*(0.85/0.9)</f>
        <v>1.4912042108444394</v>
      </c>
      <c r="AH5" s="3">
        <f>(1.82746842579259*(0.9/0.95))*(0.85/0.9)</f>
        <v>1.6351033283407386</v>
      </c>
      <c r="AI5" s="3">
        <f>(1.85017603005926*(0.9/0.95))*(0.85/0.9)</f>
        <v>1.6554206584740747</v>
      </c>
      <c r="AJ5" s="3">
        <f>(1.93764140525926*(0.9/0.95))*(0.85/0.9)</f>
        <v>1.7336791520740749</v>
      </c>
      <c r="AK5" s="3">
        <f>(1.84149870416296*(0.9/0.95))*(0.85/0.9)</f>
        <v>1.6476567353037013</v>
      </c>
      <c r="AL5" s="3">
        <f>(1.82764968607407*(0.9/0.95))*(0.85/0.9)</f>
        <v>1.6352655085925891</v>
      </c>
      <c r="AM5" s="3">
        <f>(1.84926182155555*(0.9/0.95))*(0.85/0.9)</f>
        <v>1.6546026824444395</v>
      </c>
      <c r="AN5" s="3">
        <f>(1.75785650361481*(0.9/0.95))*(0.85/0.9)</f>
        <v>1.5728189769185144</v>
      </c>
      <c r="AO5" s="3">
        <f>(1.77998621204445*(0.9/0.95))*(0.85/0.9)</f>
        <v>1.5926192423555607</v>
      </c>
      <c r="AP5" s="3">
        <f>(2.03493768136296*(0.9/0.95))*(0.85/0.9)</f>
        <v>1.8207337149037011</v>
      </c>
      <c r="AQ5" s="3">
        <f>(1.94290998647407*(0.9/0.95))*(0.85/0.9)</f>
        <v>1.738393145792589</v>
      </c>
      <c r="AR5" s="3">
        <f>(1.91246066106666*(0.9/0.95))*(0.85/0.9)</f>
        <v>1.7111490125333273</v>
      </c>
      <c r="AS5" s="3">
        <f>(1.96673477497778*(0.9/0.95))*(0.85/0.9)</f>
        <v>1.7597100618222241</v>
      </c>
      <c r="AT5" s="3">
        <f>(1.88081284802963*(0.9/0.95))*(0.85/0.9)</f>
        <v>1.6828325482370374</v>
      </c>
      <c r="AU5" s="3">
        <f>(1.6864255630963*(0.9/0.95))*(0.85/0.9)</f>
        <v>1.5089070827703739</v>
      </c>
      <c r="AV5" s="3">
        <f>(1.40071377102222*(0.9/0.95))*(0.85/0.9)</f>
        <v>1.2532702161777758</v>
      </c>
      <c r="AW5" s="3">
        <f>(1.27148312106666*(0.9/0.95))*(0.85/0.9)</f>
        <v>1.1376427925333275</v>
      </c>
    </row>
    <row r="6" spans="1:49" x14ac:dyDescent="0.25">
      <c r="A6" s="3" t="s">
        <v>136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f>(1.21588425622222*(0.9/0.95))*(0.85/0.9)</f>
        <v>1.0878964397777759</v>
      </c>
      <c r="AA6" s="3">
        <f>(1.19162927084445*(0.9/0.95))*(0.85/0.9)</f>
        <v>1.0661946107555607</v>
      </c>
      <c r="AB6" s="3">
        <f>(1.08674815448889*(0.9/0.95))*(0.85/0.9)</f>
        <v>0.97235361191111214</v>
      </c>
      <c r="AC6" s="3">
        <f>(1.10959981844445*(0.9/0.95))*(0.85/0.9)</f>
        <v>0.99279983755556045</v>
      </c>
      <c r="AD6" s="3">
        <f>(1.09853565681481*(0.9/0.95))*(0.85/0.9)</f>
        <v>0.98290032451851428</v>
      </c>
      <c r="AE6" s="3">
        <f>(1.1169443405037*(0.9/0.95))*(0.85/0.9)</f>
        <v>0.9993712520296264</v>
      </c>
      <c r="AF6" s="3">
        <f>(1.46375099484445*(0.9/0.95))*(0.85/0.9)</f>
        <v>1.3096719427555605</v>
      </c>
      <c r="AG6" s="3">
        <f>(1.64734511894815*(0.9/0.95))*(0.85/0.9)</f>
        <v>1.4739403695851869</v>
      </c>
      <c r="AH6" s="3">
        <f>(1.76511264865185*(0.9/0.95))*(0.85/0.9)</f>
        <v>1.5793113172148132</v>
      </c>
      <c r="AI6" s="3">
        <f>(1.87489075013334*(0.9/0.95))*(0.85/0.9)</f>
        <v>1.6775338290666728</v>
      </c>
      <c r="AJ6" s="3">
        <f>(1.74048879811852*(0.9/0.95))*(0.85/0.9)</f>
        <v>1.5572794509481496</v>
      </c>
      <c r="AK6" s="3">
        <f>(1.7183646816*(0.9/0.95))*(0.85/0.9)</f>
        <v>1.5374841888000002</v>
      </c>
      <c r="AL6" s="3">
        <f>(1.75492011582222*(0.9/0.95))*(0.85/0.9)</f>
        <v>1.570191682577776</v>
      </c>
      <c r="AM6" s="3">
        <f>(1.78176932432593*(0.9/0.95))*(0.85/0.9)</f>
        <v>1.5942146586074113</v>
      </c>
      <c r="AN6" s="3">
        <f>(1.74434250957037*(0.9/0.95))*(0.85/0.9)</f>
        <v>1.5607275085629626</v>
      </c>
      <c r="AO6" s="3">
        <f>(1.85721291228148*(0.9/0.95))*(0.85/0.9)</f>
        <v>1.6617168162518505</v>
      </c>
      <c r="AP6" s="3">
        <f>(1.92146214047408*(0.9/0.95))*(0.85/0.9)</f>
        <v>1.719202967792598</v>
      </c>
      <c r="AQ6" s="3">
        <f>(1.80409671607407*(0.9/0.95))*(0.85/0.9)</f>
        <v>1.6141917985925889</v>
      </c>
      <c r="AR6" s="3">
        <f>(1.93548836973334*(0.9/0.95))*(0.85/0.9)</f>
        <v>1.7317527518666727</v>
      </c>
      <c r="AS6" s="3">
        <f>(1.73116619365926*(0.9/0.95))*(0.85/0.9)</f>
        <v>1.5489381732740748</v>
      </c>
      <c r="AT6" s="3">
        <f>(1.80743914794074*(0.9/0.95))*(0.85/0.9)</f>
        <v>1.6171823955259252</v>
      </c>
      <c r="AU6" s="3">
        <f>(1.61637453008889*(0.9/0.95))*(0.85/0.9)</f>
        <v>1.4462298427111122</v>
      </c>
      <c r="AV6" s="3">
        <f>(1.33893815958519*(0.9/0.95))*(0.85/0.9)</f>
        <v>1.1979973006814857</v>
      </c>
      <c r="AW6" s="3">
        <f>(1.14675749834074*(0.9/0.95))*(0.85/0.9)</f>
        <v>1.0260461827259253</v>
      </c>
    </row>
    <row r="7" spans="1:49" x14ac:dyDescent="0.25">
      <c r="A7" s="3" t="s">
        <v>137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(2.39192401383704*(0.9/0.95))*(0.85/0.9)</f>
        <v>2.1401425386962991</v>
      </c>
      <c r="AA7" s="3">
        <f>(2.37861689094815*(0.9/0.95))*(0.85/0.9)</f>
        <v>2.1282361655851867</v>
      </c>
      <c r="AB7" s="3">
        <f>(2.14223856228148*(0.9/0.95))*(0.85/0.9)</f>
        <v>1.9167397662518506</v>
      </c>
      <c r="AC7" s="3">
        <f>(2.2205465072*(0.9/0.95))*(0.85/0.9)</f>
        <v>1.9868047696</v>
      </c>
      <c r="AD7" s="3">
        <f>(2.16730435900741*(0.9/0.95))*(0.85/0.9)</f>
        <v>1.9391670580592617</v>
      </c>
      <c r="AE7" s="3">
        <f>(2.2599582710963*(0.9/0.95))*(0.85/0.9)</f>
        <v>2.0220679267703741</v>
      </c>
      <c r="AF7" s="3">
        <f>(2.7530867729037*(0.9/0.95))*(0.85/0.9)</f>
        <v>2.4632881652296263</v>
      </c>
      <c r="AG7" s="3">
        <f>(3.28310335277037*(0.9/0.95))*(0.85/0.9)</f>
        <v>2.9375135261629626</v>
      </c>
      <c r="AH7" s="3">
        <f>(3.53360963697777*(0.9/0.95))*(0.85/0.9)</f>
        <v>3.1616507278222152</v>
      </c>
      <c r="AI7" s="3">
        <f>(3.4552082768*(0.9/0.95))*(0.85/0.9)</f>
        <v>3.0915021424000004</v>
      </c>
      <c r="AJ7" s="3">
        <f>(3.31983311551111*(0.9/0.95))*(0.85/0.9)</f>
        <v>2.9703769980888879</v>
      </c>
      <c r="AK7" s="3">
        <f>(3.307840872*(0.9/0.95))*(0.85/0.9)</f>
        <v>2.9596470959999999</v>
      </c>
      <c r="AL7" s="3">
        <f>(3.6013439952*(0.9/0.95))*(0.85/0.9)</f>
        <v>3.2222551536000004</v>
      </c>
      <c r="AM7" s="3">
        <f>(3.58687702758519*(0.9/0.95))*(0.85/0.9)</f>
        <v>3.2093110246814858</v>
      </c>
      <c r="AN7" s="3">
        <f>(3.53638988671111*(0.9/0.95))*(0.85/0.9)</f>
        <v>3.1641383196888881</v>
      </c>
      <c r="AO7" s="3">
        <f>(3.46182917048889*(0.9/0.95))*(0.85/0.9)</f>
        <v>3.0974260999111123</v>
      </c>
      <c r="AP7" s="3">
        <f>(3.67501033075555*(0.9/0.95))*(0.85/0.9)</f>
        <v>3.2881671380444395</v>
      </c>
      <c r="AQ7" s="3">
        <f>(3.59751934474074*(0.9/0.95))*(0.85/0.9)</f>
        <v>3.2188330979259256</v>
      </c>
      <c r="AR7" s="3">
        <f>(3.80410059773334*(0.9/0.95))*(0.85/0.9)</f>
        <v>3.4036689558666731</v>
      </c>
      <c r="AS7" s="3">
        <f>(3.53594869517037*(0.9/0.95))*(0.85/0.9)</f>
        <v>3.1637435693629627</v>
      </c>
      <c r="AT7" s="3">
        <f>(3.28608151241481*(0.9/0.95))*(0.85/0.9)</f>
        <v>2.9401781953185142</v>
      </c>
      <c r="AU7" s="3">
        <f>(2.98287848838519*(0.9/0.95))*(0.85/0.9)</f>
        <v>2.6688912790814858</v>
      </c>
      <c r="AV7" s="3">
        <f>(2.77075636475555*(0.9/0.95))*(0.85/0.9)</f>
        <v>2.4790978000444399</v>
      </c>
      <c r="AW7" s="3">
        <f>(2.33656989657778*(0.9/0.95))*(0.85/0.9)</f>
        <v>2.090615170622224</v>
      </c>
    </row>
    <row r="8" spans="1:49" x14ac:dyDescent="0.25">
      <c r="A8" s="3" t="s">
        <v>138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f>(2.28442660620741*(0.9/0.95))*(0.85/0.9)</f>
        <v>2.0439606476592616</v>
      </c>
      <c r="AA8" s="3">
        <f>(2.12797305715555*(0.9/0.95))*(0.85/0.9)</f>
        <v>1.9039758932444395</v>
      </c>
      <c r="AB8" s="3">
        <f>(1.95313613579259*(0.9/0.95))*(0.85/0.9)</f>
        <v>1.7475428583407386</v>
      </c>
      <c r="AC8" s="3">
        <f>(1.92714168577778*(0.9/0.95))*(0.85/0.9)</f>
        <v>1.7242846662222242</v>
      </c>
      <c r="AD8" s="3">
        <f>(1.97972495*(0.9/0.95))*(0.85/0.9)</f>
        <v>1.7713328500000001</v>
      </c>
      <c r="AE8" s="3">
        <f>(2.09408201488889*(0.9/0.95))*(0.85/0.9)</f>
        <v>1.8736523291111122</v>
      </c>
      <c r="AF8" s="3">
        <f>(2.46732637573334*(0.9/0.95))*(0.85/0.9)</f>
        <v>2.2076078098666727</v>
      </c>
      <c r="AG8" s="3">
        <f>(2.94369837108149*(0.9/0.95))*(0.85/0.9)</f>
        <v>2.6338353846518596</v>
      </c>
      <c r="AH8" s="3">
        <f>(3.18385888478519*(0.9/0.95))*(0.85/0.9)</f>
        <v>2.8487158442814855</v>
      </c>
      <c r="AI8" s="3">
        <f>(3.23640026484445*(0.9/0.95))*(0.85/0.9)</f>
        <v>2.8957265527555607</v>
      </c>
      <c r="AJ8" s="3">
        <f>(3.25563420860741*(0.9/0.95))*(0.85/0.9)</f>
        <v>2.9129358708592616</v>
      </c>
      <c r="AK8" s="3">
        <f>(3.02374400336296*(0.9/0.95))*(0.85/0.9)</f>
        <v>2.7054551609037012</v>
      </c>
      <c r="AL8" s="3">
        <f>(3.0498629334963*(0.9/0.95))*(0.85/0.9)</f>
        <v>2.7288247299703738</v>
      </c>
      <c r="AM8" s="3">
        <f>(3.12443168291852*(0.9/0.95))*(0.85/0.9)</f>
        <v>2.7955441373481493</v>
      </c>
      <c r="AN8" s="3">
        <f>(3.03729307*(0.9/0.95))*(0.85/0.9)</f>
        <v>2.71757801</v>
      </c>
      <c r="AO8" s="3">
        <f>(3.28926278965926*(0.9/0.95))*(0.85/0.9)</f>
        <v>2.9430246012740748</v>
      </c>
      <c r="AP8" s="3">
        <f>(3.15522945059259*(0.9/0.95))*(0.85/0.9)</f>
        <v>2.8231000347407389</v>
      </c>
      <c r="AQ8" s="3">
        <f>(3.50079790842963*(0.9/0.95))*(0.85/0.9)</f>
        <v>3.1322928654370377</v>
      </c>
      <c r="AR8" s="3">
        <f>(3.31907854247407*(0.9/0.95))*(0.85/0.9)</f>
        <v>2.9697018537925888</v>
      </c>
      <c r="AS8" s="3">
        <f>(3.15441012921481*(0.9/0.95))*(0.85/0.9)</f>
        <v>2.8223669577185144</v>
      </c>
      <c r="AT8" s="3">
        <f>(3.09057619795555*(0.9/0.95))*(0.85/0.9)</f>
        <v>2.7652523876444399</v>
      </c>
      <c r="AU8" s="3">
        <f>(2.77796561103704*(0.9/0.95))*(0.85/0.9)</f>
        <v>2.4855481782962991</v>
      </c>
      <c r="AV8" s="3">
        <f>(2.41117648696296*(0.9/0.95))*(0.85/0.9)</f>
        <v>2.1573684357037011</v>
      </c>
      <c r="AW8" s="3">
        <f>(2.1688574738963*(0.9/0.95))*(0.85/0.9)</f>
        <v>1.9405566871703737</v>
      </c>
    </row>
    <row r="9" spans="1:49" x14ac:dyDescent="0.25">
      <c r="A9" s="3" t="s">
        <v>139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f>(3.1207303008*(0.9/0.95))*(0.85/0.9)</f>
        <v>2.7922323744000002</v>
      </c>
      <c r="AA9" s="3">
        <f>(2.85872769757037*(0.9/0.95))*(0.85/0.9)</f>
        <v>2.5578089925629626</v>
      </c>
      <c r="AB9" s="3">
        <f>(2.68864432822222*(0.9/0.95))*(0.85/0.9)</f>
        <v>2.4056291357777759</v>
      </c>
      <c r="AC9" s="3">
        <f>(2.65551393758519*(0.9/0.95))*(0.85/0.9)</f>
        <v>2.375986154681486</v>
      </c>
      <c r="AD9" s="3">
        <f>(2.67481393998519*(0.9/0.95))*(0.85/0.9)</f>
        <v>2.393254577881486</v>
      </c>
      <c r="AE9" s="3">
        <f>(2.71295733903704*(0.9/0.95))*(0.85/0.9)</f>
        <v>2.4273828822962993</v>
      </c>
      <c r="AF9" s="3">
        <f>(3.33474574740741*(0.9/0.95))*(0.85/0.9)</f>
        <v>2.9837198792592616</v>
      </c>
      <c r="AG9" s="3">
        <f>(4.09816323321481*(0.9/0.95))*(0.85/0.9)</f>
        <v>3.666777629718514</v>
      </c>
      <c r="AH9" s="3">
        <f>(4.16506388438519*(0.9/0.95))*(0.85/0.9)</f>
        <v>3.726636107081486</v>
      </c>
      <c r="AI9" s="3">
        <f>(4.4001615393037*(0.9/0.95))*(0.85/0.9)</f>
        <v>3.9369866404296268</v>
      </c>
      <c r="AJ9" s="3">
        <f>(4.43608914456296*(0.9/0.95))*(0.85/0.9)</f>
        <v>3.9691323925037008</v>
      </c>
      <c r="AK9" s="3">
        <f>(4.13964972420741*(0.9/0.95))*(0.85/0.9)</f>
        <v>3.7038971216592618</v>
      </c>
      <c r="AL9" s="3">
        <f>(4.25759437838519*(0.9/0.95))*(0.85/0.9)</f>
        <v>3.8094265490814854</v>
      </c>
      <c r="AM9" s="3">
        <f>(4.30139021044445*(0.9/0.95))*(0.85/0.9)</f>
        <v>3.8486122935555604</v>
      </c>
      <c r="AN9" s="3">
        <f>(4.07839034192592*(0.9/0.95))*(0.85/0.9)</f>
        <v>3.6490860954074025</v>
      </c>
      <c r="AO9" s="3">
        <f>(4.44738036379259*(0.9/0.95))*(0.85/0.9)</f>
        <v>3.979235062340738</v>
      </c>
      <c r="AP9" s="3">
        <f>(4.34091331405926*(0.9/0.95))*(0.85/0.9)</f>
        <v>3.8839750704740745</v>
      </c>
      <c r="AQ9" s="3">
        <f>(4.55040357851852*(0.9/0.95))*(0.85/0.9)</f>
        <v>4.0714137281481504</v>
      </c>
      <c r="AR9" s="3">
        <f>(4.50550026826666*(0.9/0.95))*(0.85/0.9)</f>
        <v>4.0312370821333277</v>
      </c>
      <c r="AS9" s="3">
        <f>(4.32112119195555*(0.9/0.95))*(0.85/0.9)</f>
        <v>3.8662663296444393</v>
      </c>
      <c r="AT9" s="3">
        <f>(4.33941889453334*(0.9/0.95))*(0.85/0.9)</f>
        <v>3.882637958266673</v>
      </c>
      <c r="AU9" s="3">
        <f>(3.76931787223704*(0.9/0.95))*(0.85/0.9)</f>
        <v>3.372547569896299</v>
      </c>
      <c r="AV9" s="3">
        <f>(3.39949077398519*(0.9/0.95))*(0.85/0.9)</f>
        <v>3.0416496398814856</v>
      </c>
      <c r="AW9" s="3">
        <f>(2.79119949525926*(0.9/0.95))*(0.85/0.9)</f>
        <v>2.4973890220740746</v>
      </c>
    </row>
    <row r="10" spans="1:49" x14ac:dyDescent="0.25">
      <c r="A10" s="3" t="s">
        <v>140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f>(2.99296098588148*(0.9/0.95))*(0.85/0.9)</f>
        <v>2.6779124610518505</v>
      </c>
      <c r="AA10" s="3">
        <f>(2.96758337213334*(0.9/0.95))*(0.85/0.9)</f>
        <v>2.6552061750666729</v>
      </c>
      <c r="AB10" s="3">
        <f>(2.73721355392592*(0.9/0.95))*(0.85/0.9)</f>
        <v>2.4490858114074023</v>
      </c>
      <c r="AC10" s="3">
        <f>(2.83486258543704*(0.9/0.95))*(0.85/0.9)</f>
        <v>2.536455997496299</v>
      </c>
      <c r="AD10" s="3">
        <f>(2.69073860139259*(0.9/0.95))*(0.85/0.9)</f>
        <v>2.4075029591407384</v>
      </c>
      <c r="AE10" s="3">
        <f>(2.82429332567407*(0.9/0.95))*(0.85/0.9)</f>
        <v>2.5269992913925887</v>
      </c>
      <c r="AF10" s="3">
        <f>(3.52760306339259*(0.9/0.95))*(0.85/0.9)</f>
        <v>3.1562764251407383</v>
      </c>
      <c r="AG10" s="3">
        <f>(4.04131209948148*(0.9/0.95))*(0.85/0.9)</f>
        <v>3.6159108258518509</v>
      </c>
      <c r="AH10" s="3">
        <f>(4.57980678503704*(0.9/0.95))*(0.85/0.9)</f>
        <v>4.097721860296299</v>
      </c>
      <c r="AI10" s="3">
        <f>(4.26908769062222*(0.9/0.95))*(0.85/0.9)</f>
        <v>3.8197100389777758</v>
      </c>
      <c r="AJ10" s="3">
        <f>(4.33530254453334*(0.9/0.95))*(0.85/0.9)</f>
        <v>3.8789549082666723</v>
      </c>
      <c r="AK10" s="3">
        <f>(4.50728721882963*(0.9/0.95))*(0.85/0.9)</f>
        <v>4.0328359326370373</v>
      </c>
      <c r="AL10" s="3">
        <f>(4.41342391508148*(0.9/0.95))*(0.85/0.9)</f>
        <v>3.9488529766518505</v>
      </c>
      <c r="AM10" s="3">
        <f>(4.1913044041037*(0.9/0.95))*(0.85/0.9)</f>
        <v>3.7501144668296269</v>
      </c>
      <c r="AN10" s="3">
        <f>(4.40746015764445*(0.9/0.95))*(0.85/0.9)</f>
        <v>3.9435169831555603</v>
      </c>
      <c r="AO10" s="3">
        <f>(4.17078215140741*(0.9/0.95))*(0.85/0.9)</f>
        <v>3.7317524512592617</v>
      </c>
      <c r="AP10" s="3">
        <f>(4.56974331540741*(0.9/0.95))*(0.85/0.9)</f>
        <v>4.0887177032592623</v>
      </c>
      <c r="AQ10" s="3">
        <f>(4.78437309197037*(0.9/0.95))*(0.85/0.9)</f>
        <v>4.2807548717629631</v>
      </c>
      <c r="AR10" s="3">
        <f>(4.68606049882963*(0.9/0.95))*(0.85/0.9)</f>
        <v>4.192790972637038</v>
      </c>
      <c r="AS10" s="3">
        <f>(4.41985919594074*(0.9/0.95))*(0.85/0.9)</f>
        <v>3.9546108595259248</v>
      </c>
      <c r="AT10" s="3">
        <f>(4.28145551825185*(0.9/0.95))*(0.85/0.9)</f>
        <v>3.8307759900148133</v>
      </c>
      <c r="AU10" s="3">
        <f>(3.86401939715555*(0.9/0.95))*(0.85/0.9)</f>
        <v>3.4572805132444397</v>
      </c>
      <c r="AV10" s="3">
        <f>(3.26655062398519*(0.9/0.95))*(0.85/0.9)</f>
        <v>2.9227031898814859</v>
      </c>
      <c r="AW10" s="3">
        <f>(2.89831834548148*(0.9/0.95))*(0.85/0.9)</f>
        <v>2.5932322038518505</v>
      </c>
    </row>
    <row r="11" spans="1:49" x14ac:dyDescent="0.25">
      <c r="A11" s="3" t="s">
        <v>141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f>(3.54919662419259*(0.9/0.95))*(0.85/0.9)</f>
        <v>3.1755969795407384</v>
      </c>
      <c r="AA11" s="3">
        <f>(3.1092036498963*(0.9/0.95))*(0.85/0.9)</f>
        <v>2.7819190551703734</v>
      </c>
      <c r="AB11" s="3">
        <f>(3.03990441761481*(0.9/0.95))*(0.85/0.9)</f>
        <v>2.7199144789185139</v>
      </c>
      <c r="AC11" s="3">
        <f>(2.97593508644445*(0.9/0.95))*(0.85/0.9)</f>
        <v>2.6626787615555605</v>
      </c>
      <c r="AD11" s="3">
        <f>(3.11086803751111*(0.9/0.95))*(0.85/0.9)</f>
        <v>2.7834082440888883</v>
      </c>
      <c r="AE11" s="3">
        <f>(2.95501414900741*(0.9/0.95))*(0.85/0.9)</f>
        <v>2.6439600280592619</v>
      </c>
      <c r="AF11" s="3">
        <f>(3.78412710303704*(0.9/0.95))*(0.85/0.9)</f>
        <v>3.3857979342962992</v>
      </c>
      <c r="AG11" s="3">
        <f>(4.34800889558519*(0.9/0.95))*(0.85/0.9)</f>
        <v>3.8903237486814861</v>
      </c>
      <c r="AH11" s="3">
        <f>(4.80339935278519*(0.9/0.95))*(0.85/0.9)</f>
        <v>4.2977783682814863</v>
      </c>
      <c r="AI11" s="3">
        <f>(5.17868238688889*(0.9/0.95))*(0.85/0.9)</f>
        <v>4.6335579251111119</v>
      </c>
      <c r="AJ11" s="3">
        <f>(4.75256499127407*(0.9/0.95))*(0.85/0.9)</f>
        <v>4.2522949921925894</v>
      </c>
      <c r="AK11" s="3">
        <f>(5.13574113204445*(0.9/0.95))*(0.85/0.9)</f>
        <v>4.5951368023555608</v>
      </c>
      <c r="AL11" s="3">
        <f>(4.73833864331851*(0.9/0.95))*(0.85/0.9)</f>
        <v>4.2395661545481405</v>
      </c>
      <c r="AM11" s="3">
        <f>(4.86933638447407*(0.9/0.95))*(0.85/0.9)</f>
        <v>4.3567746597925892</v>
      </c>
      <c r="AN11" s="3">
        <f>(4.63636897774815*(0.9/0.95))*(0.85/0.9)</f>
        <v>4.1483301379851873</v>
      </c>
      <c r="AO11" s="3">
        <f>(4.812856636*(0.9/0.95))*(0.85/0.9)</f>
        <v>4.3062401480000005</v>
      </c>
      <c r="AP11" s="3">
        <f>(4.97319683715555*(0.9/0.95))*(0.85/0.9)</f>
        <v>4.4497024332444397</v>
      </c>
      <c r="AQ11" s="3">
        <f>(5.30522854317037*(0.9/0.95))*(0.85/0.9)</f>
        <v>4.7467834333629622</v>
      </c>
      <c r="AR11" s="3">
        <f>(4.93863246022222*(0.9/0.95))*(0.85/0.9)</f>
        <v>4.4187764117777757</v>
      </c>
      <c r="AS11" s="3">
        <f>(5.15785410808889*(0.9/0.95))*(0.85/0.9)</f>
        <v>4.6149220967111129</v>
      </c>
      <c r="AT11" s="3">
        <f>(4.86434978887407*(0.9/0.95))*(0.85/0.9)</f>
        <v>4.3523129689925888</v>
      </c>
      <c r="AU11" s="3">
        <f>(4.32656896456296*(0.9/0.95))*(0.85/0.9)</f>
        <v>3.8711406525037018</v>
      </c>
      <c r="AV11" s="3">
        <f>(3.80588871081481*(0.9/0.95))*(0.85/0.9)</f>
        <v>3.4052688465185144</v>
      </c>
      <c r="AW11" s="3">
        <f>(3.23760330008889*(0.9/0.95))*(0.85/0.9)</f>
        <v>2.8968029527111123</v>
      </c>
    </row>
    <row r="12" spans="1:49" x14ac:dyDescent="0.25">
      <c r="A12" s="3" t="s">
        <v>142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f t="shared" ref="Z12:AI13" si="0">(0*(0.9/0.95))*(0.85/0.9)</f>
        <v>0</v>
      </c>
      <c r="AA12" s="3">
        <f t="shared" si="0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  <c r="AE12" s="3">
        <f t="shared" si="0"/>
        <v>0</v>
      </c>
      <c r="AF12" s="3">
        <f t="shared" si="0"/>
        <v>0</v>
      </c>
      <c r="AG12" s="3">
        <f t="shared" si="0"/>
        <v>0</v>
      </c>
      <c r="AH12" s="3">
        <f t="shared" si="0"/>
        <v>0</v>
      </c>
      <c r="AI12" s="3">
        <f t="shared" si="0"/>
        <v>0</v>
      </c>
      <c r="AJ12" s="3">
        <f t="shared" ref="AJ12:AW13" si="1">(0*(0.9/0.95))*(0.85/0.9)</f>
        <v>0</v>
      </c>
      <c r="AK12" s="3">
        <f t="shared" si="1"/>
        <v>0</v>
      </c>
      <c r="AL12" s="3">
        <f t="shared" si="1"/>
        <v>0</v>
      </c>
      <c r="AM12" s="3">
        <f t="shared" si="1"/>
        <v>0</v>
      </c>
      <c r="AN12" s="3">
        <f t="shared" si="1"/>
        <v>0</v>
      </c>
      <c r="AO12" s="3">
        <f t="shared" si="1"/>
        <v>0</v>
      </c>
      <c r="AP12" s="3">
        <f t="shared" si="1"/>
        <v>0</v>
      </c>
      <c r="AQ12" s="3">
        <f t="shared" si="1"/>
        <v>0</v>
      </c>
      <c r="AR12" s="3">
        <f t="shared" si="1"/>
        <v>0</v>
      </c>
      <c r="AS12" s="3">
        <f t="shared" si="1"/>
        <v>0</v>
      </c>
      <c r="AT12" s="3">
        <f t="shared" si="1"/>
        <v>0</v>
      </c>
      <c r="AU12" s="3">
        <f t="shared" si="1"/>
        <v>0</v>
      </c>
      <c r="AV12" s="3">
        <f t="shared" si="1"/>
        <v>0</v>
      </c>
      <c r="AW12" s="3">
        <f t="shared" si="1"/>
        <v>0</v>
      </c>
    </row>
    <row r="13" spans="1:49" x14ac:dyDescent="0.25">
      <c r="A13" s="3" t="s">
        <v>143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  <c r="AE13" s="3">
        <f t="shared" si="0"/>
        <v>0</v>
      </c>
      <c r="AF13" s="3">
        <f t="shared" si="0"/>
        <v>0</v>
      </c>
      <c r="AG13" s="3">
        <f t="shared" si="0"/>
        <v>0</v>
      </c>
      <c r="AH13" s="3">
        <f t="shared" si="0"/>
        <v>0</v>
      </c>
      <c r="AI13" s="3">
        <f t="shared" si="0"/>
        <v>0</v>
      </c>
      <c r="AJ13" s="3">
        <f t="shared" si="1"/>
        <v>0</v>
      </c>
      <c r="AK13" s="3">
        <f t="shared" si="1"/>
        <v>0</v>
      </c>
      <c r="AL13" s="3">
        <f t="shared" si="1"/>
        <v>0</v>
      </c>
      <c r="AM13" s="3">
        <f t="shared" si="1"/>
        <v>0</v>
      </c>
      <c r="AN13" s="3">
        <f t="shared" si="1"/>
        <v>0</v>
      </c>
      <c r="AO13" s="3">
        <f t="shared" si="1"/>
        <v>0</v>
      </c>
      <c r="AP13" s="3">
        <f t="shared" si="1"/>
        <v>0</v>
      </c>
      <c r="AQ13" s="3">
        <f t="shared" si="1"/>
        <v>0</v>
      </c>
      <c r="AR13" s="3">
        <f t="shared" si="1"/>
        <v>0</v>
      </c>
      <c r="AS13" s="3">
        <f t="shared" si="1"/>
        <v>0</v>
      </c>
      <c r="AT13" s="3">
        <f t="shared" si="1"/>
        <v>0</v>
      </c>
      <c r="AU13" s="3">
        <f t="shared" si="1"/>
        <v>0</v>
      </c>
      <c r="AV13" s="3">
        <f t="shared" si="1"/>
        <v>0</v>
      </c>
      <c r="AW13" s="3">
        <f t="shared" si="1"/>
        <v>0</v>
      </c>
    </row>
    <row r="14" spans="1:49" x14ac:dyDescent="0.25">
      <c r="A14" s="3" t="s">
        <v>144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f>(4.60359250700741*(0.9/0.95))*(0.85/0.9)</f>
        <v>4.1190038220592617</v>
      </c>
      <c r="AA14" s="3">
        <f>(4.38613809023704*(0.9/0.95))*(0.85/0.9)</f>
        <v>3.924439343896299</v>
      </c>
      <c r="AB14" s="3">
        <f>(4.06614416496296*(0.9/0.95))*(0.85/0.9)</f>
        <v>3.6381289897037012</v>
      </c>
      <c r="AC14" s="3">
        <f>(4.29356541257777*(0.9/0.95))*(0.85/0.9)</f>
        <v>3.8416111586222157</v>
      </c>
      <c r="AD14" s="3">
        <f>(4.16440694517037*(0.9/0.95))*(0.85/0.9)</f>
        <v>3.7260483193629628</v>
      </c>
      <c r="AE14" s="3">
        <f>(4.30042919185185*(0.9/0.95))*(0.85/0.9)</f>
        <v>3.8477524348148138</v>
      </c>
      <c r="AF14" s="3">
        <f>(5.05404321613334*(0.9/0.95))*(0.85/0.9)</f>
        <v>4.5220386670666723</v>
      </c>
      <c r="AG14" s="3">
        <f>(5.89188919448889*(0.9/0.95))*(0.85/0.9)</f>
        <v>5.2716903319111124</v>
      </c>
      <c r="AH14" s="3">
        <f>(6.98120409134815*(0.9/0.95))*(0.85/0.9)</f>
        <v>6.2463405027851868</v>
      </c>
      <c r="AI14" s="3">
        <f>(6.74825508591111*(0.9/0.95))*(0.85/0.9)</f>
        <v>6.0379124452888879</v>
      </c>
      <c r="AJ14" s="3">
        <f>(6.68079327522963*(0.9/0.95))*(0.85/0.9)</f>
        <v>5.9775518778370369</v>
      </c>
      <c r="AK14" s="3">
        <f>(6.8892328790963*(0.9/0.95))*(0.85/0.9)</f>
        <v>6.1640504707703743</v>
      </c>
      <c r="AL14" s="3">
        <f>(6.51785672294815*(0.9/0.95))*(0.85/0.9)</f>
        <v>5.8317665415851874</v>
      </c>
      <c r="AM14" s="3">
        <f>(6.66036773816296*(0.9/0.95))*(0.85/0.9)</f>
        <v>5.9592763973037011</v>
      </c>
      <c r="AN14" s="3">
        <f>(6.65285003434074*(0.9/0.95))*(0.85/0.9)</f>
        <v>5.9525500307259254</v>
      </c>
      <c r="AO14" s="3">
        <f>(6.4104381656*(0.9/0.95))*(0.85/0.9)</f>
        <v>5.7356552008000001</v>
      </c>
      <c r="AP14" s="3">
        <f>(7.22639820186666*(0.9/0.95))*(0.85/0.9)</f>
        <v>6.4657247069333277</v>
      </c>
      <c r="AQ14" s="3">
        <f>(7.14878166188148*(0.9/0.95))*(0.85/0.9)</f>
        <v>6.3962783290518512</v>
      </c>
      <c r="AR14" s="3">
        <f>(6.90695332226666*(0.9/0.95))*(0.85/0.9)</f>
        <v>6.179905604133328</v>
      </c>
      <c r="AS14" s="3">
        <f>(6.86345991841481*(0.9/0.95))*(0.85/0.9)</f>
        <v>6.1409904533185147</v>
      </c>
      <c r="AT14" s="3">
        <f>(6.68787541291851*(0.9/0.95))*(0.85/0.9)</f>
        <v>5.9838885273481406</v>
      </c>
      <c r="AU14" s="3">
        <f>(5.96370128148148*(0.9/0.95))*(0.85/0.9)</f>
        <v>5.3359432518518508</v>
      </c>
      <c r="AV14" s="3">
        <f>(5.18810183899259*(0.9/0.95))*(0.85/0.9)</f>
        <v>4.6419858559407379</v>
      </c>
      <c r="AW14" s="3">
        <f>(4.48475245151111*(0.9/0.95))*(0.85/0.9)</f>
        <v>4.0126732460888874</v>
      </c>
    </row>
    <row r="15" spans="1:49" x14ac:dyDescent="0.25">
      <c r="A15" s="3" t="s">
        <v>145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f>(3.58763692456296*(0.9/0.95))*(0.85/0.9)</f>
        <v>3.2099909325037013</v>
      </c>
      <c r="AA15" s="3">
        <f>(3.24757937985185*(0.9/0.95))*(0.85/0.9)</f>
        <v>2.9057289188148134</v>
      </c>
      <c r="AB15" s="3">
        <f>(2.97910167851851*(0.9/0.95))*(0.85/0.9)</f>
        <v>2.6655120281481404</v>
      </c>
      <c r="AC15" s="3">
        <f>(3.08337350118519*(0.9/0.95))*(0.85/0.9)</f>
        <v>2.7588078694814859</v>
      </c>
      <c r="AD15" s="3">
        <f>(3.14242183235555*(0.9/0.95))*(0.85/0.9)</f>
        <v>2.8116405868444394</v>
      </c>
      <c r="AE15" s="3">
        <f>(3.19140347825185*(0.9/0.95))*(0.85/0.9)</f>
        <v>2.855466270014813</v>
      </c>
      <c r="AF15" s="3">
        <f>(3.92439288121481*(0.9/0.95))*(0.85/0.9)</f>
        <v>3.5112988937185143</v>
      </c>
      <c r="AG15" s="3">
        <f>(4.65270269198519*(0.9/0.95))*(0.85/0.9)</f>
        <v>4.1629445138814853</v>
      </c>
      <c r="AH15" s="3">
        <f>(4.88459405383704*(0.9/0.95))*(0.85/0.9)</f>
        <v>4.3704262586962983</v>
      </c>
      <c r="AI15" s="3">
        <f>(5.05613879368889*(0.9/0.95))*(0.85/0.9)</f>
        <v>4.5239136575111125</v>
      </c>
      <c r="AJ15" s="3">
        <f>(4.99512349694815*(0.9/0.95))*(0.85/0.9)</f>
        <v>4.469321023585187</v>
      </c>
      <c r="AK15" s="3">
        <f>(4.80558569939259*(0.9/0.95))*(0.85/0.9)</f>
        <v>4.2997345731407384</v>
      </c>
      <c r="AL15" s="3">
        <f>(5.11149579162963*(0.9/0.95))*(0.85/0.9)</f>
        <v>4.5734436030370373</v>
      </c>
      <c r="AM15" s="3">
        <f>(4.89421783334815*(0.9/0.95))*(0.85/0.9)</f>
        <v>4.3790370087851871</v>
      </c>
      <c r="AN15" s="3">
        <f>(4.86052497093334*(0.9/0.95))*(0.85/0.9)</f>
        <v>4.3488907634666729</v>
      </c>
      <c r="AO15" s="3">
        <f>(4.70689922453334*(0.9/0.95))*(0.85/0.9)</f>
        <v>4.2114361482666727</v>
      </c>
      <c r="AP15" s="3">
        <f>(5.35223938127407*(0.9/0.95))*(0.85/0.9)</f>
        <v>4.7888457621925893</v>
      </c>
      <c r="AQ15" s="3">
        <f>(5.33872108591111*(0.9/0.95))*(0.85/0.9)</f>
        <v>4.7767504452888883</v>
      </c>
      <c r="AR15" s="3">
        <f>(5.2455497722963*(0.9/0.95))*(0.85/0.9)</f>
        <v>4.6933866383703737</v>
      </c>
      <c r="AS15" s="3">
        <f>(5.14493818844444*(0.9/0.95))*(0.85/0.9)</f>
        <v>4.6033657475555518</v>
      </c>
      <c r="AT15" s="3">
        <f>(4.65630013115555*(0.9/0.95))*(0.85/0.9)</f>
        <v>4.1661632752444397</v>
      </c>
      <c r="AU15" s="3">
        <f>(4.38665771434074*(0.9/0.95))*(0.85/0.9)</f>
        <v>3.9249042707259254</v>
      </c>
      <c r="AV15" s="3">
        <f>(3.93402792336296*(0.9/0.95))*(0.85/0.9)</f>
        <v>3.519919720903701</v>
      </c>
      <c r="AW15" s="3">
        <f>(3.09067468297778*(0.9/0.95))*(0.85/0.9)</f>
        <v>2.7653405058222242</v>
      </c>
    </row>
    <row r="16" spans="1:49" x14ac:dyDescent="0.25">
      <c r="A16" s="3" t="s">
        <v>146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f>(5.37513761099259*(0.9/0.95))*(0.85/0.9)</f>
        <v>4.8093336519407393</v>
      </c>
      <c r="AA16" s="3">
        <f>(5.06583931321481*(0.9/0.95))*(0.85/0.9)</f>
        <v>4.5325930697185148</v>
      </c>
      <c r="AB16" s="3">
        <f>(5.22051665022222*(0.9/0.95))*(0.85/0.9)</f>
        <v>4.6709885817777757</v>
      </c>
      <c r="AC16" s="3">
        <f>(5.15816678813334*(0.9/0.95))*(0.85/0.9)</f>
        <v>4.6152018630666731</v>
      </c>
      <c r="AD16" s="3">
        <f>(4.97803351515555*(0.9/0.95))*(0.85/0.9)</f>
        <v>4.4540299872444393</v>
      </c>
      <c r="AE16" s="3">
        <f>(5.17745378608889*(0.9/0.95))*(0.85/0.9)</f>
        <v>4.6324586507111123</v>
      </c>
      <c r="AF16" s="3">
        <f>(6.08817965228149*(0.9/0.95))*(0.85/0.9)</f>
        <v>5.4473186362518602</v>
      </c>
      <c r="AG16" s="3">
        <f>(7.13011526162963*(0.9/0.95))*(0.85/0.9)</f>
        <v>6.3795768130370378</v>
      </c>
      <c r="AH16" s="3">
        <f>(8.06879655348148*(0.9/0.95))*(0.85/0.9)</f>
        <v>7.219449547851851</v>
      </c>
      <c r="AI16" s="3">
        <f>(8.39521091878519*(0.9/0.95))*(0.85/0.9)</f>
        <v>7.5115045062814865</v>
      </c>
      <c r="AJ16" s="3">
        <f>(8.32474620848889*(0.9/0.95))*(0.85/0.9)</f>
        <v>7.4484571339111119</v>
      </c>
      <c r="AK16" s="3">
        <f>(7.96271913463704*(0.9/0.95))*(0.85/0.9)</f>
        <v>7.1245381730962993</v>
      </c>
      <c r="AL16" s="3">
        <f>(7.66843808557037*(0.9/0.95))*(0.85/0.9)</f>
        <v>6.8612340765629627</v>
      </c>
      <c r="AM16" s="3">
        <f>(8.06023715425185*(0.9/0.95))*(0.85/0.9)</f>
        <v>7.2117911380148128</v>
      </c>
      <c r="AN16" s="3">
        <f>(7.54521057287407*(0.9/0.95))*(0.85/0.9)</f>
        <v>6.7509778809925889</v>
      </c>
      <c r="AO16" s="3">
        <f>(7.65804510302222*(0.9/0.95))*(0.85/0.9)</f>
        <v>6.8519350921777757</v>
      </c>
      <c r="AP16" s="3">
        <f>(8.34046437114074*(0.9/0.95))*(0.85/0.9)</f>
        <v>7.4625207531259257</v>
      </c>
      <c r="AQ16" s="3">
        <f>(8.60632248477037*(0.9/0.95))*(0.85/0.9)</f>
        <v>7.7003938021629628</v>
      </c>
      <c r="AR16" s="3">
        <f>(8.66645502602962*(0.9/0.95))*(0.85/0.9)</f>
        <v>7.7541966022370294</v>
      </c>
      <c r="AS16" s="3">
        <f>(8.30982749011851*(0.9/0.95))*(0.85/0.9)</f>
        <v>7.4351088069481408</v>
      </c>
      <c r="AT16" s="3">
        <f>(7.5162882648*(0.9/0.95))*(0.85/0.9)</f>
        <v>6.7251000264000007</v>
      </c>
      <c r="AU16" s="3">
        <f>(6.76213119856296*(0.9/0.95))*(0.85/0.9)</f>
        <v>6.0503279145037014</v>
      </c>
      <c r="AV16" s="3">
        <f>(6.15183919788149*(0.9/0.95))*(0.85/0.9)</f>
        <v>5.5042771770518595</v>
      </c>
      <c r="AW16" s="3">
        <f>(5.060877696*(0.9/0.95))*(0.85/0.9)</f>
        <v>4.5281537280000004</v>
      </c>
    </row>
    <row r="17" spans="1:49" x14ac:dyDescent="0.25">
      <c r="A17" s="3" t="s">
        <v>147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f>(1.83215789939259*(0.9/0.95))*(0.85/0.9)</f>
        <v>1.6392991731407385</v>
      </c>
      <c r="AA17" s="3">
        <f>(1.67986645431111*(0.9/0.95))*(0.85/0.9)</f>
        <v>1.503038406488888</v>
      </c>
      <c r="AB17" s="3">
        <f>(1.6604036874963*(0.9/0.95))*(0.85/0.9)</f>
        <v>1.4856243519703736</v>
      </c>
      <c r="AC17" s="3">
        <f>(1.51608590964445*(0.9/0.95))*(0.85/0.9)</f>
        <v>1.3564979191555604</v>
      </c>
      <c r="AD17" s="3">
        <f>(1.52725619148148*(0.9/0.95))*(0.85/0.9)</f>
        <v>1.3664923818518506</v>
      </c>
      <c r="AE17" s="3">
        <f>(1.66607542028148*(0.9/0.95))*(0.85/0.9)</f>
        <v>1.4906990602518506</v>
      </c>
      <c r="AF17" s="3">
        <f>(1.97032753254815*(0.9/0.95))*(0.85/0.9)</f>
        <v>1.762924634385187</v>
      </c>
      <c r="AG17" s="3">
        <f>(2.33471619577778*(0.9/0.95))*(0.85/0.9)</f>
        <v>2.0889565962222241</v>
      </c>
      <c r="AH17" s="3">
        <f>(2.5036798666963*(0.9/0.95))*(0.85/0.9)</f>
        <v>2.2401346175703738</v>
      </c>
      <c r="AI17" s="3">
        <f>(2.45004057459259*(0.9/0.95))*(0.85/0.9)</f>
        <v>2.1921415667407382</v>
      </c>
      <c r="AJ17" s="3">
        <f>(2.48287623328889*(0.9/0.95))*(0.85/0.9)</f>
        <v>2.2215208403111122</v>
      </c>
      <c r="AK17" s="3">
        <f>(2.40715729986666*(0.9/0.95))*(0.85/0.9)</f>
        <v>2.1537723209333275</v>
      </c>
      <c r="AL17" s="3">
        <f>(2.48798498397037*(0.9/0.95))*(0.85/0.9)</f>
        <v>2.2260918277629629</v>
      </c>
      <c r="AM17" s="3">
        <f>(2.57864624868148*(0.9/0.95))*(0.85/0.9)</f>
        <v>2.3072098014518505</v>
      </c>
      <c r="AN17" s="3">
        <f>(2.40641524656296*(0.9/0.95))*(0.85/0.9)</f>
        <v>2.1531083785037008</v>
      </c>
      <c r="AO17" s="3">
        <f>(2.48558927368889*(0.9/0.95))*(0.85/0.9)</f>
        <v>2.2239482975111122</v>
      </c>
      <c r="AP17" s="3">
        <f>(2.54504588924445*(0.9/0.95))*(0.85/0.9)</f>
        <v>2.2771463219555605</v>
      </c>
      <c r="AQ17" s="3">
        <f>(2.75883535998519*(0.9/0.95))*(0.85/0.9)</f>
        <v>2.4684316378814861</v>
      </c>
      <c r="AR17" s="3">
        <f>(2.70429367371852*(0.9/0.95))*(0.85/0.9)</f>
        <v>2.4196311817481493</v>
      </c>
      <c r="AS17" s="3">
        <f>(2.54011898207407*(0.9/0.95))*(0.85/0.9)</f>
        <v>2.2727380365925893</v>
      </c>
      <c r="AT17" s="3">
        <f>(2.48735200642963*(0.9/0.95))*(0.85/0.9)</f>
        <v>2.2255254794370374</v>
      </c>
      <c r="AU17" s="3">
        <f>(2.21145042637037*(0.9/0.95))*(0.85/0.9)</f>
        <v>1.9786661709629627</v>
      </c>
      <c r="AV17" s="3">
        <f>(2.01961651878519*(0.9/0.95))*(0.85/0.9)</f>
        <v>1.8070253062814858</v>
      </c>
      <c r="AW17" s="3">
        <f>(1.68413942314074*(0.9/0.95))*(0.85/0.9)</f>
        <v>1.5068615891259254</v>
      </c>
    </row>
    <row r="18" spans="1:49" x14ac:dyDescent="0.25">
      <c r="A18" s="3" t="s">
        <v>148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f t="shared" ref="Z18:AW18" si="2">(0*(0.9/0.95))*(0.85/0.9)</f>
        <v>0</v>
      </c>
      <c r="AA18" s="3">
        <f t="shared" si="2"/>
        <v>0</v>
      </c>
      <c r="AB18" s="3">
        <f t="shared" si="2"/>
        <v>0</v>
      </c>
      <c r="AC18" s="3">
        <f t="shared" si="2"/>
        <v>0</v>
      </c>
      <c r="AD18" s="3">
        <f t="shared" si="2"/>
        <v>0</v>
      </c>
      <c r="AE18" s="3">
        <f t="shared" si="2"/>
        <v>0</v>
      </c>
      <c r="AF18" s="3">
        <f t="shared" si="2"/>
        <v>0</v>
      </c>
      <c r="AG18" s="3">
        <f t="shared" si="2"/>
        <v>0</v>
      </c>
      <c r="AH18" s="3">
        <f t="shared" si="2"/>
        <v>0</v>
      </c>
      <c r="AI18" s="3">
        <f t="shared" si="2"/>
        <v>0</v>
      </c>
      <c r="AJ18" s="3">
        <f t="shared" si="2"/>
        <v>0</v>
      </c>
      <c r="AK18" s="3">
        <f t="shared" si="2"/>
        <v>0</v>
      </c>
      <c r="AL18" s="3">
        <f t="shared" si="2"/>
        <v>0</v>
      </c>
      <c r="AM18" s="3">
        <f t="shared" si="2"/>
        <v>0</v>
      </c>
      <c r="AN18" s="3">
        <f t="shared" si="2"/>
        <v>0</v>
      </c>
      <c r="AO18" s="3">
        <f t="shared" si="2"/>
        <v>0</v>
      </c>
      <c r="AP18" s="3">
        <f t="shared" si="2"/>
        <v>0</v>
      </c>
      <c r="AQ18" s="3">
        <f t="shared" si="2"/>
        <v>0</v>
      </c>
      <c r="AR18" s="3">
        <f t="shared" si="2"/>
        <v>0</v>
      </c>
      <c r="AS18" s="3">
        <f t="shared" si="2"/>
        <v>0</v>
      </c>
      <c r="AT18" s="3">
        <f t="shared" si="2"/>
        <v>0</v>
      </c>
      <c r="AU18" s="3">
        <f t="shared" si="2"/>
        <v>0</v>
      </c>
      <c r="AV18" s="3">
        <f t="shared" si="2"/>
        <v>0</v>
      </c>
      <c r="AW18" s="3">
        <f t="shared" si="2"/>
        <v>0</v>
      </c>
    </row>
    <row r="19" spans="1:49" x14ac:dyDescent="0.25">
      <c r="A19" s="3" t="s">
        <v>149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f>(6.01587125657778*(0.9/0.95))*(0.85/0.9)</f>
        <v>5.3826216506222249</v>
      </c>
      <c r="AA19" s="3">
        <f>(5.73242547515555*(0.9/0.95))*(0.85/0.9)</f>
        <v>5.1290122672444394</v>
      </c>
      <c r="AB19" s="3">
        <f>(5.26190376558519*(0.9/0.95))*(0.85/0.9)</f>
        <v>4.7080191586814859</v>
      </c>
      <c r="AC19" s="3">
        <f>(5.35249829779259*(0.9/0.95))*(0.85/0.9)</f>
        <v>4.7890774243407392</v>
      </c>
      <c r="AD19" s="3">
        <f>(5.39208101102222*(0.9/0.95))*(0.85/0.9)</f>
        <v>4.8244935361777754</v>
      </c>
      <c r="AE19" s="3">
        <f>(5.17011029847407*(0.9/0.95))*(0.85/0.9)</f>
        <v>4.6258881617925889</v>
      </c>
      <c r="AF19" s="3">
        <f>(6.63226171906666*(0.9/0.95))*(0.85/0.9)</f>
        <v>5.9341289065333278</v>
      </c>
      <c r="AG19" s="3">
        <f>(7.53760887216296*(0.9/0.95))*(0.85/0.9)</f>
        <v>6.744176359303701</v>
      </c>
      <c r="AH19" s="3">
        <f>(8.43269377284444*(0.9/0.95))*(0.85/0.9)</f>
        <v>7.5450417967555516</v>
      </c>
      <c r="AI19" s="3">
        <f>(8.66260767099259*(0.9/0.95))*(0.85/0.9)</f>
        <v>7.7507542319407401</v>
      </c>
      <c r="AJ19" s="3">
        <f>(8.66495850805926*(0.9/0.95))*(0.85/0.9)</f>
        <v>7.7528576124740765</v>
      </c>
      <c r="AK19" s="3">
        <f>(8.01699501597037*(0.9/0.95))*(0.85/0.9)</f>
        <v>7.1731008037629627</v>
      </c>
      <c r="AL19" s="3">
        <f>(8.56240017266666*(0.9/0.95))*(0.85/0.9)</f>
        <v>7.6610948913333274</v>
      </c>
      <c r="AM19" s="3">
        <f>(8.50470117871111*(0.9/0.95))*(0.85/0.9)</f>
        <v>7.6094694756888881</v>
      </c>
      <c r="AN19" s="3">
        <f>(7.96804151681481*(0.9/0.95))*(0.85/0.9)</f>
        <v>7.1293003045185142</v>
      </c>
      <c r="AO19" s="3">
        <f>(8.12321061688889*(0.9/0.95))*(0.85/0.9)</f>
        <v>7.2681358151111128</v>
      </c>
      <c r="AP19" s="3">
        <f>(8.89790679037037*(0.9/0.95))*(0.85/0.9)</f>
        <v>7.9612850229629641</v>
      </c>
      <c r="AQ19" s="3">
        <f>(8.62809535715555*(0.9/0.95))*(0.85/0.9)</f>
        <v>7.7198747932444398</v>
      </c>
      <c r="AR19" s="3">
        <f>(9.19021079936296*(0.9/0.95))*(0.85/0.9)</f>
        <v>8.222820188903702</v>
      </c>
      <c r="AS19" s="3">
        <f>(8.2150789364*(0.9/0.95))*(0.85/0.9)</f>
        <v>7.3503337851999992</v>
      </c>
      <c r="AT19" s="3">
        <f>(8.41949362727407*(0.9/0.95))*(0.85/0.9)</f>
        <v>7.5332311401925898</v>
      </c>
      <c r="AU19" s="3">
        <f>(7.20866190115555*(0.9/0.95))*(0.85/0.9)</f>
        <v>6.4498553852444402</v>
      </c>
      <c r="AV19" s="3">
        <f>(6.19388117174815*(0.9/0.95))*(0.85/0.9)</f>
        <v>5.5418936799851872</v>
      </c>
      <c r="AW19" s="3">
        <f>(5.80865425176296*(0.9/0.95))*(0.85/0.9)</f>
        <v>5.1972169621037008</v>
      </c>
    </row>
    <row r="20" spans="1:49" x14ac:dyDescent="0.25">
      <c r="A20" s="3" t="s">
        <v>150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f>(3.40225907736296*(0.9/0.95))*(0.85/0.9)</f>
        <v>3.044126542903701</v>
      </c>
      <c r="AA20" s="3">
        <f>(2.96073018162963*(0.9/0.95))*(0.85/0.9)</f>
        <v>2.6490743730370374</v>
      </c>
      <c r="AB20" s="3">
        <f>(2.82047995952593*(0.9/0.95))*(0.85/0.9)</f>
        <v>2.5235873322074109</v>
      </c>
      <c r="AC20" s="3">
        <f>(2.80030104780741*(0.9/0.95))*(0.85/0.9)</f>
        <v>2.5055325164592617</v>
      </c>
      <c r="AD20" s="3">
        <f>(2.87611315807407*(0.9/0.95))*(0.85/0.9)</f>
        <v>2.573364404592589</v>
      </c>
      <c r="AE20" s="3">
        <f>(2.8115765888*(0.9/0.95))*(0.85/0.9)</f>
        <v>2.5156211584000001</v>
      </c>
      <c r="AF20" s="3">
        <f>(3.45213937765926*(0.9/0.95))*(0.85/0.9)</f>
        <v>3.0887562852740751</v>
      </c>
      <c r="AG20" s="3">
        <f>(3.99747983921481*(0.9/0.95))*(0.85/0.9)</f>
        <v>3.5766924877185144</v>
      </c>
      <c r="AH20" s="3">
        <f>(4.51963847564445*(0.9/0.95))*(0.85/0.9)</f>
        <v>4.0438870571555601</v>
      </c>
      <c r="AI20" s="3">
        <f>(4.46305524528889*(0.9/0.95))*(0.85/0.9)</f>
        <v>3.9932599563111122</v>
      </c>
      <c r="AJ20" s="3">
        <f>(4.70709623201481*(0.9/0.95))*(0.85/0.9)</f>
        <v>4.2116124181185146</v>
      </c>
      <c r="AK20" s="3">
        <f>(4.54799099201481*(0.9/0.95))*(0.85/0.9)</f>
        <v>4.0692550981185143</v>
      </c>
      <c r="AL20" s="3">
        <f>(4.73425237102222*(0.9/0.95))*(0.85/0.9)</f>
        <v>4.2359100161777761</v>
      </c>
      <c r="AM20" s="3">
        <f>(4.60418060739259*(0.9/0.95))*(0.85/0.9)</f>
        <v>4.1195300171407387</v>
      </c>
      <c r="AN20" s="3">
        <f>(4.65997826684444*(0.9/0.95))*(0.85/0.9)</f>
        <v>4.1694542387555513</v>
      </c>
      <c r="AO20" s="3">
        <f>(4.63408680020741*(0.9/0.95))*(0.85/0.9)</f>
        <v>4.1462881896592609</v>
      </c>
      <c r="AP20" s="3">
        <f>(4.85863398481481*(0.9/0.95))*(0.85/0.9)</f>
        <v>4.3471988285185148</v>
      </c>
      <c r="AQ20" s="3">
        <f>(4.77559159062222*(0.9/0.95))*(0.85/0.9)</f>
        <v>4.2728977389777762</v>
      </c>
      <c r="AR20" s="3">
        <f>(5.07364782202963*(0.9/0.95))*(0.85/0.9)</f>
        <v>4.5395796302370375</v>
      </c>
      <c r="AS20" s="3">
        <f>(4.81365167059259*(0.9/0.95))*(0.85/0.9)</f>
        <v>4.3069514947407379</v>
      </c>
      <c r="AT20" s="3">
        <f>(4.49799688312593*(0.9/0.95))*(0.85/0.9)</f>
        <v>4.0245235270074113</v>
      </c>
      <c r="AU20" s="3">
        <f>(4.10968407940741*(0.9/0.95))*(0.85/0.9)</f>
        <v>3.6770857552592617</v>
      </c>
      <c r="AV20" s="3">
        <f>(3.51589737281481*(0.9/0.95))*(0.85/0.9)</f>
        <v>3.1458029125185143</v>
      </c>
      <c r="AW20" s="3">
        <f>(2.99482809308148*(0.9/0.95))*(0.85/0.9)</f>
        <v>2.6795830306518504</v>
      </c>
    </row>
    <row r="21" spans="1:49" x14ac:dyDescent="0.25">
      <c r="A21" s="3" t="s">
        <v>151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f>(2.35489718623704*(0.9/0.95))*(0.85/0.9)</f>
        <v>2.1070132718962991</v>
      </c>
      <c r="AA21" s="3">
        <f>(2.1217517466963*(0.9/0.95))*(0.85/0.9)</f>
        <v>1.8984094575703736</v>
      </c>
      <c r="AB21" s="3">
        <f>(1.97037744597037*(0.9/0.95))*(0.85/0.9)</f>
        <v>1.7629692937629626</v>
      </c>
      <c r="AC21" s="3">
        <f>(1.92449908808889*(0.9/0.95))*(0.85/0.9)</f>
        <v>1.7219202367111122</v>
      </c>
      <c r="AD21" s="3">
        <f>(2.01086130217778*(0.9/0.95))*(0.85/0.9)</f>
        <v>1.7991916914222241</v>
      </c>
      <c r="AE21" s="3">
        <f>(2.10391894906666*(0.9/0.95))*(0.85/0.9)</f>
        <v>1.8824537965333275</v>
      </c>
      <c r="AF21" s="3">
        <f>(2.49726133004445*(0.9/0.95))*(0.85/0.9)</f>
        <v>2.2343917163555607</v>
      </c>
      <c r="AG21" s="3">
        <f>(2.90143583592593*(0.9/0.95))*(0.85/0.9)</f>
        <v>2.5960215374074114</v>
      </c>
      <c r="AH21" s="3">
        <f>(3.21612486605926*(0.9/0.95))*(0.85/0.9)</f>
        <v>2.8775854064740747</v>
      </c>
      <c r="AI21" s="3">
        <f>(3.30294707493334*(0.9/0.95))*(0.85/0.9)</f>
        <v>2.9552684354666727</v>
      </c>
      <c r="AJ21" s="3">
        <f>(3.40997595804445*(0.9/0.95))*(0.85/0.9)</f>
        <v>3.0510311203555607</v>
      </c>
      <c r="AK21" s="3">
        <f>(3.39521838641481*(0.9/0.95))*(0.85/0.9)</f>
        <v>3.0378269773185145</v>
      </c>
      <c r="AL21" s="3">
        <f>(3.17454355887407*(0.9/0.95))*(0.85/0.9)</f>
        <v>2.8403810789925892</v>
      </c>
      <c r="AM21" s="3">
        <f>(3.35771618331851*(0.9/0.95))*(0.85/0.9)</f>
        <v>3.0042723745481408</v>
      </c>
      <c r="AN21" s="3">
        <f>(3.06484934788148*(0.9/0.95))*(0.85/0.9)</f>
        <v>2.7422336270518506</v>
      </c>
      <c r="AO21" s="3">
        <f>(3.1706156216*(0.9/0.95))*(0.85/0.9)</f>
        <v>2.8368666088000003</v>
      </c>
      <c r="AP21" s="3">
        <f>(3.45573821579259*(0.9/0.95))*(0.85/0.9)</f>
        <v>3.0919762983407386</v>
      </c>
      <c r="AQ21" s="3">
        <f>(3.43343212768889*(0.9/0.95))*(0.85/0.9)</f>
        <v>3.0720182195111123</v>
      </c>
      <c r="AR21" s="3">
        <f>(3.40756974765926*(0.9/0.95))*(0.85/0.9)</f>
        <v>3.0488781952740749</v>
      </c>
      <c r="AS21" s="3">
        <f>(3.36619073051852*(0.9/0.95))*(0.85/0.9)</f>
        <v>3.0118548641481495</v>
      </c>
      <c r="AT21" s="3">
        <f>(3.04192769637037*(0.9/0.95))*(0.85/0.9)</f>
        <v>2.7217247809629628</v>
      </c>
      <c r="AU21" s="3">
        <f>(2.96778174311111*(0.9/0.95))*(0.85/0.9)</f>
        <v>2.655383664888888</v>
      </c>
      <c r="AV21" s="3">
        <f>(2.3954002772*(0.9/0.95))*(0.85/0.9)</f>
        <v>2.1432528795999999</v>
      </c>
      <c r="AW21" s="3">
        <f>(2.15789027419259*(0.9/0.95))*(0.85/0.9)</f>
        <v>1.9307439295407385</v>
      </c>
    </row>
    <row r="22" spans="1:49" x14ac:dyDescent="0.25">
      <c r="A22" s="3" t="s">
        <v>152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</row>
    <row r="23" spans="1:49" x14ac:dyDescent="0.25">
      <c r="A23" s="3" t="s">
        <v>153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</row>
    <row r="24" spans="1:49" x14ac:dyDescent="0.25">
      <c r="A24" s="3" t="s">
        <v>154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</row>
    <row r="25" spans="1:49" x14ac:dyDescent="0.25">
      <c r="A25" s="3" t="s">
        <v>155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</row>
    <row r="26" spans="1:49" x14ac:dyDescent="0.25">
      <c r="A26" s="3" t="s">
        <v>156</v>
      </c>
      <c r="B26" s="3">
        <v>0.27754882040000001</v>
      </c>
      <c r="C26" s="3">
        <v>0.1867639016</v>
      </c>
      <c r="D26" s="3">
        <v>0.1285078784</v>
      </c>
      <c r="E26" s="3">
        <v>0.1060280224</v>
      </c>
      <c r="F26" s="3">
        <v>7.8114244799999996E-2</v>
      </c>
      <c r="G26" s="3">
        <v>0.1214232032</v>
      </c>
      <c r="H26" s="3">
        <v>7.7202063200000004E-2</v>
      </c>
      <c r="I26" s="3">
        <v>8.6199602E-2</v>
      </c>
      <c r="J26" s="3">
        <v>1.3798683999999999E-3</v>
      </c>
      <c r="K26" s="3">
        <v>6.4525960000000001E-4</v>
      </c>
      <c r="L26" s="3">
        <v>6.6294048800000005E-2</v>
      </c>
      <c r="M26" s="3">
        <v>8.6631063600000002E-2</v>
      </c>
      <c r="N26" s="3">
        <v>0.18682121160000001</v>
      </c>
      <c r="O26" s="3">
        <v>0.36569960639999999</v>
      </c>
      <c r="P26" s="3">
        <v>0.18544745360000001</v>
      </c>
      <c r="Q26" s="3">
        <v>9.1871172000000001E-2</v>
      </c>
      <c r="R26" s="3">
        <v>0.12512026679999999</v>
      </c>
      <c r="S26" s="3">
        <v>8.8147513600000005E-2</v>
      </c>
      <c r="T26" s="3">
        <v>0.1089783216</v>
      </c>
      <c r="U26" s="3">
        <v>0.23088321479999999</v>
      </c>
      <c r="V26" s="3">
        <v>0.30502389200000002</v>
      </c>
      <c r="W26" s="3">
        <v>0.269519756</v>
      </c>
      <c r="X26" s="3">
        <v>0.20269070119999999</v>
      </c>
      <c r="Y26" s="3">
        <v>0.17101641319999999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</row>
    <row r="27" spans="1:49" x14ac:dyDescent="0.25">
      <c r="A27" s="3" t="s">
        <v>157</v>
      </c>
      <c r="B27" s="3">
        <v>0.2492490735</v>
      </c>
      <c r="C27" s="3">
        <v>0.28224150816666699</v>
      </c>
      <c r="D27" s="3">
        <v>0.27767887250000001</v>
      </c>
      <c r="E27" s="3">
        <v>0.25531850833333303</v>
      </c>
      <c r="F27" s="3">
        <v>0.218627737166667</v>
      </c>
      <c r="G27" s="3">
        <v>0.34150666299999999</v>
      </c>
      <c r="H27" s="3">
        <v>0.29340774749999998</v>
      </c>
      <c r="I27" s="3">
        <v>0.18049723216666699</v>
      </c>
      <c r="J27" s="3">
        <v>0.120786596666667</v>
      </c>
      <c r="K27" s="3">
        <v>8.5510940333333299E-2</v>
      </c>
      <c r="L27" s="3">
        <v>0.117573947</v>
      </c>
      <c r="M27" s="3">
        <v>0.138510231833333</v>
      </c>
      <c r="N27" s="3">
        <v>0.18613389333333299</v>
      </c>
      <c r="O27" s="3">
        <v>0.127108899333333</v>
      </c>
      <c r="P27" s="3">
        <v>8.8408464000000006E-2</v>
      </c>
      <c r="Q27" s="3">
        <v>6.5630198666666695E-2</v>
      </c>
      <c r="R27" s="3">
        <v>0.13268818700000001</v>
      </c>
      <c r="S27" s="3">
        <v>8.9280383333333296E-2</v>
      </c>
      <c r="T27" s="3">
        <v>6.7432095999999997E-2</v>
      </c>
      <c r="U27" s="3">
        <v>0.1064942915</v>
      </c>
      <c r="V27" s="3">
        <v>9.39548463333333E-2</v>
      </c>
      <c r="W27" s="3">
        <v>8.0328055499999995E-2</v>
      </c>
      <c r="X27" s="3">
        <v>9.0067847833333298E-2</v>
      </c>
      <c r="Y27" s="3">
        <v>7.5020876666666694E-2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</row>
    <row r="28" spans="1:49" x14ac:dyDescent="0.25">
      <c r="A28" s="3" t="s">
        <v>158</v>
      </c>
      <c r="B28" s="3">
        <v>0.18396319250000001</v>
      </c>
      <c r="C28" s="3">
        <v>0.26092059783333299</v>
      </c>
      <c r="D28" s="3">
        <v>0.17744829716666699</v>
      </c>
      <c r="E28" s="3">
        <v>0.217058353166667</v>
      </c>
      <c r="F28" s="3">
        <v>0.159165982166667</v>
      </c>
      <c r="G28" s="3">
        <v>8.7106601000000006E-2</v>
      </c>
      <c r="H28" s="3">
        <v>0.16620674933333299</v>
      </c>
      <c r="I28" s="3">
        <v>0.12810758883333301</v>
      </c>
      <c r="J28" s="3">
        <v>9.6730262666666705E-2</v>
      </c>
      <c r="K28" s="3">
        <v>5.2975323666666699E-2</v>
      </c>
      <c r="L28" s="3">
        <v>5.5047769333333302E-2</v>
      </c>
      <c r="M28" s="3">
        <v>6.0785807499999997E-2</v>
      </c>
      <c r="N28" s="3">
        <v>0.10940227199999999</v>
      </c>
      <c r="O28" s="3">
        <v>0.30189238800000001</v>
      </c>
      <c r="P28" s="3">
        <v>0.35279782250000002</v>
      </c>
      <c r="Q28" s="3">
        <v>0.276898820166667</v>
      </c>
      <c r="R28" s="3">
        <v>0.14667810716666699</v>
      </c>
      <c r="S28" s="3">
        <v>0.1327388545</v>
      </c>
      <c r="T28" s="3">
        <v>0.158570689166667</v>
      </c>
      <c r="U28" s="3">
        <v>9.1871171833333307E-2</v>
      </c>
      <c r="V28" s="3">
        <v>0.14757279433333301</v>
      </c>
      <c r="W28" s="3">
        <v>0.35355806150000002</v>
      </c>
      <c r="X28" s="3">
        <v>0.29618462366666698</v>
      </c>
      <c r="Y28" s="3">
        <v>0.19705995549999999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</row>
    <row r="29" spans="1:49" x14ac:dyDescent="0.25">
      <c r="A29" s="3" t="s">
        <v>159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1.71081690162963</v>
      </c>
      <c r="AA29" s="3">
        <v>1.5668124474074101</v>
      </c>
      <c r="AB29" s="3">
        <v>1.47844142962963</v>
      </c>
      <c r="AC29" s="3">
        <v>1.5702715010370401</v>
      </c>
      <c r="AD29" s="3">
        <v>1.44211722459259</v>
      </c>
      <c r="AE29" s="3">
        <v>1.4703957105185199</v>
      </c>
      <c r="AF29" s="3">
        <v>1.90012017274074</v>
      </c>
      <c r="AG29" s="3">
        <v>2.1842219010370401</v>
      </c>
      <c r="AH29" s="3">
        <v>2.4539234263703702</v>
      </c>
      <c r="AI29" s="3">
        <v>2.5709169774814802</v>
      </c>
      <c r="AJ29" s="3">
        <v>2.3581192112592602</v>
      </c>
      <c r="AK29" s="3">
        <v>2.3982366219259301</v>
      </c>
      <c r="AL29" s="3">
        <v>2.3592917579259298</v>
      </c>
      <c r="AM29" s="3">
        <v>2.38296780503704</v>
      </c>
      <c r="AN29" s="3">
        <v>2.3140252053333299</v>
      </c>
      <c r="AO29" s="3">
        <v>2.4486639457777799</v>
      </c>
      <c r="AP29" s="3">
        <v>2.5547373164444398</v>
      </c>
      <c r="AQ29" s="3">
        <v>2.6649603037037002</v>
      </c>
      <c r="AR29" s="3">
        <v>2.48782622666667</v>
      </c>
      <c r="AS29" s="3">
        <v>2.3900217268148101</v>
      </c>
      <c r="AT29" s="3">
        <v>2.2949175718518502</v>
      </c>
      <c r="AU29" s="3">
        <v>2.0308406159999999</v>
      </c>
      <c r="AV29" s="3">
        <v>1.9445856079999999</v>
      </c>
      <c r="AW29" s="3">
        <v>1.5463565869629601</v>
      </c>
    </row>
    <row r="30" spans="1:49" x14ac:dyDescent="0.25">
      <c r="A30" s="3" t="s">
        <v>160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1.52103026340741</v>
      </c>
      <c r="AA30" s="3">
        <v>1.50194717659259</v>
      </c>
      <c r="AB30" s="3">
        <v>1.3139511570370399</v>
      </c>
      <c r="AC30" s="3">
        <v>1.3559730800000001</v>
      </c>
      <c r="AD30" s="3">
        <v>1.3289179970370399</v>
      </c>
      <c r="AE30" s="3">
        <v>1.43818146162963</v>
      </c>
      <c r="AF30" s="3">
        <v>1.69159383762963</v>
      </c>
      <c r="AG30" s="3">
        <v>1.9520300717037</v>
      </c>
      <c r="AH30" s="3">
        <v>2.1369096767407401</v>
      </c>
      <c r="AI30" s="3">
        <v>2.3020938453333302</v>
      </c>
      <c r="AJ30" s="3">
        <v>2.2311526906666699</v>
      </c>
      <c r="AK30" s="3">
        <v>2.1311280645925899</v>
      </c>
      <c r="AL30" s="3">
        <v>2.1944760071111098</v>
      </c>
      <c r="AM30" s="3">
        <v>2.2273169457777802</v>
      </c>
      <c r="AN30" s="3">
        <v>2.0287461869629602</v>
      </c>
      <c r="AO30" s="3">
        <v>2.2018481063703699</v>
      </c>
      <c r="AP30" s="3">
        <v>2.26609132088889</v>
      </c>
      <c r="AQ30" s="3">
        <v>2.29090188237037</v>
      </c>
      <c r="AR30" s="3">
        <v>2.3070239525925902</v>
      </c>
      <c r="AS30" s="3">
        <v>2.24235890666667</v>
      </c>
      <c r="AT30" s="3">
        <v>2.1199423114074101</v>
      </c>
      <c r="AU30" s="3">
        <v>1.98968984977778</v>
      </c>
      <c r="AV30" s="3">
        <v>1.71702704444444</v>
      </c>
      <c r="AW30" s="3">
        <v>1.4821819599999999</v>
      </c>
    </row>
    <row r="31" spans="1:49" x14ac:dyDescent="0.25">
      <c r="A31" s="3" t="s">
        <v>161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2.8560315591111101</v>
      </c>
      <c r="AA31" s="3">
        <v>2.6919215825185199</v>
      </c>
      <c r="AB31" s="3">
        <v>2.57201422281481</v>
      </c>
      <c r="AC31" s="3">
        <v>2.5843046734814799</v>
      </c>
      <c r="AD31" s="3">
        <v>2.6174501691851901</v>
      </c>
      <c r="AE31" s="3">
        <v>2.4568432912592599</v>
      </c>
      <c r="AF31" s="3">
        <v>3.0581341757036999</v>
      </c>
      <c r="AG31" s="3">
        <v>3.5534391842963</v>
      </c>
      <c r="AH31" s="3">
        <v>3.8442793884444399</v>
      </c>
      <c r="AI31" s="3">
        <v>4.2447480589629603</v>
      </c>
      <c r="AJ31" s="3">
        <v>4.0524846444444398</v>
      </c>
      <c r="AK31" s="3">
        <v>4.2233554077036999</v>
      </c>
      <c r="AL31" s="3">
        <v>4.2195198080000003</v>
      </c>
      <c r="AM31" s="3">
        <v>4.0773048565925896</v>
      </c>
      <c r="AN31" s="3">
        <v>4.0332238426666702</v>
      </c>
      <c r="AO31" s="3">
        <v>4.0109750758518503</v>
      </c>
      <c r="AP31" s="3">
        <v>4.0921371202963002</v>
      </c>
      <c r="AQ31" s="3">
        <v>4.3006565342222203</v>
      </c>
      <c r="AR31" s="3">
        <v>4.4107549629629599</v>
      </c>
      <c r="AS31" s="3">
        <v>4.1297138897777801</v>
      </c>
      <c r="AT31" s="3">
        <v>3.9775963484444401</v>
      </c>
      <c r="AU31" s="3">
        <v>3.3693164026666702</v>
      </c>
      <c r="AV31" s="3">
        <v>3.0656317336296302</v>
      </c>
      <c r="AW31" s="3">
        <v>2.67144053866667</v>
      </c>
    </row>
    <row r="32" spans="1:49" x14ac:dyDescent="0.25">
      <c r="A32" s="3" t="s">
        <v>162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1.2107907051851901</v>
      </c>
      <c r="AA32" s="3">
        <v>1.1181502162963</v>
      </c>
      <c r="AB32" s="3">
        <v>1.0423244574814801</v>
      </c>
      <c r="AC32" s="3">
        <v>1.0063878159999999</v>
      </c>
      <c r="AD32" s="3">
        <v>0.99226419081481498</v>
      </c>
      <c r="AE32" s="3">
        <v>1.0458215807407401</v>
      </c>
      <c r="AF32" s="3">
        <v>1.2506410829629599</v>
      </c>
      <c r="AG32" s="3">
        <v>1.57428716148148</v>
      </c>
      <c r="AH32" s="3">
        <v>1.6185255271111101</v>
      </c>
      <c r="AI32" s="3">
        <v>1.76115606903704</v>
      </c>
      <c r="AJ32" s="3">
        <v>1.6352245611851901</v>
      </c>
      <c r="AK32" s="3">
        <v>1.6358142805925899</v>
      </c>
      <c r="AL32" s="3">
        <v>1.61202413451852</v>
      </c>
      <c r="AM32" s="3">
        <v>1.6851118936296301</v>
      </c>
      <c r="AN32" s="3">
        <v>1.6362753016296301</v>
      </c>
      <c r="AO32" s="3">
        <v>1.61821960740741</v>
      </c>
      <c r="AP32" s="3">
        <v>1.81696655259259</v>
      </c>
      <c r="AQ32" s="3">
        <v>1.73141637303704</v>
      </c>
      <c r="AR32" s="3">
        <v>1.8268561111111099</v>
      </c>
      <c r="AS32" s="3">
        <v>1.6125360512592599</v>
      </c>
      <c r="AT32" s="3">
        <v>1.5977679988148099</v>
      </c>
      <c r="AU32" s="3">
        <v>1.51572616533333</v>
      </c>
      <c r="AV32" s="3">
        <v>1.2290531119999999</v>
      </c>
      <c r="AW32" s="3">
        <v>1.1372219288888901</v>
      </c>
    </row>
    <row r="33" spans="1:49" x14ac:dyDescent="0.25">
      <c r="A33" s="3" t="s">
        <v>163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1.1860285028148101</v>
      </c>
      <c r="AA33" s="3">
        <v>1.0961660162963001</v>
      </c>
      <c r="AB33" s="3">
        <v>1.0012939377777801</v>
      </c>
      <c r="AC33" s="3">
        <v>1.0360077922963</v>
      </c>
      <c r="AD33" s="3">
        <v>1.0418966983703699</v>
      </c>
      <c r="AE33" s="3">
        <v>1.0021449760000001</v>
      </c>
      <c r="AF33" s="3">
        <v>1.29978079881481</v>
      </c>
      <c r="AG33" s="3">
        <v>1.50815668681481</v>
      </c>
      <c r="AH33" s="3">
        <v>1.5690078154074101</v>
      </c>
      <c r="AI33" s="3">
        <v>1.5668157057777801</v>
      </c>
      <c r="AJ33" s="3">
        <v>1.685734176</v>
      </c>
      <c r="AK33" s="3">
        <v>1.6650126287407401</v>
      </c>
      <c r="AL33" s="3">
        <v>1.60499121274074</v>
      </c>
      <c r="AM33" s="3">
        <v>1.6720567650370399</v>
      </c>
      <c r="AN33" s="3">
        <v>1.6259157102222199</v>
      </c>
      <c r="AO33" s="3">
        <v>1.6448132690370401</v>
      </c>
      <c r="AP33" s="3">
        <v>1.6585508882963</v>
      </c>
      <c r="AQ33" s="3">
        <v>1.668039912</v>
      </c>
      <c r="AR33" s="3">
        <v>1.6232536112592599</v>
      </c>
      <c r="AS33" s="3">
        <v>1.5755160026666699</v>
      </c>
      <c r="AT33" s="3">
        <v>1.5578025120000001</v>
      </c>
      <c r="AU33" s="3">
        <v>1.3633008853333299</v>
      </c>
      <c r="AV33" s="3">
        <v>1.18587187703704</v>
      </c>
      <c r="AW33" s="3">
        <v>1.04453808355556</v>
      </c>
    </row>
    <row r="34" spans="1:49" x14ac:dyDescent="0.25">
      <c r="A34" s="3" t="s">
        <v>164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2.20731918814815</v>
      </c>
      <c r="AA34" s="3">
        <v>2.00954195348148</v>
      </c>
      <c r="AB34" s="3">
        <v>1.8588827185185199</v>
      </c>
      <c r="AC34" s="3">
        <v>1.90195864237037</v>
      </c>
      <c r="AD34" s="3">
        <v>1.9157187881481501</v>
      </c>
      <c r="AE34" s="3">
        <v>1.86249869037037</v>
      </c>
      <c r="AF34" s="3">
        <v>2.44136445985185</v>
      </c>
      <c r="AG34" s="3">
        <v>2.8483848545185202</v>
      </c>
      <c r="AH34" s="3">
        <v>3.02022141866667</v>
      </c>
      <c r="AI34" s="3">
        <v>2.99234805333333</v>
      </c>
      <c r="AJ34" s="3">
        <v>3.1583711600000002</v>
      </c>
      <c r="AK34" s="3">
        <v>3.14595932414815</v>
      </c>
      <c r="AL34" s="3">
        <v>3.0533201937777799</v>
      </c>
      <c r="AM34" s="3">
        <v>3.00781730666667</v>
      </c>
      <c r="AN34" s="3">
        <v>3.0930087315555501</v>
      </c>
      <c r="AO34" s="3">
        <v>2.8998634642962999</v>
      </c>
      <c r="AP34" s="3">
        <v>3.1501485099259301</v>
      </c>
      <c r="AQ34" s="3">
        <v>3.3746979445925902</v>
      </c>
      <c r="AR34" s="3">
        <v>3.3425334879999999</v>
      </c>
      <c r="AS34" s="3">
        <v>3.0834744349629601</v>
      </c>
      <c r="AT34" s="3">
        <v>2.82765761807407</v>
      </c>
      <c r="AU34" s="3">
        <v>2.7591404379259301</v>
      </c>
      <c r="AV34" s="3">
        <v>2.3966033300740701</v>
      </c>
      <c r="AW34" s="3">
        <v>2.0763845345185201</v>
      </c>
    </row>
    <row r="35" spans="1:49" x14ac:dyDescent="0.25">
      <c r="A35" s="3" t="s">
        <v>165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1.91257697659259</v>
      </c>
      <c r="AA35" s="3">
        <v>1.7868498645925901</v>
      </c>
      <c r="AB35" s="3">
        <v>1.7875918438518501</v>
      </c>
      <c r="AC35" s="3">
        <v>1.8203013318518499</v>
      </c>
      <c r="AD35" s="3">
        <v>1.69703227555556</v>
      </c>
      <c r="AE35" s="3">
        <v>1.7839804660740699</v>
      </c>
      <c r="AF35" s="3">
        <v>2.2678143828148101</v>
      </c>
      <c r="AG35" s="3">
        <v>2.61312826755556</v>
      </c>
      <c r="AH35" s="3">
        <v>2.8865973297777798</v>
      </c>
      <c r="AI35" s="3">
        <v>2.9151679282963001</v>
      </c>
      <c r="AJ35" s="3">
        <v>2.7909785120000001</v>
      </c>
      <c r="AK35" s="3">
        <v>2.9347042023703702</v>
      </c>
      <c r="AL35" s="3">
        <v>2.9177415306666701</v>
      </c>
      <c r="AM35" s="3">
        <v>2.8451539905185199</v>
      </c>
      <c r="AN35" s="3">
        <v>2.8602768527407401</v>
      </c>
      <c r="AO35" s="3">
        <v>2.77581508711111</v>
      </c>
      <c r="AP35" s="3">
        <v>2.8716094275555601</v>
      </c>
      <c r="AQ35" s="3">
        <v>2.9625066924444399</v>
      </c>
      <c r="AR35" s="3">
        <v>3.0283814130370401</v>
      </c>
      <c r="AS35" s="3">
        <v>2.9195884666666698</v>
      </c>
      <c r="AT35" s="3">
        <v>2.7756006817777799</v>
      </c>
      <c r="AU35" s="3">
        <v>2.48315680355556</v>
      </c>
      <c r="AV35" s="3">
        <v>2.2584759389629601</v>
      </c>
      <c r="AW35" s="3">
        <v>1.8388797342222201</v>
      </c>
    </row>
    <row r="36" spans="1:49" x14ac:dyDescent="0.25">
      <c r="A36" s="3" t="s">
        <v>166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2.8016764450370402</v>
      </c>
      <c r="AA36" s="3">
        <v>2.5864169250370401</v>
      </c>
      <c r="AB36" s="3">
        <v>2.3521586314074101</v>
      </c>
      <c r="AC36" s="3">
        <v>2.2737001777777799</v>
      </c>
      <c r="AD36" s="3">
        <v>2.3091101620740702</v>
      </c>
      <c r="AE36" s="3">
        <v>2.4050121822222201</v>
      </c>
      <c r="AF36" s="3">
        <v>3.0397993774814802</v>
      </c>
      <c r="AG36" s="3">
        <v>3.4567685039999998</v>
      </c>
      <c r="AH36" s="3">
        <v>3.7948429680000002</v>
      </c>
      <c r="AI36" s="3">
        <v>4.0314282047407399</v>
      </c>
      <c r="AJ36" s="3">
        <v>3.7790172290370401</v>
      </c>
      <c r="AK36" s="3">
        <v>3.7154542921481499</v>
      </c>
      <c r="AL36" s="3">
        <v>3.9893563111111101</v>
      </c>
      <c r="AM36" s="3">
        <v>3.9755114518518502</v>
      </c>
      <c r="AN36" s="3">
        <v>3.6048479848888899</v>
      </c>
      <c r="AO36" s="3">
        <v>3.9639853368888902</v>
      </c>
      <c r="AP36" s="3">
        <v>3.8633793810370398</v>
      </c>
      <c r="AQ36" s="3">
        <v>4.0553472586666697</v>
      </c>
      <c r="AR36" s="3">
        <v>4.02501014014815</v>
      </c>
      <c r="AS36" s="3">
        <v>3.71778335911111</v>
      </c>
      <c r="AT36" s="3">
        <v>3.6103086133333302</v>
      </c>
      <c r="AU36" s="3">
        <v>3.3738683045925901</v>
      </c>
      <c r="AV36" s="3">
        <v>3.0484782968888902</v>
      </c>
      <c r="AW36" s="3">
        <v>2.5420877294814801</v>
      </c>
    </row>
    <row r="37" spans="1:49" x14ac:dyDescent="0.25">
      <c r="A37" s="3" t="s">
        <v>167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2.69175897925926</v>
      </c>
      <c r="AA37" s="3">
        <v>2.5102841057777798</v>
      </c>
      <c r="AB37" s="3">
        <v>2.3831184512592598</v>
      </c>
      <c r="AC37" s="3">
        <v>2.5434767493333301</v>
      </c>
      <c r="AD37" s="3">
        <v>2.3825071801481501</v>
      </c>
      <c r="AE37" s="3">
        <v>2.5880501360000001</v>
      </c>
      <c r="AF37" s="3">
        <v>3.0901192000000002</v>
      </c>
      <c r="AG37" s="3">
        <v>3.45874465896296</v>
      </c>
      <c r="AH37" s="3">
        <v>4.0061805922962996</v>
      </c>
      <c r="AI37" s="3">
        <v>3.8495248877037</v>
      </c>
      <c r="AJ37" s="3">
        <v>3.8706312441481501</v>
      </c>
      <c r="AK37" s="3">
        <v>4.1034493277037001</v>
      </c>
      <c r="AL37" s="3">
        <v>4.03437374251852</v>
      </c>
      <c r="AM37" s="3">
        <v>4.08926561244445</v>
      </c>
      <c r="AN37" s="3">
        <v>3.7546605641481499</v>
      </c>
      <c r="AO37" s="3">
        <v>3.87768462459259</v>
      </c>
      <c r="AP37" s="3">
        <v>4.00251594814815</v>
      </c>
      <c r="AQ37" s="3">
        <v>4.1841274471111101</v>
      </c>
      <c r="AR37" s="3">
        <v>4.2317583114074102</v>
      </c>
      <c r="AS37" s="3">
        <v>3.84251337244444</v>
      </c>
      <c r="AT37" s="3">
        <v>3.7468420971851901</v>
      </c>
      <c r="AU37" s="3">
        <v>3.4263574447407401</v>
      </c>
      <c r="AV37" s="3">
        <v>2.8839756731851902</v>
      </c>
      <c r="AW37" s="3">
        <v>2.5438340044444399</v>
      </c>
    </row>
    <row r="38" spans="1:49" x14ac:dyDescent="0.25">
      <c r="A38" s="3" t="s">
        <v>168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3.0434178008888901</v>
      </c>
      <c r="AA38" s="3">
        <v>2.92734902548148</v>
      </c>
      <c r="AB38" s="3">
        <v>2.7865750681481498</v>
      </c>
      <c r="AC38" s="3">
        <v>2.71666479881481</v>
      </c>
      <c r="AD38" s="3">
        <v>2.83965552059259</v>
      </c>
      <c r="AE38" s="3">
        <v>2.6655148820740702</v>
      </c>
      <c r="AF38" s="3">
        <v>3.3630843617777799</v>
      </c>
      <c r="AG38" s="3">
        <v>4.0872224088888904</v>
      </c>
      <c r="AH38" s="3">
        <v>4.3786326453333304</v>
      </c>
      <c r="AI38" s="3">
        <v>4.37014141718518</v>
      </c>
      <c r="AJ38" s="3">
        <v>4.3715340645925904</v>
      </c>
      <c r="AK38" s="3">
        <v>4.2625264515555603</v>
      </c>
      <c r="AL38" s="3">
        <v>4.3113136079999999</v>
      </c>
      <c r="AM38" s="3">
        <v>4.1950287223703704</v>
      </c>
      <c r="AN38" s="3">
        <v>4.16401075377778</v>
      </c>
      <c r="AO38" s="3">
        <v>4.1922037256296303</v>
      </c>
      <c r="AP38" s="3">
        <v>4.6532559546666699</v>
      </c>
      <c r="AQ38" s="3">
        <v>4.5891022364444396</v>
      </c>
      <c r="AR38" s="3">
        <v>4.6152748154074104</v>
      </c>
      <c r="AS38" s="3">
        <v>4.4270661679999996</v>
      </c>
      <c r="AT38" s="3">
        <v>4.07577328562963</v>
      </c>
      <c r="AU38" s="3">
        <v>3.97874270785185</v>
      </c>
      <c r="AV38" s="3">
        <v>3.3054904628148098</v>
      </c>
      <c r="AW38" s="3">
        <v>2.9474363084444399</v>
      </c>
    </row>
    <row r="39" spans="1:49" x14ac:dyDescent="0.25">
      <c r="A39" s="3" t="s">
        <v>169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</row>
    <row r="40" spans="1:49" x14ac:dyDescent="0.25">
      <c r="A40" s="3" t="s">
        <v>170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</row>
    <row r="41" spans="1:49" x14ac:dyDescent="0.25">
      <c r="A41" s="3" t="s">
        <v>171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4.2835855170370403</v>
      </c>
      <c r="AA41" s="3">
        <v>4.0112618933333302</v>
      </c>
      <c r="AB41" s="3">
        <v>3.8995649528888898</v>
      </c>
      <c r="AC41" s="3">
        <v>3.6909879357037001</v>
      </c>
      <c r="AD41" s="3">
        <v>3.6825056530370399</v>
      </c>
      <c r="AE41" s="3">
        <v>3.8105850989629602</v>
      </c>
      <c r="AF41" s="3">
        <v>4.7315389022222201</v>
      </c>
      <c r="AG41" s="3">
        <v>5.6463527161481499</v>
      </c>
      <c r="AH41" s="3">
        <v>6.0720351709629599</v>
      </c>
      <c r="AI41" s="3">
        <v>6.2108397244444404</v>
      </c>
      <c r="AJ41" s="3">
        <v>5.7956019955555496</v>
      </c>
      <c r="AK41" s="3">
        <v>5.7754670171851901</v>
      </c>
      <c r="AL41" s="3">
        <v>5.7895524835555499</v>
      </c>
      <c r="AM41" s="3">
        <v>6.0815414032592603</v>
      </c>
      <c r="AN41" s="3">
        <v>6.0625096746666696</v>
      </c>
      <c r="AO41" s="3">
        <v>5.6185989585185201</v>
      </c>
      <c r="AP41" s="3">
        <v>6.4022193573333297</v>
      </c>
      <c r="AQ41" s="3">
        <v>6.1071864497777799</v>
      </c>
      <c r="AR41" s="3">
        <v>6.1448999318518496</v>
      </c>
      <c r="AS41" s="3">
        <v>6.25914859111111</v>
      </c>
      <c r="AT41" s="3">
        <v>5.4758281490370404</v>
      </c>
      <c r="AU41" s="3">
        <v>5.0601282314074103</v>
      </c>
      <c r="AV41" s="3">
        <v>4.5248860782222202</v>
      </c>
      <c r="AW41" s="3">
        <v>3.9697700394074098</v>
      </c>
    </row>
    <row r="42" spans="1:49" x14ac:dyDescent="0.25">
      <c r="A42" s="3" t="s">
        <v>172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3.0357045309629598</v>
      </c>
      <c r="AA42" s="3">
        <v>2.8599790924444402</v>
      </c>
      <c r="AB42" s="3">
        <v>2.85770698992593</v>
      </c>
      <c r="AC42" s="3">
        <v>2.7764191466666701</v>
      </c>
      <c r="AD42" s="3">
        <v>2.79788550014815</v>
      </c>
      <c r="AE42" s="3">
        <v>2.6636321848888902</v>
      </c>
      <c r="AF42" s="3">
        <v>3.27643839288889</v>
      </c>
      <c r="AG42" s="3">
        <v>4.02235470725926</v>
      </c>
      <c r="AH42" s="3">
        <v>4.27492924444444</v>
      </c>
      <c r="AI42" s="3">
        <v>4.4713168826666703</v>
      </c>
      <c r="AJ42" s="3">
        <v>4.2267235546666697</v>
      </c>
      <c r="AK42" s="3">
        <v>4.3524273105185198</v>
      </c>
      <c r="AL42" s="3">
        <v>4.20161898074074</v>
      </c>
      <c r="AM42" s="3">
        <v>4.4161404456296296</v>
      </c>
      <c r="AN42" s="3">
        <v>4.4137221354074097</v>
      </c>
      <c r="AO42" s="3">
        <v>4.4326916625185202</v>
      </c>
      <c r="AP42" s="3">
        <v>4.7469252050370399</v>
      </c>
      <c r="AQ42" s="3">
        <v>4.4832841054814798</v>
      </c>
      <c r="AR42" s="3">
        <v>4.8149471875555498</v>
      </c>
      <c r="AS42" s="3">
        <v>4.1902916595555597</v>
      </c>
      <c r="AT42" s="3">
        <v>4.3700117668148097</v>
      </c>
      <c r="AU42" s="3">
        <v>3.7587756162963002</v>
      </c>
      <c r="AV42" s="3">
        <v>3.4831395801481499</v>
      </c>
      <c r="AW42" s="3">
        <v>2.7501086293333299</v>
      </c>
    </row>
    <row r="43" spans="1:49" x14ac:dyDescent="0.25">
      <c r="A43" s="3" t="s">
        <v>173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4.7974244868148102</v>
      </c>
      <c r="AA43" s="3">
        <v>4.59820611081481</v>
      </c>
      <c r="AB43" s="3">
        <v>4.4329203125925902</v>
      </c>
      <c r="AC43" s="3">
        <v>4.6084447899259304</v>
      </c>
      <c r="AD43" s="3">
        <v>4.4040724373333298</v>
      </c>
      <c r="AE43" s="3">
        <v>4.3004771828148201</v>
      </c>
      <c r="AF43" s="3">
        <v>5.6199454328888896</v>
      </c>
      <c r="AG43" s="3">
        <v>6.1908970894814797</v>
      </c>
      <c r="AH43" s="3">
        <v>7.09030308</v>
      </c>
      <c r="AI43" s="3">
        <v>7.4154568008888901</v>
      </c>
      <c r="AJ43" s="3">
        <v>6.8389391321481501</v>
      </c>
      <c r="AK43" s="3">
        <v>7.1811371022222197</v>
      </c>
      <c r="AL43" s="3">
        <v>7.0426613288888902</v>
      </c>
      <c r="AM43" s="3">
        <v>7.3939073662222201</v>
      </c>
      <c r="AN43" s="3">
        <v>7.0367685878518502</v>
      </c>
      <c r="AO43" s="3">
        <v>7.3696459034074104</v>
      </c>
      <c r="AP43" s="3">
        <v>7.3018917647407404</v>
      </c>
      <c r="AQ43" s="3">
        <v>7.3129941090370396</v>
      </c>
      <c r="AR43" s="3">
        <v>7.8358018168888899</v>
      </c>
      <c r="AS43" s="3">
        <v>7.5079633875555603</v>
      </c>
      <c r="AT43" s="3">
        <v>6.8684291324444402</v>
      </c>
      <c r="AU43" s="3">
        <v>6.2797103496296298</v>
      </c>
      <c r="AV43" s="3">
        <v>5.2249075573333297</v>
      </c>
      <c r="AW43" s="3">
        <v>4.6524606468148102</v>
      </c>
    </row>
    <row r="44" spans="1:49" x14ac:dyDescent="0.25">
      <c r="A44" s="3" t="s">
        <v>174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1.5557535487407399</v>
      </c>
      <c r="AA44" s="3">
        <v>1.4617907442963001</v>
      </c>
      <c r="AB44" s="3">
        <v>1.3704868405925901</v>
      </c>
      <c r="AC44" s="3">
        <v>1.42040016325926</v>
      </c>
      <c r="AD44" s="3">
        <v>1.3453728441481501</v>
      </c>
      <c r="AE44" s="3">
        <v>1.44785214311111</v>
      </c>
      <c r="AF44" s="3">
        <v>1.7969906536296301</v>
      </c>
      <c r="AG44" s="3">
        <v>1.9589831042963</v>
      </c>
      <c r="AH44" s="3">
        <v>2.3300065185185201</v>
      </c>
      <c r="AI44" s="3">
        <v>2.2665816859259298</v>
      </c>
      <c r="AJ44" s="3">
        <v>2.2184936148148102</v>
      </c>
      <c r="AK44" s="3">
        <v>2.1629815158518499</v>
      </c>
      <c r="AL44" s="3">
        <v>2.2726127614814802</v>
      </c>
      <c r="AM44" s="3">
        <v>2.2622934195555602</v>
      </c>
      <c r="AN44" s="3">
        <v>2.1224496014814802</v>
      </c>
      <c r="AO44" s="3">
        <v>2.1518380654814799</v>
      </c>
      <c r="AP44" s="3">
        <v>2.2459979505185199</v>
      </c>
      <c r="AQ44" s="3">
        <v>2.4348911439999998</v>
      </c>
      <c r="AR44" s="3">
        <v>2.3839899108148099</v>
      </c>
      <c r="AS44" s="3">
        <v>2.37994876</v>
      </c>
      <c r="AT44" s="3">
        <v>2.2012287235555599</v>
      </c>
      <c r="AU44" s="3">
        <v>1.9972009389629599</v>
      </c>
      <c r="AV44" s="3">
        <v>1.7440209546666701</v>
      </c>
      <c r="AW44" s="3">
        <v>1.44546370992593</v>
      </c>
    </row>
    <row r="45" spans="1:49" x14ac:dyDescent="0.25">
      <c r="A45" s="3" t="s">
        <v>175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</row>
    <row r="46" spans="1:49" x14ac:dyDescent="0.25">
      <c r="A46" s="3" t="s">
        <v>176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5.0858466628148102</v>
      </c>
      <c r="AA46" s="3">
        <v>5.1212937336296296</v>
      </c>
      <c r="AB46" s="3">
        <v>4.6108441638518496</v>
      </c>
      <c r="AC46" s="3">
        <v>4.7680076411851902</v>
      </c>
      <c r="AD46" s="3">
        <v>4.7279467117036997</v>
      </c>
      <c r="AE46" s="3">
        <v>4.8633580986666702</v>
      </c>
      <c r="AF46" s="3">
        <v>5.9887203890370397</v>
      </c>
      <c r="AG46" s="3">
        <v>6.5965279478518504</v>
      </c>
      <c r="AH46" s="3">
        <v>7.8174324666666699</v>
      </c>
      <c r="AI46" s="3">
        <v>7.7516616032592598</v>
      </c>
      <c r="AJ46" s="3">
        <v>7.8724997970370403</v>
      </c>
      <c r="AK46" s="3">
        <v>7.1642509825185199</v>
      </c>
      <c r="AL46" s="3">
        <v>7.2862723899259301</v>
      </c>
      <c r="AM46" s="3">
        <v>7.8264078044444396</v>
      </c>
      <c r="AN46" s="3">
        <v>7.5839983685925896</v>
      </c>
      <c r="AO46" s="3">
        <v>7.7365276488888899</v>
      </c>
      <c r="AP46" s="3">
        <v>7.6524473469629601</v>
      </c>
      <c r="AQ46" s="3">
        <v>7.9471285330370396</v>
      </c>
      <c r="AR46" s="3">
        <v>8.0316774637036996</v>
      </c>
      <c r="AS46" s="3">
        <v>7.6713497985185199</v>
      </c>
      <c r="AT46" s="3">
        <v>6.9960512740740697</v>
      </c>
      <c r="AU46" s="3">
        <v>6.6101260752592603</v>
      </c>
      <c r="AV46" s="3">
        <v>5.8040404447407399</v>
      </c>
      <c r="AW46" s="3">
        <v>5.01865730074074</v>
      </c>
    </row>
    <row r="47" spans="1:49" x14ac:dyDescent="0.25">
      <c r="A47" s="3" t="s">
        <v>177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2.9851344548148102</v>
      </c>
      <c r="AA47" s="3">
        <v>2.6062037679999999</v>
      </c>
      <c r="AB47" s="3">
        <v>2.7034241235555601</v>
      </c>
      <c r="AC47" s="3">
        <v>2.4779873854814798</v>
      </c>
      <c r="AD47" s="3">
        <v>2.4492417828148101</v>
      </c>
      <c r="AE47" s="3">
        <v>2.4842435831111098</v>
      </c>
      <c r="AF47" s="3">
        <v>3.1557503102222202</v>
      </c>
      <c r="AG47" s="3">
        <v>3.78524568592593</v>
      </c>
      <c r="AH47" s="3">
        <v>4.0716317807407396</v>
      </c>
      <c r="AI47" s="3">
        <v>4.2123375300740697</v>
      </c>
      <c r="AJ47" s="3">
        <v>3.9399974320000002</v>
      </c>
      <c r="AK47" s="3">
        <v>4.11884402014815</v>
      </c>
      <c r="AL47" s="3">
        <v>4.1507084702222201</v>
      </c>
      <c r="AM47" s="3">
        <v>4.11140794192593</v>
      </c>
      <c r="AN47" s="3">
        <v>4.01862973244444</v>
      </c>
      <c r="AO47" s="3">
        <v>3.9552479928888902</v>
      </c>
      <c r="AP47" s="3">
        <v>4.3192564322963003</v>
      </c>
      <c r="AQ47" s="3">
        <v>4.2353678142222204</v>
      </c>
      <c r="AR47" s="3">
        <v>4.2124785567407397</v>
      </c>
      <c r="AS47" s="3">
        <v>4.0073352480000004</v>
      </c>
      <c r="AT47" s="3">
        <v>4.1050965365925904</v>
      </c>
      <c r="AU47" s="3">
        <v>3.49797074251852</v>
      </c>
      <c r="AV47" s="3">
        <v>3.2011798933333302</v>
      </c>
      <c r="AW47" s="3">
        <v>2.80906496474074</v>
      </c>
    </row>
    <row r="48" spans="1:49" x14ac:dyDescent="0.25">
      <c r="A48" s="3" t="s">
        <v>178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2.0480987125925898</v>
      </c>
      <c r="AA48" s="3">
        <v>1.8406794124444401</v>
      </c>
      <c r="AB48" s="3">
        <v>1.76201124918519</v>
      </c>
      <c r="AC48" s="3">
        <v>1.70812577807407</v>
      </c>
      <c r="AD48" s="3">
        <v>1.8452262722963</v>
      </c>
      <c r="AE48" s="3">
        <v>1.8750261537777799</v>
      </c>
      <c r="AF48" s="3">
        <v>2.17561218518519</v>
      </c>
      <c r="AG48" s="3">
        <v>2.7199571570370402</v>
      </c>
      <c r="AH48" s="3">
        <v>2.7953558121481499</v>
      </c>
      <c r="AI48" s="3">
        <v>2.8425300151111101</v>
      </c>
      <c r="AJ48" s="3">
        <v>2.9708369330370399</v>
      </c>
      <c r="AK48" s="3">
        <v>2.8666312557036999</v>
      </c>
      <c r="AL48" s="3">
        <v>2.7880702494814802</v>
      </c>
      <c r="AM48" s="3">
        <v>2.8526319795555599</v>
      </c>
      <c r="AN48" s="3">
        <v>2.9421917570370399</v>
      </c>
      <c r="AO48" s="3">
        <v>2.8675226242963001</v>
      </c>
      <c r="AP48" s="3">
        <v>3.0650626160000001</v>
      </c>
      <c r="AQ48" s="3">
        <v>3.1653639733333301</v>
      </c>
      <c r="AR48" s="3">
        <v>2.9756635875555602</v>
      </c>
      <c r="AS48" s="3">
        <v>2.9054374014814801</v>
      </c>
      <c r="AT48" s="3">
        <v>2.8131277564444401</v>
      </c>
      <c r="AU48" s="3">
        <v>2.50157234962963</v>
      </c>
      <c r="AV48" s="3">
        <v>2.2310785528888899</v>
      </c>
      <c r="AW48" s="3">
        <v>1.9068059629629599</v>
      </c>
    </row>
    <row r="49" spans="1:49" x14ac:dyDescent="0.25">
      <c r="A49" s="3" t="s">
        <v>179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</row>
    <row r="50" spans="1:49" x14ac:dyDescent="0.25">
      <c r="A50" s="3" t="s">
        <v>180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</row>
    <row r="51" spans="1:49" x14ac:dyDescent="0.25">
      <c r="A51" s="3" t="s">
        <v>181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</row>
    <row r="52" spans="1:49" x14ac:dyDescent="0.25">
      <c r="A52" s="3" t="s">
        <v>182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</row>
    <row r="53" spans="1:49" x14ac:dyDescent="0.25">
      <c r="A53" s="3" t="s">
        <v>183</v>
      </c>
      <c r="B53" s="3">
        <v>0.1358942068</v>
      </c>
      <c r="C53" s="3">
        <v>0.18362126000000001</v>
      </c>
      <c r="D53" s="3">
        <v>0.32493407880000003</v>
      </c>
      <c r="E53" s="3">
        <v>0.36180489799999999</v>
      </c>
      <c r="F53" s="3">
        <v>0.44152110439999998</v>
      </c>
      <c r="G53" s="3">
        <v>0.4755179692</v>
      </c>
      <c r="H53" s="3">
        <v>0.59163278080000004</v>
      </c>
      <c r="I53" s="3">
        <v>0.618521286</v>
      </c>
      <c r="J53" s="3">
        <v>0.51190996119999999</v>
      </c>
      <c r="K53" s="3">
        <v>0.35183076320000001</v>
      </c>
      <c r="L53" s="3">
        <v>0.28925577879999997</v>
      </c>
      <c r="M53" s="3">
        <v>0.42460270319999999</v>
      </c>
      <c r="N53" s="3">
        <v>0.43441307759999997</v>
      </c>
      <c r="O53" s="3">
        <v>0.3869160432</v>
      </c>
      <c r="P53" s="3">
        <v>0.35031227720000002</v>
      </c>
      <c r="Q53" s="3">
        <v>0.42024497360000002</v>
      </c>
      <c r="R53" s="3">
        <v>0.52727547399999997</v>
      </c>
      <c r="S53" s="3">
        <v>0.60889591399999998</v>
      </c>
      <c r="T53" s="3">
        <v>0.63065325880000001</v>
      </c>
      <c r="U53" s="3">
        <v>0.54884306839999997</v>
      </c>
      <c r="V53" s="3">
        <v>0.52785828199999996</v>
      </c>
      <c r="W53" s="3">
        <v>0.69051649559999995</v>
      </c>
      <c r="X53" s="3">
        <v>0.65653236839999995</v>
      </c>
      <c r="Y53" s="3">
        <v>0.54527272599999999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</row>
    <row r="54" spans="1:49" x14ac:dyDescent="0.25">
      <c r="A54" s="3" t="s">
        <v>184</v>
      </c>
      <c r="B54" s="3">
        <v>0.44713163916666698</v>
      </c>
      <c r="C54" s="3">
        <v>0.53412409833333296</v>
      </c>
      <c r="D54" s="3">
        <v>0.52530859050000001</v>
      </c>
      <c r="E54" s="3">
        <v>0.45866633583333299</v>
      </c>
      <c r="F54" s="3">
        <v>0.467771968166667</v>
      </c>
      <c r="G54" s="3">
        <v>0.52640128500000005</v>
      </c>
      <c r="H54" s="3">
        <v>0.51773412249999995</v>
      </c>
      <c r="I54" s="3">
        <v>0.4866126455</v>
      </c>
      <c r="J54" s="3">
        <v>0.50208795383333304</v>
      </c>
      <c r="K54" s="3">
        <v>0.49678084649999998</v>
      </c>
      <c r="L54" s="3">
        <v>0.50361522283333304</v>
      </c>
      <c r="M54" s="3">
        <v>0.53762164300000004</v>
      </c>
      <c r="N54" s="3">
        <v>0.53842318233333297</v>
      </c>
      <c r="O54" s="3">
        <v>0.45823319633333298</v>
      </c>
      <c r="P54" s="3">
        <v>0.45030032549999999</v>
      </c>
      <c r="Q54" s="3">
        <v>0.49009730166666698</v>
      </c>
      <c r="R54" s="3">
        <v>0.59787588250000001</v>
      </c>
      <c r="S54" s="3">
        <v>0.72162446199999997</v>
      </c>
      <c r="T54" s="3">
        <v>0.81101688516666703</v>
      </c>
      <c r="U54" s="3">
        <v>0.85436865100000003</v>
      </c>
      <c r="V54" s="3">
        <v>0.923909586666667</v>
      </c>
      <c r="W54" s="3">
        <v>0.94544752783333297</v>
      </c>
      <c r="X54" s="3">
        <v>0.90263255116666696</v>
      </c>
      <c r="Y54" s="3">
        <v>0.91916358666666698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</row>
    <row r="55" spans="1:49" x14ac:dyDescent="0.25">
      <c r="A55" s="3" t="s">
        <v>185</v>
      </c>
      <c r="B55" s="3">
        <v>0.36465553183333299</v>
      </c>
      <c r="C55" s="3">
        <v>0.49038776750000002</v>
      </c>
      <c r="D55" s="3">
        <v>0.48363759699999997</v>
      </c>
      <c r="E55" s="3">
        <v>0.49634479050000002</v>
      </c>
      <c r="F55" s="3">
        <v>0.43893463100000002</v>
      </c>
      <c r="G55" s="3">
        <v>0.40877665499999999</v>
      </c>
      <c r="H55" s="3">
        <v>0.3702309835</v>
      </c>
      <c r="I55" s="3">
        <v>0.322225145833333</v>
      </c>
      <c r="J55" s="3">
        <v>0.41974533483333298</v>
      </c>
      <c r="K55" s="3">
        <v>0.48719329916666698</v>
      </c>
      <c r="L55" s="3">
        <v>0.49728960733333299</v>
      </c>
      <c r="M55" s="3">
        <v>0.52574566249999999</v>
      </c>
      <c r="N55" s="3">
        <v>0.54148363050000003</v>
      </c>
      <c r="O55" s="3">
        <v>0.61215453133333297</v>
      </c>
      <c r="P55" s="3">
        <v>0.54971740183333295</v>
      </c>
      <c r="Q55" s="3">
        <v>0.63202330100000004</v>
      </c>
      <c r="R55" s="3">
        <v>0.63865094316666704</v>
      </c>
      <c r="S55" s="3">
        <v>0.66426003899999997</v>
      </c>
      <c r="T55" s="3">
        <v>0.64383025049999998</v>
      </c>
      <c r="U55" s="3">
        <v>0.56275646700000004</v>
      </c>
      <c r="V55" s="3">
        <v>0.68420570183333296</v>
      </c>
      <c r="W55" s="3">
        <v>0.71931621199999995</v>
      </c>
      <c r="X55" s="3">
        <v>0.71630487899999995</v>
      </c>
      <c r="Y55" s="3">
        <v>0.69072896049999999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</row>
    <row r="56" spans="1:49" x14ac:dyDescent="0.25">
      <c r="A56" s="3" t="s">
        <v>186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1.46329848622222</v>
      </c>
      <c r="AA56" s="3">
        <v>1.4706335010370399</v>
      </c>
      <c r="AB56" s="3">
        <v>1.42602904474074</v>
      </c>
      <c r="AC56" s="3">
        <v>1.3228239774814801</v>
      </c>
      <c r="AD56" s="3">
        <v>1.33831886222222</v>
      </c>
      <c r="AE56" s="3">
        <v>1.3804291656296299</v>
      </c>
      <c r="AF56" s="3">
        <v>1.5751067442963</v>
      </c>
      <c r="AG56" s="3">
        <v>1.8069416524444399</v>
      </c>
      <c r="AH56" s="3">
        <v>1.96180066962963</v>
      </c>
      <c r="AI56" s="3">
        <v>2.1917393037037001</v>
      </c>
      <c r="AJ56" s="3">
        <v>2.3752032536296301</v>
      </c>
      <c r="AK56" s="3">
        <v>2.3610730951111099</v>
      </c>
      <c r="AL56" s="3">
        <v>2.2303316331851901</v>
      </c>
      <c r="AM56" s="3">
        <v>2.47000878133333</v>
      </c>
      <c r="AN56" s="3">
        <v>2.2722645866666702</v>
      </c>
      <c r="AO56" s="3">
        <v>2.3369579333333301</v>
      </c>
      <c r="AP56" s="3">
        <v>2.1916967997037</v>
      </c>
      <c r="AQ56" s="3">
        <v>2.1783924420740699</v>
      </c>
      <c r="AR56" s="3">
        <v>2.27545910251852</v>
      </c>
      <c r="AS56" s="3">
        <v>2.26383569688889</v>
      </c>
      <c r="AT56" s="3">
        <v>2.2648603848888902</v>
      </c>
      <c r="AU56" s="3">
        <v>2.2460055685925902</v>
      </c>
      <c r="AV56" s="3">
        <v>2.0438439860740698</v>
      </c>
      <c r="AW56" s="3">
        <v>1.7113410802963001</v>
      </c>
    </row>
    <row r="57" spans="1:49" x14ac:dyDescent="0.25">
      <c r="A57" s="3" t="s">
        <v>187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1.38554910044444</v>
      </c>
      <c r="AA57" s="3">
        <v>1.2737240320000001</v>
      </c>
      <c r="AB57" s="3">
        <v>1.1764338112592601</v>
      </c>
      <c r="AC57" s="3">
        <v>1.24035305333333</v>
      </c>
      <c r="AD57" s="3">
        <v>1.1548016293333301</v>
      </c>
      <c r="AE57" s="3">
        <v>1.2006523760000001</v>
      </c>
      <c r="AF57" s="3">
        <v>1.4146461736296301</v>
      </c>
      <c r="AG57" s="3">
        <v>1.5445780891851899</v>
      </c>
      <c r="AH57" s="3">
        <v>1.831220608</v>
      </c>
      <c r="AI57" s="3">
        <v>1.9769645902222199</v>
      </c>
      <c r="AJ57" s="3">
        <v>2.0875823982222199</v>
      </c>
      <c r="AK57" s="3">
        <v>2.1676353543703701</v>
      </c>
      <c r="AL57" s="3">
        <v>2.10885180592593</v>
      </c>
      <c r="AM57" s="3">
        <v>2.0901166180740698</v>
      </c>
      <c r="AN57" s="3">
        <v>2.2060859125925898</v>
      </c>
      <c r="AO57" s="3">
        <v>1.9742536945185201</v>
      </c>
      <c r="AP57" s="3">
        <v>2.1073209359999998</v>
      </c>
      <c r="AQ57" s="3">
        <v>2.1083436225185199</v>
      </c>
      <c r="AR57" s="3">
        <v>2.0420178758518501</v>
      </c>
      <c r="AS57" s="3">
        <v>1.9647778162963001</v>
      </c>
      <c r="AT57" s="3">
        <v>1.94242372592593</v>
      </c>
      <c r="AU57" s="3">
        <v>1.93822217244444</v>
      </c>
      <c r="AV57" s="3">
        <v>1.84196139555556</v>
      </c>
      <c r="AW57" s="3">
        <v>1.48483246903704</v>
      </c>
    </row>
    <row r="58" spans="1:49" x14ac:dyDescent="0.25">
      <c r="A58" s="3" t="s">
        <v>188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2.5457890017777798</v>
      </c>
      <c r="AA58" s="3">
        <v>2.42454605037037</v>
      </c>
      <c r="AB58" s="3">
        <v>2.2340050050370399</v>
      </c>
      <c r="AC58" s="3">
        <v>2.2951328171851899</v>
      </c>
      <c r="AD58" s="3">
        <v>2.1494177475555598</v>
      </c>
      <c r="AE58" s="3">
        <v>2.3709390485925899</v>
      </c>
      <c r="AF58" s="3">
        <v>2.4694895949629601</v>
      </c>
      <c r="AG58" s="3">
        <v>3.0896063478518498</v>
      </c>
      <c r="AH58" s="3">
        <v>3.5387955845925898</v>
      </c>
      <c r="AI58" s="3">
        <v>3.8228058130370401</v>
      </c>
      <c r="AJ58" s="3">
        <v>4.0605708743703701</v>
      </c>
      <c r="AK58" s="3">
        <v>3.7761231822222201</v>
      </c>
      <c r="AL58" s="3">
        <v>3.6867938882962998</v>
      </c>
      <c r="AM58" s="3">
        <v>3.7955669774814802</v>
      </c>
      <c r="AN58" s="3">
        <v>3.81285840444444</v>
      </c>
      <c r="AO58" s="3">
        <v>3.76574061007407</v>
      </c>
      <c r="AP58" s="3">
        <v>3.5968135342222198</v>
      </c>
      <c r="AQ58" s="3">
        <v>3.6658406960000001</v>
      </c>
      <c r="AR58" s="3">
        <v>3.7588067066666699</v>
      </c>
      <c r="AS58" s="3">
        <v>3.7278671857777801</v>
      </c>
      <c r="AT58" s="3">
        <v>3.43569500296296</v>
      </c>
      <c r="AU58" s="3">
        <v>3.45909443911111</v>
      </c>
      <c r="AV58" s="3">
        <v>3.54102108474074</v>
      </c>
      <c r="AW58" s="3">
        <v>2.7701582782222198</v>
      </c>
    </row>
    <row r="59" spans="1:49" x14ac:dyDescent="0.25">
      <c r="A59" s="3" t="s">
        <v>189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0.98810213392592605</v>
      </c>
      <c r="AA59" s="3">
        <v>0.970847287407407</v>
      </c>
      <c r="AB59" s="3">
        <v>0.97349244948148095</v>
      </c>
      <c r="AC59" s="3">
        <v>0.947781213037037</v>
      </c>
      <c r="AD59" s="3">
        <v>0.873659233481481</v>
      </c>
      <c r="AE59" s="3">
        <v>0.896961690074074</v>
      </c>
      <c r="AF59" s="3">
        <v>1.0691275114074099</v>
      </c>
      <c r="AG59" s="3">
        <v>1.2504720583703699</v>
      </c>
      <c r="AH59" s="3">
        <v>1.4316569597037001</v>
      </c>
      <c r="AI59" s="3">
        <v>1.4837730423703701</v>
      </c>
      <c r="AJ59" s="3">
        <v>1.54852281007407</v>
      </c>
      <c r="AK59" s="3">
        <v>1.65052540177778</v>
      </c>
      <c r="AL59" s="3">
        <v>1.6518174648888899</v>
      </c>
      <c r="AM59" s="3">
        <v>1.68990533185185</v>
      </c>
      <c r="AN59" s="3">
        <v>1.6254622388148099</v>
      </c>
      <c r="AO59" s="3">
        <v>1.6248408690370399</v>
      </c>
      <c r="AP59" s="3">
        <v>1.5019123943703701</v>
      </c>
      <c r="AQ59" s="3">
        <v>1.5558476328888899</v>
      </c>
      <c r="AR59" s="3">
        <v>1.5477056850370401</v>
      </c>
      <c r="AS59" s="3">
        <v>1.54018870755556</v>
      </c>
      <c r="AT59" s="3">
        <v>1.507613128</v>
      </c>
      <c r="AU59" s="3">
        <v>1.45417105244444</v>
      </c>
      <c r="AV59" s="3">
        <v>1.42314909955556</v>
      </c>
      <c r="AW59" s="3">
        <v>1.1272877342222201</v>
      </c>
    </row>
    <row r="60" spans="1:49" x14ac:dyDescent="0.25">
      <c r="A60" s="3" t="s">
        <v>190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1.0108735674074101</v>
      </c>
      <c r="AA60" s="3">
        <v>0.95689542874074096</v>
      </c>
      <c r="AB60" s="3">
        <v>0.87690875170370397</v>
      </c>
      <c r="AC60" s="3">
        <v>0.88103544977777803</v>
      </c>
      <c r="AD60" s="3">
        <v>0.89260825007407396</v>
      </c>
      <c r="AE60" s="3">
        <v>0.898778238814815</v>
      </c>
      <c r="AF60" s="3">
        <v>1.0222026557037001</v>
      </c>
      <c r="AG60" s="3">
        <v>1.14385467466667</v>
      </c>
      <c r="AH60" s="3">
        <v>1.40929329748148</v>
      </c>
      <c r="AI60" s="3">
        <v>1.4511542183703701</v>
      </c>
      <c r="AJ60" s="3">
        <v>1.4715697318518499</v>
      </c>
      <c r="AK60" s="3">
        <v>1.57091281718519</v>
      </c>
      <c r="AL60" s="3">
        <v>1.60290280059259</v>
      </c>
      <c r="AM60" s="3">
        <v>1.4927370432592599</v>
      </c>
      <c r="AN60" s="3">
        <v>1.6037950610370399</v>
      </c>
      <c r="AO60" s="3">
        <v>1.53302402607407</v>
      </c>
      <c r="AP60" s="3">
        <v>1.53910378637037</v>
      </c>
      <c r="AQ60" s="3">
        <v>1.42068336562963</v>
      </c>
      <c r="AR60" s="3">
        <v>1.5074752</v>
      </c>
      <c r="AS60" s="3">
        <v>1.49137535762963</v>
      </c>
      <c r="AT60" s="3">
        <v>1.3983009060740701</v>
      </c>
      <c r="AU60" s="3">
        <v>1.50792190785185</v>
      </c>
      <c r="AV60" s="3">
        <v>1.3776519700740699</v>
      </c>
      <c r="AW60" s="3">
        <v>1.14464718251852</v>
      </c>
    </row>
    <row r="61" spans="1:49" x14ac:dyDescent="0.25">
      <c r="A61" s="3" t="s">
        <v>191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1.90471942577778</v>
      </c>
      <c r="AA61" s="3">
        <v>1.83239807022222</v>
      </c>
      <c r="AB61" s="3">
        <v>1.7086936720000001</v>
      </c>
      <c r="AC61" s="3">
        <v>1.6568472334814801</v>
      </c>
      <c r="AD61" s="3">
        <v>1.6841328062222201</v>
      </c>
      <c r="AE61" s="3">
        <v>1.6973904639999999</v>
      </c>
      <c r="AF61" s="3">
        <v>1.9749617315555601</v>
      </c>
      <c r="AG61" s="3">
        <v>2.1858511919999999</v>
      </c>
      <c r="AH61" s="3">
        <v>2.6208634085925899</v>
      </c>
      <c r="AI61" s="3">
        <v>2.8888144320000002</v>
      </c>
      <c r="AJ61" s="3">
        <v>3.0984571831111101</v>
      </c>
      <c r="AK61" s="3">
        <v>2.854564216</v>
      </c>
      <c r="AL61" s="3">
        <v>3.0385732948148099</v>
      </c>
      <c r="AM61" s="3">
        <v>2.9189432512592601</v>
      </c>
      <c r="AN61" s="3">
        <v>2.8866882157037002</v>
      </c>
      <c r="AO61" s="3">
        <v>2.86104360888889</v>
      </c>
      <c r="AP61" s="3">
        <v>2.7386516391111102</v>
      </c>
      <c r="AQ61" s="3">
        <v>2.94566054637037</v>
      </c>
      <c r="AR61" s="3">
        <v>2.7791795442963001</v>
      </c>
      <c r="AS61" s="3">
        <v>2.7910691531851901</v>
      </c>
      <c r="AT61" s="3">
        <v>2.74847616711111</v>
      </c>
      <c r="AU61" s="3">
        <v>2.64946150725926</v>
      </c>
      <c r="AV61" s="3">
        <v>2.5271252014814798</v>
      </c>
      <c r="AW61" s="3">
        <v>2.0697203333333301</v>
      </c>
    </row>
    <row r="62" spans="1:49" x14ac:dyDescent="0.25">
      <c r="A62" s="3" t="s">
        <v>192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1.8088651508148099</v>
      </c>
      <c r="AA62" s="3">
        <v>1.6240522397037001</v>
      </c>
      <c r="AB62" s="3">
        <v>1.53158230192593</v>
      </c>
      <c r="AC62" s="3">
        <v>1.57672711881481</v>
      </c>
      <c r="AD62" s="3">
        <v>1.57973118696296</v>
      </c>
      <c r="AE62" s="3">
        <v>1.5454961013333299</v>
      </c>
      <c r="AF62" s="3">
        <v>1.7261864438518499</v>
      </c>
      <c r="AG62" s="3">
        <v>2.0141275383703698</v>
      </c>
      <c r="AH62" s="3">
        <v>2.3945919075555602</v>
      </c>
      <c r="AI62" s="3">
        <v>2.65822997896296</v>
      </c>
      <c r="AJ62" s="3">
        <v>2.8048977662222199</v>
      </c>
      <c r="AK62" s="3">
        <v>2.6918180405925898</v>
      </c>
      <c r="AL62" s="3">
        <v>2.6962655854814801</v>
      </c>
      <c r="AM62" s="3">
        <v>2.7365221042962999</v>
      </c>
      <c r="AN62" s="3">
        <v>2.79735629392593</v>
      </c>
      <c r="AO62" s="3">
        <v>2.5291895979259298</v>
      </c>
      <c r="AP62" s="3">
        <v>2.6341619235555598</v>
      </c>
      <c r="AQ62" s="3">
        <v>2.5815006456296299</v>
      </c>
      <c r="AR62" s="3">
        <v>2.60794381037037</v>
      </c>
      <c r="AS62" s="3">
        <v>2.6085589579259301</v>
      </c>
      <c r="AT62" s="3">
        <v>2.4525413837037</v>
      </c>
      <c r="AU62" s="3">
        <v>2.4281146731851901</v>
      </c>
      <c r="AV62" s="3">
        <v>2.47917664503704</v>
      </c>
      <c r="AW62" s="3">
        <v>2.0468370885925902</v>
      </c>
    </row>
    <row r="63" spans="1:49" x14ac:dyDescent="0.25">
      <c r="A63" s="3" t="s">
        <v>193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2.4861310112592601</v>
      </c>
      <c r="AA63" s="3">
        <v>2.30512049392593</v>
      </c>
      <c r="AB63" s="3">
        <v>2.08589550607407</v>
      </c>
      <c r="AC63" s="3">
        <v>2.0847913146666701</v>
      </c>
      <c r="AD63" s="3">
        <v>2.1757683525925899</v>
      </c>
      <c r="AE63" s="3">
        <v>2.0982240056296302</v>
      </c>
      <c r="AF63" s="3">
        <v>2.27891021244444</v>
      </c>
      <c r="AG63" s="3">
        <v>2.7035617798518499</v>
      </c>
      <c r="AH63" s="3">
        <v>3.39499595762963</v>
      </c>
      <c r="AI63" s="3">
        <v>3.4742678154074098</v>
      </c>
      <c r="AJ63" s="3">
        <v>3.5344532408888898</v>
      </c>
      <c r="AK63" s="3">
        <v>3.6562352254814798</v>
      </c>
      <c r="AL63" s="3">
        <v>3.5412102506666701</v>
      </c>
      <c r="AM63" s="3">
        <v>3.7599981854814799</v>
      </c>
      <c r="AN63" s="3">
        <v>3.5429166100740699</v>
      </c>
      <c r="AO63" s="3">
        <v>3.56695348592593</v>
      </c>
      <c r="AP63" s="3">
        <v>3.4853107582222198</v>
      </c>
      <c r="AQ63" s="3">
        <v>3.5955254927407401</v>
      </c>
      <c r="AR63" s="3">
        <v>3.6220352394074098</v>
      </c>
      <c r="AS63" s="3">
        <v>3.3328761054814802</v>
      </c>
      <c r="AT63" s="3">
        <v>3.4010505428148101</v>
      </c>
      <c r="AU63" s="3">
        <v>3.4205905377777799</v>
      </c>
      <c r="AV63" s="3">
        <v>3.0964913259259301</v>
      </c>
      <c r="AW63" s="3">
        <v>2.7842522835555599</v>
      </c>
    </row>
    <row r="64" spans="1:49" x14ac:dyDescent="0.25">
      <c r="A64" s="3" t="s">
        <v>194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2.4451163437036998</v>
      </c>
      <c r="AA64" s="3">
        <v>2.19281924296296</v>
      </c>
      <c r="AB64" s="3">
        <v>2.1800190471111098</v>
      </c>
      <c r="AC64" s="3">
        <v>2.18878394311111</v>
      </c>
      <c r="AD64" s="3">
        <v>2.0732086915555601</v>
      </c>
      <c r="AE64" s="3">
        <v>2.2936555102222198</v>
      </c>
      <c r="AF64" s="3">
        <v>2.4631981650370398</v>
      </c>
      <c r="AG64" s="3">
        <v>2.8484209102222202</v>
      </c>
      <c r="AH64" s="3">
        <v>3.3575965712592599</v>
      </c>
      <c r="AI64" s="3">
        <v>3.4265865967407398</v>
      </c>
      <c r="AJ64" s="3">
        <v>3.7274933546666702</v>
      </c>
      <c r="AK64" s="3">
        <v>3.71969438192593</v>
      </c>
      <c r="AL64" s="3">
        <v>3.8424842379259299</v>
      </c>
      <c r="AM64" s="3">
        <v>3.92300288177778</v>
      </c>
      <c r="AN64" s="3">
        <v>3.71035398222222</v>
      </c>
      <c r="AO64" s="3">
        <v>3.5070464488888899</v>
      </c>
      <c r="AP64" s="3">
        <v>3.63339565244444</v>
      </c>
      <c r="AQ64" s="3">
        <v>3.6177814068148102</v>
      </c>
      <c r="AR64" s="3">
        <v>3.5963979042963001</v>
      </c>
      <c r="AS64" s="3">
        <v>3.6256285001481499</v>
      </c>
      <c r="AT64" s="3">
        <v>3.3792549362963</v>
      </c>
      <c r="AU64" s="3">
        <v>3.52216082607407</v>
      </c>
      <c r="AV64" s="3">
        <v>3.1932112115555502</v>
      </c>
      <c r="AW64" s="3">
        <v>2.5970871691851798</v>
      </c>
    </row>
    <row r="65" spans="1:49" x14ac:dyDescent="0.25">
      <c r="A65" s="3" t="s">
        <v>195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2.8053784204444399</v>
      </c>
      <c r="AA65" s="3">
        <v>2.5292484331851899</v>
      </c>
      <c r="AB65" s="3">
        <v>2.45937018133333</v>
      </c>
      <c r="AC65" s="3">
        <v>2.3104458740740701</v>
      </c>
      <c r="AD65" s="3">
        <v>2.4260034171851799</v>
      </c>
      <c r="AE65" s="3">
        <v>2.4606405807407401</v>
      </c>
      <c r="AF65" s="3">
        <v>2.7629664367407401</v>
      </c>
      <c r="AG65" s="3">
        <v>3.17431274637037</v>
      </c>
      <c r="AH65" s="3">
        <v>3.8283357798518498</v>
      </c>
      <c r="AI65" s="3">
        <v>3.9398845505185198</v>
      </c>
      <c r="AJ65" s="3">
        <v>4.2481585917037004</v>
      </c>
      <c r="AK65" s="3">
        <v>4.23418209925926</v>
      </c>
      <c r="AL65" s="3">
        <v>4.0356145635555603</v>
      </c>
      <c r="AM65" s="3">
        <v>4.3802672625185197</v>
      </c>
      <c r="AN65" s="3">
        <v>4.3345947410370398</v>
      </c>
      <c r="AO65" s="3">
        <v>4.1883453899259298</v>
      </c>
      <c r="AP65" s="3">
        <v>3.9972081623703701</v>
      </c>
      <c r="AQ65" s="3">
        <v>4.1454553798518496</v>
      </c>
      <c r="AR65" s="3">
        <v>4.1237522314074102</v>
      </c>
      <c r="AS65" s="3">
        <v>3.8192483777777801</v>
      </c>
      <c r="AT65" s="3">
        <v>3.7211123434074098</v>
      </c>
      <c r="AU65" s="3">
        <v>3.7979279976296301</v>
      </c>
      <c r="AV65" s="3">
        <v>3.7159085994074101</v>
      </c>
      <c r="AW65" s="3">
        <v>3.0855994814814802</v>
      </c>
    </row>
    <row r="66" spans="1:49" x14ac:dyDescent="0.25">
      <c r="A66" s="3" t="s">
        <v>196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</row>
    <row r="67" spans="1:49" x14ac:dyDescent="0.25">
      <c r="A67" s="3" t="s">
        <v>197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</row>
    <row r="68" spans="1:49" x14ac:dyDescent="0.25">
      <c r="A68" s="3" t="s">
        <v>198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3.5582129561481501</v>
      </c>
      <c r="AA68" s="3">
        <v>3.4783151925925901</v>
      </c>
      <c r="AB68" s="3">
        <v>3.4680677629629599</v>
      </c>
      <c r="AC68" s="3">
        <v>3.3877359600000001</v>
      </c>
      <c r="AD68" s="3">
        <v>3.3943250237037002</v>
      </c>
      <c r="AE68" s="3">
        <v>3.3090156462222202</v>
      </c>
      <c r="AF68" s="3">
        <v>3.72443831407407</v>
      </c>
      <c r="AG68" s="3">
        <v>4.2764091128888904</v>
      </c>
      <c r="AH68" s="3">
        <v>5.0107494349629604</v>
      </c>
      <c r="AI68" s="3">
        <v>5.3891818234074096</v>
      </c>
      <c r="AJ68" s="3">
        <v>5.8958532764444396</v>
      </c>
      <c r="AK68" s="3">
        <v>5.5124810222222198</v>
      </c>
      <c r="AL68" s="3">
        <v>5.9831340322962996</v>
      </c>
      <c r="AM68" s="3">
        <v>5.9741238625185202</v>
      </c>
      <c r="AN68" s="3">
        <v>5.9055373896296297</v>
      </c>
      <c r="AO68" s="3">
        <v>5.6930114681481498</v>
      </c>
      <c r="AP68" s="3">
        <v>5.7685507185185196</v>
      </c>
      <c r="AQ68" s="3">
        <v>5.3731074838518502</v>
      </c>
      <c r="AR68" s="3">
        <v>5.4679735807407397</v>
      </c>
      <c r="AS68" s="3">
        <v>5.5124159585185204</v>
      </c>
      <c r="AT68" s="3">
        <v>5.3698189875555604</v>
      </c>
      <c r="AU68" s="3">
        <v>5.5636800322962996</v>
      </c>
      <c r="AV68" s="3">
        <v>4.7774165454814801</v>
      </c>
      <c r="AW68" s="3">
        <v>4.1889084139259296</v>
      </c>
    </row>
    <row r="69" spans="1:49" x14ac:dyDescent="0.25">
      <c r="A69" s="3" t="s">
        <v>199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2.7412183576296298</v>
      </c>
      <c r="AA69" s="3">
        <v>2.5044166746666701</v>
      </c>
      <c r="AB69" s="3">
        <v>2.32968846755556</v>
      </c>
      <c r="AC69" s="3">
        <v>2.4562083404444399</v>
      </c>
      <c r="AD69" s="3">
        <v>2.2713406032592598</v>
      </c>
      <c r="AE69" s="3">
        <v>2.57224664562963</v>
      </c>
      <c r="AF69" s="3">
        <v>2.6616528441481502</v>
      </c>
      <c r="AG69" s="3">
        <v>3.11219767288889</v>
      </c>
      <c r="AH69" s="3">
        <v>3.66971794311111</v>
      </c>
      <c r="AI69" s="3">
        <v>4.0292679072592597</v>
      </c>
      <c r="AJ69" s="3">
        <v>4.1250422598518499</v>
      </c>
      <c r="AK69" s="3">
        <v>4.2110560799999996</v>
      </c>
      <c r="AL69" s="3">
        <v>4.2137917525925896</v>
      </c>
      <c r="AM69" s="3">
        <v>4.20158059792593</v>
      </c>
      <c r="AN69" s="3">
        <v>4.0443305238518503</v>
      </c>
      <c r="AO69" s="3">
        <v>4.05224705303704</v>
      </c>
      <c r="AP69" s="3">
        <v>4.1003710491851901</v>
      </c>
      <c r="AQ69" s="3">
        <v>3.8635893312592602</v>
      </c>
      <c r="AR69" s="3">
        <v>3.8323800002963</v>
      </c>
      <c r="AS69" s="3">
        <v>4.0128040068148101</v>
      </c>
      <c r="AT69" s="3">
        <v>3.7751773380740699</v>
      </c>
      <c r="AU69" s="3">
        <v>3.9194406367407399</v>
      </c>
      <c r="AV69" s="3">
        <v>3.77927003377778</v>
      </c>
      <c r="AW69" s="3">
        <v>3.1519262817777798</v>
      </c>
    </row>
    <row r="70" spans="1:49" x14ac:dyDescent="0.25">
      <c r="A70" s="3" t="s">
        <v>200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4.2187796829629596</v>
      </c>
      <c r="AA70" s="3">
        <v>4.0614143463703698</v>
      </c>
      <c r="AB70" s="3">
        <v>3.9186506032592598</v>
      </c>
      <c r="AC70" s="3">
        <v>3.7756853576296301</v>
      </c>
      <c r="AD70" s="3">
        <v>3.9158780619259299</v>
      </c>
      <c r="AE70" s="3">
        <v>4.1461716447407397</v>
      </c>
      <c r="AF70" s="3">
        <v>4.2055978450370404</v>
      </c>
      <c r="AG70" s="3">
        <v>5.4334204192592601</v>
      </c>
      <c r="AH70" s="3">
        <v>6.1685545537777804</v>
      </c>
      <c r="AI70" s="3">
        <v>6.7362057321481501</v>
      </c>
      <c r="AJ70" s="3">
        <v>6.7096610663703702</v>
      </c>
      <c r="AK70" s="3">
        <v>6.8652510577777797</v>
      </c>
      <c r="AL70" s="3">
        <v>6.9716043309629603</v>
      </c>
      <c r="AM70" s="3">
        <v>6.7830259176296304</v>
      </c>
      <c r="AN70" s="3">
        <v>6.8387893487407396</v>
      </c>
      <c r="AO70" s="3">
        <v>6.9138245389629596</v>
      </c>
      <c r="AP70" s="3">
        <v>6.9435194183703697</v>
      </c>
      <c r="AQ70" s="3">
        <v>6.5547909487407399</v>
      </c>
      <c r="AR70" s="3">
        <v>6.5898317955555603</v>
      </c>
      <c r="AS70" s="3">
        <v>6.2949573970370398</v>
      </c>
      <c r="AT70" s="3">
        <v>6.3240382696296296</v>
      </c>
      <c r="AU70" s="3">
        <v>6.2959568808888902</v>
      </c>
      <c r="AV70" s="3">
        <v>5.9327087431111103</v>
      </c>
      <c r="AW70" s="3">
        <v>5.0561881440000001</v>
      </c>
    </row>
    <row r="71" spans="1:49" x14ac:dyDescent="0.25">
      <c r="A71" s="3" t="s">
        <v>201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1.44745842162963</v>
      </c>
      <c r="AA71" s="3">
        <v>1.36939452948148</v>
      </c>
      <c r="AB71" s="3">
        <v>1.2169847407407399</v>
      </c>
      <c r="AC71" s="3">
        <v>1.17435111111111</v>
      </c>
      <c r="AD71" s="3">
        <v>1.21299505807407</v>
      </c>
      <c r="AE71" s="3">
        <v>1.26081296859259</v>
      </c>
      <c r="AF71" s="3">
        <v>1.43846612207407</v>
      </c>
      <c r="AG71" s="3">
        <v>1.5939618882963</v>
      </c>
      <c r="AH71" s="3">
        <v>1.88522716355556</v>
      </c>
      <c r="AI71" s="3">
        <v>2.11935282637037</v>
      </c>
      <c r="AJ71" s="3">
        <v>2.1414268586666698</v>
      </c>
      <c r="AK71" s="3">
        <v>2.1052823908148102</v>
      </c>
      <c r="AL71" s="3">
        <v>2.1475753247407399</v>
      </c>
      <c r="AM71" s="3">
        <v>2.1378084373333301</v>
      </c>
      <c r="AN71" s="3">
        <v>2.28255928444444</v>
      </c>
      <c r="AO71" s="3">
        <v>2.1966686891851799</v>
      </c>
      <c r="AP71" s="3">
        <v>2.1070951585185198</v>
      </c>
      <c r="AQ71" s="3">
        <v>2.0105239736296299</v>
      </c>
      <c r="AR71" s="3">
        <v>1.98321403466667</v>
      </c>
      <c r="AS71" s="3">
        <v>2.0714795048888899</v>
      </c>
      <c r="AT71" s="3">
        <v>1.9965779057777799</v>
      </c>
      <c r="AU71" s="3">
        <v>2.0922104684444398</v>
      </c>
      <c r="AV71" s="3">
        <v>1.81709209837037</v>
      </c>
      <c r="AW71" s="3">
        <v>1.51149358162963</v>
      </c>
    </row>
    <row r="72" spans="1:49" x14ac:dyDescent="0.25">
      <c r="A72" s="3" t="s">
        <v>202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</row>
    <row r="73" spans="1:49" x14ac:dyDescent="0.25">
      <c r="A73" s="3" t="s">
        <v>203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4.7979663531851804</v>
      </c>
      <c r="AA73" s="3">
        <v>4.3306565182222201</v>
      </c>
      <c r="AB73" s="3">
        <v>4.2441314408888902</v>
      </c>
      <c r="AC73" s="3">
        <v>4.1446887502222198</v>
      </c>
      <c r="AD73" s="3">
        <v>3.9110685745185201</v>
      </c>
      <c r="AE73" s="3">
        <v>4.3649251685925901</v>
      </c>
      <c r="AF73" s="3">
        <v>4.6708702859259299</v>
      </c>
      <c r="AG73" s="3">
        <v>5.4389354091851798</v>
      </c>
      <c r="AH73" s="3">
        <v>6.2529572663703696</v>
      </c>
      <c r="AI73" s="3">
        <v>6.9757302159999997</v>
      </c>
      <c r="AJ73" s="3">
        <v>7.5415927066666697</v>
      </c>
      <c r="AK73" s="3">
        <v>7.0775338770370402</v>
      </c>
      <c r="AL73" s="3">
        <v>7.0244050737777801</v>
      </c>
      <c r="AM73" s="3">
        <v>7.0707382355555604</v>
      </c>
      <c r="AN73" s="3">
        <v>7.3224768545185199</v>
      </c>
      <c r="AO73" s="3">
        <v>7.2155109973333298</v>
      </c>
      <c r="AP73" s="3">
        <v>7.0861096237036998</v>
      </c>
      <c r="AQ73" s="3">
        <v>6.77484519703704</v>
      </c>
      <c r="AR73" s="3">
        <v>6.7273090162963003</v>
      </c>
      <c r="AS73" s="3">
        <v>6.9146254302222196</v>
      </c>
      <c r="AT73" s="3">
        <v>7.0083304002963001</v>
      </c>
      <c r="AU73" s="3">
        <v>6.5942006915555602</v>
      </c>
      <c r="AV73" s="3">
        <v>6.3015168263703698</v>
      </c>
      <c r="AW73" s="3">
        <v>5.0457899167407403</v>
      </c>
    </row>
    <row r="74" spans="1:49" x14ac:dyDescent="0.25">
      <c r="A74" s="3" t="s">
        <v>204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2.4401817917036999</v>
      </c>
      <c r="AA74" s="3">
        <v>2.3239282764444402</v>
      </c>
      <c r="AB74" s="3">
        <v>2.3553858823703702</v>
      </c>
      <c r="AC74" s="3">
        <v>2.120120912</v>
      </c>
      <c r="AD74" s="3">
        <v>2.2642502171851899</v>
      </c>
      <c r="AE74" s="3">
        <v>2.35890572711111</v>
      </c>
      <c r="AF74" s="3">
        <v>2.4478686814814798</v>
      </c>
      <c r="AG74" s="3">
        <v>3.1558745161481498</v>
      </c>
      <c r="AH74" s="3">
        <v>3.6109649561481501</v>
      </c>
      <c r="AI74" s="3">
        <v>3.8685131976296301</v>
      </c>
      <c r="AJ74" s="3">
        <v>4.0335585982222204</v>
      </c>
      <c r="AK74" s="3">
        <v>4.1460787034074098</v>
      </c>
      <c r="AL74" s="3">
        <v>3.82301669244444</v>
      </c>
      <c r="AM74" s="3">
        <v>3.8504282174814799</v>
      </c>
      <c r="AN74" s="3">
        <v>4.0097528903703701</v>
      </c>
      <c r="AO74" s="3">
        <v>4.0495306319999997</v>
      </c>
      <c r="AP74" s="3">
        <v>3.9799235238518502</v>
      </c>
      <c r="AQ74" s="3">
        <v>3.9635160942222201</v>
      </c>
      <c r="AR74" s="3">
        <v>3.5329180216296301</v>
      </c>
      <c r="AS74" s="3">
        <v>3.5134984349629601</v>
      </c>
      <c r="AT74" s="3">
        <v>3.8050785961481499</v>
      </c>
      <c r="AU74" s="3">
        <v>3.5873076877036998</v>
      </c>
      <c r="AV74" s="3">
        <v>3.58412659525926</v>
      </c>
      <c r="AW74" s="3">
        <v>2.7917021875555599</v>
      </c>
    </row>
    <row r="75" spans="1:49" x14ac:dyDescent="0.25">
      <c r="A75" s="3" t="s">
        <v>205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1.7252305425185199</v>
      </c>
      <c r="AA75" s="3">
        <v>1.63780472177778</v>
      </c>
      <c r="AB75" s="3">
        <v>1.6909070411851901</v>
      </c>
      <c r="AC75" s="3">
        <v>1.58224696414815</v>
      </c>
      <c r="AD75" s="3">
        <v>1.6112161125925899</v>
      </c>
      <c r="AE75" s="3">
        <v>1.613578008</v>
      </c>
      <c r="AF75" s="3">
        <v>1.70359635496296</v>
      </c>
      <c r="AG75" s="3">
        <v>2.0741199525925902</v>
      </c>
      <c r="AH75" s="3">
        <v>2.3942685428148098</v>
      </c>
      <c r="AI75" s="3">
        <v>2.61371911525926</v>
      </c>
      <c r="AJ75" s="3">
        <v>2.7520797235555601</v>
      </c>
      <c r="AK75" s="3">
        <v>2.6643656397036999</v>
      </c>
      <c r="AL75" s="3">
        <v>2.66466495762963</v>
      </c>
      <c r="AM75" s="3">
        <v>2.7454144562963001</v>
      </c>
      <c r="AN75" s="3">
        <v>2.9266376782222201</v>
      </c>
      <c r="AO75" s="3">
        <v>2.7479412758518502</v>
      </c>
      <c r="AP75" s="3">
        <v>2.7617023010370398</v>
      </c>
      <c r="AQ75" s="3">
        <v>2.6558797232592601</v>
      </c>
      <c r="AR75" s="3">
        <v>2.5855693214814801</v>
      </c>
      <c r="AS75" s="3">
        <v>2.57830864562963</v>
      </c>
      <c r="AT75" s="3">
        <v>2.5599247872592601</v>
      </c>
      <c r="AU75" s="3">
        <v>2.51227908503704</v>
      </c>
      <c r="AV75" s="3">
        <v>2.31232456622222</v>
      </c>
      <c r="AW75" s="3">
        <v>1.9984481792592601</v>
      </c>
    </row>
    <row r="76" spans="1:49" x14ac:dyDescent="0.25">
      <c r="A76" s="3" t="s">
        <v>206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</row>
    <row r="77" spans="1:49" x14ac:dyDescent="0.25">
      <c r="A77" s="3" t="s">
        <v>207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</row>
    <row r="78" spans="1:49" x14ac:dyDescent="0.25">
      <c r="A78" s="3" t="s">
        <v>208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</row>
    <row r="79" spans="1:49" x14ac:dyDescent="0.25">
      <c r="A79" s="3" t="s">
        <v>209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</row>
    <row r="80" spans="1:49" x14ac:dyDescent="0.25">
      <c r="A80" s="3" t="s">
        <v>210</v>
      </c>
      <c r="B80" s="3">
        <v>7.7160694799999999E-2</v>
      </c>
      <c r="C80" s="3">
        <v>0.13722556480000001</v>
      </c>
      <c r="D80" s="3">
        <v>0.3047570516</v>
      </c>
      <c r="E80" s="3">
        <v>0.38192378240000002</v>
      </c>
      <c r="F80" s="3">
        <v>0.394038206</v>
      </c>
      <c r="G80" s="3">
        <v>0.37281541359999998</v>
      </c>
      <c r="H80" s="3">
        <v>0.37358444959999998</v>
      </c>
      <c r="I80" s="3">
        <v>0.41625039359999999</v>
      </c>
      <c r="J80" s="3">
        <v>0.37911666560000001</v>
      </c>
      <c r="K80" s="3">
        <v>0.38494581280000001</v>
      </c>
      <c r="L80" s="3">
        <v>0.24353710240000001</v>
      </c>
      <c r="M80" s="3">
        <v>0.43527384720000001</v>
      </c>
      <c r="N80" s="3">
        <v>0.32853190599999998</v>
      </c>
      <c r="O80" s="3">
        <v>0.32662997040000002</v>
      </c>
      <c r="P80" s="3">
        <v>0.36034663480000001</v>
      </c>
      <c r="Q80" s="3">
        <v>1</v>
      </c>
      <c r="R80" s="3">
        <v>0.78867783000000002</v>
      </c>
      <c r="S80" s="3">
        <v>0.7870597936</v>
      </c>
      <c r="T80" s="3">
        <v>0.56559629119999999</v>
      </c>
      <c r="U80" s="3">
        <v>0.40572229360000001</v>
      </c>
      <c r="V80" s="3">
        <v>0.4168206908</v>
      </c>
      <c r="W80" s="3">
        <v>0.27787398279999997</v>
      </c>
      <c r="X80" s="3">
        <v>8.1887141600000005E-2</v>
      </c>
      <c r="Y80" s="3">
        <v>7.6541155200000002E-2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</row>
    <row r="81" spans="1:49" x14ac:dyDescent="0.25">
      <c r="A81" s="3" t="s">
        <v>211</v>
      </c>
      <c r="B81" s="3">
        <v>0.26951975583333299</v>
      </c>
      <c r="C81" s="3">
        <v>0.30036305699999999</v>
      </c>
      <c r="D81" s="3">
        <v>1.5947065999999999E-2</v>
      </c>
      <c r="E81" s="3">
        <v>0.19183037083333301</v>
      </c>
      <c r="F81" s="3">
        <v>0.43075738966666699</v>
      </c>
      <c r="G81" s="3">
        <v>6.3846084666666705E-2</v>
      </c>
      <c r="H81" s="3">
        <v>0</v>
      </c>
      <c r="I81" s="3">
        <v>2.16695916666667E-3</v>
      </c>
      <c r="J81" s="3">
        <v>0.14620525549999999</v>
      </c>
      <c r="K81" s="3">
        <v>0.175594058333333</v>
      </c>
      <c r="L81" s="3">
        <v>0.16725296049999999</v>
      </c>
      <c r="M81" s="3">
        <v>0.1088841945</v>
      </c>
      <c r="N81" s="3">
        <v>4.1228952333333298E-2</v>
      </c>
      <c r="O81" s="3">
        <v>0.106074614833333</v>
      </c>
      <c r="P81" s="3">
        <v>4.9477443833333301E-2</v>
      </c>
      <c r="Q81" s="3">
        <v>2.8214863166666701E-2</v>
      </c>
      <c r="R81" s="3">
        <v>3.2805818833333299E-2</v>
      </c>
      <c r="S81" s="3">
        <v>2.2512513500000001E-2</v>
      </c>
      <c r="T81" s="3">
        <v>4.5102047499999999E-2</v>
      </c>
      <c r="U81" s="3">
        <v>7.6293857666666701E-2</v>
      </c>
      <c r="V81" s="3">
        <v>0.12427864166666699</v>
      </c>
      <c r="W81" s="3">
        <v>0.22141336516666699</v>
      </c>
      <c r="X81" s="3">
        <v>0.228243340166667</v>
      </c>
      <c r="Y81" s="3">
        <v>0.249312067666667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</row>
    <row r="82" spans="1:49" x14ac:dyDescent="0.25">
      <c r="A82" s="3" t="s">
        <v>212</v>
      </c>
      <c r="B82" s="3">
        <v>0.31763285149999998</v>
      </c>
      <c r="C82" s="3">
        <v>0.315814013666667</v>
      </c>
      <c r="D82" s="3">
        <v>0.52093834033333297</v>
      </c>
      <c r="E82" s="3">
        <v>0.357780352333333</v>
      </c>
      <c r="F82" s="3">
        <v>0.26713720766666699</v>
      </c>
      <c r="G82" s="3">
        <v>0.231375421666667</v>
      </c>
      <c r="H82" s="3">
        <v>5.8003351166666703E-2</v>
      </c>
      <c r="I82" s="3">
        <v>9.3110398999999996E-2</v>
      </c>
      <c r="J82" s="3">
        <v>0.23650162233333299</v>
      </c>
      <c r="K82" s="3">
        <v>0.30509061183333303</v>
      </c>
      <c r="L82" s="3">
        <v>0.31467017000000003</v>
      </c>
      <c r="M82" s="3">
        <v>0.25481103700000002</v>
      </c>
      <c r="N82" s="3">
        <v>0.226713002333333</v>
      </c>
      <c r="O82" s="3">
        <v>0.173132443</v>
      </c>
      <c r="P82" s="3">
        <v>0.223357943666667</v>
      </c>
      <c r="Q82" s="3">
        <v>0.15111821316666699</v>
      </c>
      <c r="R82" s="3">
        <v>0.229040418666667</v>
      </c>
      <c r="S82" s="3">
        <v>0.213630793833333</v>
      </c>
      <c r="T82" s="3">
        <v>0.33213924500000003</v>
      </c>
      <c r="U82" s="3">
        <v>0.26861752750000001</v>
      </c>
      <c r="V82" s="3">
        <v>7.5102765333333293E-2</v>
      </c>
      <c r="W82" s="3">
        <v>0.17598680850000001</v>
      </c>
      <c r="X82" s="3">
        <v>0.20139558499999999</v>
      </c>
      <c r="Y82" s="3">
        <v>0.46256652483333299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</row>
    <row r="83" spans="1:49" x14ac:dyDescent="0.25">
      <c r="A83" s="3" t="s">
        <v>213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1.3832564977777799</v>
      </c>
      <c r="AA83" s="3">
        <v>1.36412927051852</v>
      </c>
      <c r="AB83" s="3">
        <v>1.4232576441481499</v>
      </c>
      <c r="AC83" s="3">
        <v>1.3936100577777799</v>
      </c>
      <c r="AD83" s="3">
        <v>1.2959533585185199</v>
      </c>
      <c r="AE83" s="3">
        <v>1.5509651048888899</v>
      </c>
      <c r="AF83" s="3">
        <v>1.64672113718519</v>
      </c>
      <c r="AG83" s="3">
        <v>2.0312315540740702</v>
      </c>
      <c r="AH83" s="3">
        <v>2.2782725425185202</v>
      </c>
      <c r="AI83" s="3">
        <v>2.2603701887407399</v>
      </c>
      <c r="AJ83" s="3">
        <v>2.3790765828148102</v>
      </c>
      <c r="AK83" s="3">
        <v>2.3931196634074099</v>
      </c>
      <c r="AL83" s="3">
        <v>2.2052398832592601</v>
      </c>
      <c r="AM83" s="3">
        <v>2.1501701117037002</v>
      </c>
      <c r="AN83" s="3">
        <v>2.1725434826666699</v>
      </c>
      <c r="AO83" s="3">
        <v>2.0933786139259301</v>
      </c>
      <c r="AP83" s="3">
        <v>2.0286700124444401</v>
      </c>
      <c r="AQ83" s="3">
        <v>2.1072585831111099</v>
      </c>
      <c r="AR83" s="3">
        <v>2.2825861665185201</v>
      </c>
      <c r="AS83" s="3">
        <v>2.2364953623703698</v>
      </c>
      <c r="AT83" s="3">
        <v>2.2898958465185202</v>
      </c>
      <c r="AU83" s="3">
        <v>1.99148007022222</v>
      </c>
      <c r="AV83" s="3">
        <v>1.88695086844444</v>
      </c>
      <c r="AW83" s="3">
        <v>1.64395177333333</v>
      </c>
    </row>
    <row r="84" spans="1:49" x14ac:dyDescent="0.25">
      <c r="A84" s="3" t="s">
        <v>214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1.2957484565925901</v>
      </c>
      <c r="AA84" s="3">
        <v>1.2444991211851899</v>
      </c>
      <c r="AB84" s="3">
        <v>1.20784989007407</v>
      </c>
      <c r="AC84" s="3">
        <v>1.16419203703704</v>
      </c>
      <c r="AD84" s="3">
        <v>1.22028314281481</v>
      </c>
      <c r="AE84" s="3">
        <v>1.2769354826666699</v>
      </c>
      <c r="AF84" s="3">
        <v>1.54187115496296</v>
      </c>
      <c r="AG84" s="3">
        <v>1.7213972471111101</v>
      </c>
      <c r="AH84" s="3">
        <v>1.8987111090370401</v>
      </c>
      <c r="AI84" s="3">
        <v>2.1294191250370398</v>
      </c>
      <c r="AJ84" s="3">
        <v>2.1659435757037002</v>
      </c>
      <c r="AK84" s="3">
        <v>1.9990111410370399</v>
      </c>
      <c r="AL84" s="3">
        <v>1.9127429066666699</v>
      </c>
      <c r="AM84" s="3">
        <v>1.90025148444444</v>
      </c>
      <c r="AN84" s="3">
        <v>1.79415263585185</v>
      </c>
      <c r="AO84" s="3">
        <v>1.8910157259259299</v>
      </c>
      <c r="AP84" s="3">
        <v>1.92267328503704</v>
      </c>
      <c r="AQ84" s="3">
        <v>1.98241110251852</v>
      </c>
      <c r="AR84" s="3">
        <v>1.8867106450370399</v>
      </c>
      <c r="AS84" s="3">
        <v>2.0168946974814799</v>
      </c>
      <c r="AT84" s="3">
        <v>2.0113639404444399</v>
      </c>
      <c r="AU84" s="3">
        <v>1.9255895762963</v>
      </c>
      <c r="AV84" s="3">
        <v>1.64906138548148</v>
      </c>
      <c r="AW84" s="3">
        <v>1.4082485801481499</v>
      </c>
    </row>
    <row r="85" spans="1:49" x14ac:dyDescent="0.25">
      <c r="A85" s="3" t="s">
        <v>215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2.4754522654814801</v>
      </c>
      <c r="AA85" s="3">
        <v>2.2606927591111101</v>
      </c>
      <c r="AB85" s="3">
        <v>2.2777609265185199</v>
      </c>
      <c r="AC85" s="3">
        <v>2.2272099878518499</v>
      </c>
      <c r="AD85" s="3">
        <v>2.24674314251852</v>
      </c>
      <c r="AE85" s="3">
        <v>2.4466092207407399</v>
      </c>
      <c r="AF85" s="3">
        <v>2.7147114669629602</v>
      </c>
      <c r="AG85" s="3">
        <v>3.2788353608888898</v>
      </c>
      <c r="AH85" s="3">
        <v>3.7500456622222198</v>
      </c>
      <c r="AI85" s="3">
        <v>3.8698493223703698</v>
      </c>
      <c r="AJ85" s="3">
        <v>3.9570309395555601</v>
      </c>
      <c r="AK85" s="3">
        <v>3.8171653125925902</v>
      </c>
      <c r="AL85" s="3">
        <v>3.7045114068148099</v>
      </c>
      <c r="AM85" s="3">
        <v>3.5186001822222202</v>
      </c>
      <c r="AN85" s="3">
        <v>3.4675194109629599</v>
      </c>
      <c r="AO85" s="3">
        <v>3.2953871211851902</v>
      </c>
      <c r="AP85" s="3">
        <v>3.5543783955555601</v>
      </c>
      <c r="AQ85" s="3">
        <v>3.6324479872592601</v>
      </c>
      <c r="AR85" s="3">
        <v>3.6772593780740701</v>
      </c>
      <c r="AS85" s="3">
        <v>3.58356996148148</v>
      </c>
      <c r="AT85" s="3">
        <v>3.7807315777777801</v>
      </c>
      <c r="AU85" s="3">
        <v>3.48935412414815</v>
      </c>
      <c r="AV85" s="3">
        <v>3.0173281579259301</v>
      </c>
      <c r="AW85" s="3">
        <v>2.5726676639999999</v>
      </c>
    </row>
    <row r="86" spans="1:49" x14ac:dyDescent="0.25">
      <c r="A86" s="3" t="s">
        <v>216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1.01862580088889</v>
      </c>
      <c r="AA86" s="3">
        <v>0.97174977925925898</v>
      </c>
      <c r="AB86" s="3">
        <v>0.95073379022222204</v>
      </c>
      <c r="AC86" s="3">
        <v>0.95206040948148096</v>
      </c>
      <c r="AD86" s="3">
        <v>0.93423143022222199</v>
      </c>
      <c r="AE86" s="3">
        <v>1.0229117650370401</v>
      </c>
      <c r="AF86" s="3">
        <v>1.1232956062222199</v>
      </c>
      <c r="AG86" s="3">
        <v>1.3246051425185199</v>
      </c>
      <c r="AH86" s="3">
        <v>1.5620210708148099</v>
      </c>
      <c r="AI86" s="3">
        <v>1.5462724480000001</v>
      </c>
      <c r="AJ86" s="3">
        <v>1.6068028127407401</v>
      </c>
      <c r="AK86" s="3">
        <v>1.5596894361481499</v>
      </c>
      <c r="AL86" s="3">
        <v>1.47617528177778</v>
      </c>
      <c r="AM86" s="3">
        <v>1.4332048266666699</v>
      </c>
      <c r="AN86" s="3">
        <v>1.37520944088889</v>
      </c>
      <c r="AO86" s="3">
        <v>1.3704873114074101</v>
      </c>
      <c r="AP86" s="3">
        <v>1.48354482992593</v>
      </c>
      <c r="AQ86" s="3">
        <v>1.4857218154074101</v>
      </c>
      <c r="AR86" s="3">
        <v>1.4397205282962999</v>
      </c>
      <c r="AS86" s="3">
        <v>1.5358444411851899</v>
      </c>
      <c r="AT86" s="3">
        <v>1.5891784263703701</v>
      </c>
      <c r="AU86" s="3">
        <v>1.4183689789629601</v>
      </c>
      <c r="AV86" s="3">
        <v>1.3112494702222199</v>
      </c>
      <c r="AW86" s="3">
        <v>1.05749030696296</v>
      </c>
    </row>
    <row r="87" spans="1:49" x14ac:dyDescent="0.25">
      <c r="A87" s="3" t="s">
        <v>217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0.98868481807407405</v>
      </c>
      <c r="AA87" s="3">
        <v>0.94106937659259204</v>
      </c>
      <c r="AB87" s="3">
        <v>0.88378532562962997</v>
      </c>
      <c r="AC87" s="3">
        <v>0.88521190696296304</v>
      </c>
      <c r="AD87" s="3">
        <v>0.88009282251851895</v>
      </c>
      <c r="AE87" s="3">
        <v>0.96439499437037002</v>
      </c>
      <c r="AF87" s="3">
        <v>1.1022914186666699</v>
      </c>
      <c r="AG87" s="3">
        <v>1.2353277854814799</v>
      </c>
      <c r="AH87" s="3">
        <v>1.48420597837037</v>
      </c>
      <c r="AI87" s="3">
        <v>1.4840359665185201</v>
      </c>
      <c r="AJ87" s="3">
        <v>1.4419757437037</v>
      </c>
      <c r="AK87" s="3">
        <v>1.49662465866667</v>
      </c>
      <c r="AL87" s="3">
        <v>1.422839768</v>
      </c>
      <c r="AM87" s="3">
        <v>1.3784530065185201</v>
      </c>
      <c r="AN87" s="3">
        <v>1.37441025659259</v>
      </c>
      <c r="AO87" s="3">
        <v>1.37674718637037</v>
      </c>
      <c r="AP87" s="3">
        <v>1.3016135668148101</v>
      </c>
      <c r="AQ87" s="3">
        <v>1.39367291674074</v>
      </c>
      <c r="AR87" s="3">
        <v>1.43388448414815</v>
      </c>
      <c r="AS87" s="3">
        <v>1.53485743081481</v>
      </c>
      <c r="AT87" s="3">
        <v>1.4719449920000001</v>
      </c>
      <c r="AU87" s="3">
        <v>1.38405334251852</v>
      </c>
      <c r="AV87" s="3">
        <v>1.1813932583703699</v>
      </c>
      <c r="AW87" s="3">
        <v>1.01091488711111</v>
      </c>
    </row>
    <row r="88" spans="1:49" x14ac:dyDescent="0.25">
      <c r="A88" s="3" t="s">
        <v>218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1.8914249303703701</v>
      </c>
      <c r="AA88" s="3">
        <v>1.79333972118519</v>
      </c>
      <c r="AB88" s="3">
        <v>1.7738994145185201</v>
      </c>
      <c r="AC88" s="3">
        <v>1.61763905125926</v>
      </c>
      <c r="AD88" s="3">
        <v>1.80409059288889</v>
      </c>
      <c r="AE88" s="3">
        <v>1.8628625866666699</v>
      </c>
      <c r="AF88" s="3">
        <v>2.1358189149629601</v>
      </c>
      <c r="AG88" s="3">
        <v>2.5695514672592599</v>
      </c>
      <c r="AH88" s="3">
        <v>2.6639096358518501</v>
      </c>
      <c r="AI88" s="3">
        <v>2.7909946731851898</v>
      </c>
      <c r="AJ88" s="3">
        <v>3.0351780085925899</v>
      </c>
      <c r="AK88" s="3">
        <v>2.9001926551111099</v>
      </c>
      <c r="AL88" s="3">
        <v>2.60689831733333</v>
      </c>
      <c r="AM88" s="3">
        <v>2.6015090536296301</v>
      </c>
      <c r="AN88" s="3">
        <v>2.5754905037036999</v>
      </c>
      <c r="AO88" s="3">
        <v>2.4513099727407401</v>
      </c>
      <c r="AP88" s="3">
        <v>2.6370905866666701</v>
      </c>
      <c r="AQ88" s="3">
        <v>2.6411818533333302</v>
      </c>
      <c r="AR88" s="3">
        <v>2.8459891765925902</v>
      </c>
      <c r="AS88" s="3">
        <v>2.7967682897777801</v>
      </c>
      <c r="AT88" s="3">
        <v>2.7023470465185202</v>
      </c>
      <c r="AU88" s="3">
        <v>2.53474242725926</v>
      </c>
      <c r="AV88" s="3">
        <v>2.4051850438518501</v>
      </c>
      <c r="AW88" s="3">
        <v>1.99248810133333</v>
      </c>
    </row>
    <row r="89" spans="1:49" x14ac:dyDescent="0.25">
      <c r="A89" s="3" t="s">
        <v>219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1.65689187377778</v>
      </c>
      <c r="AA89" s="3">
        <v>1.6005220829629601</v>
      </c>
      <c r="AB89" s="3">
        <v>1.68012052651852</v>
      </c>
      <c r="AC89" s="3">
        <v>1.50577110755556</v>
      </c>
      <c r="AD89" s="3">
        <v>1.61264421837037</v>
      </c>
      <c r="AE89" s="3">
        <v>1.7351190328888899</v>
      </c>
      <c r="AF89" s="3">
        <v>1.83545422459259</v>
      </c>
      <c r="AG89" s="3">
        <v>2.1926782183703701</v>
      </c>
      <c r="AH89" s="3">
        <v>2.5861845354074098</v>
      </c>
      <c r="AI89" s="3">
        <v>2.6887660800000002</v>
      </c>
      <c r="AJ89" s="3">
        <v>2.6387570056296301</v>
      </c>
      <c r="AK89" s="3">
        <v>2.6558107208888901</v>
      </c>
      <c r="AL89" s="3">
        <v>2.4322662518518499</v>
      </c>
      <c r="AM89" s="3">
        <v>2.46090872948148</v>
      </c>
      <c r="AN89" s="3">
        <v>2.3220497253333301</v>
      </c>
      <c r="AO89" s="3">
        <v>2.4211249709629601</v>
      </c>
      <c r="AP89" s="3">
        <v>2.3247370408888899</v>
      </c>
      <c r="AQ89" s="3">
        <v>2.47919988296296</v>
      </c>
      <c r="AR89" s="3">
        <v>2.51114572385185</v>
      </c>
      <c r="AS89" s="3">
        <v>2.599494296</v>
      </c>
      <c r="AT89" s="3">
        <v>2.4587429025185199</v>
      </c>
      <c r="AU89" s="3">
        <v>2.3662081146666698</v>
      </c>
      <c r="AV89" s="3">
        <v>2.14173335081481</v>
      </c>
      <c r="AW89" s="3">
        <v>1.8569044915555599</v>
      </c>
    </row>
    <row r="90" spans="1:49" x14ac:dyDescent="0.25">
      <c r="A90" s="3" t="s">
        <v>220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2.2864487478518498</v>
      </c>
      <c r="AA90" s="3">
        <v>2.2090349762963002</v>
      </c>
      <c r="AB90" s="3">
        <v>2.1892709502222201</v>
      </c>
      <c r="AC90" s="3">
        <v>2.1785510983703702</v>
      </c>
      <c r="AD90" s="3">
        <v>2.1618473685925901</v>
      </c>
      <c r="AE90" s="3">
        <v>2.4767348023703701</v>
      </c>
      <c r="AF90" s="3">
        <v>2.6096428068148101</v>
      </c>
      <c r="AG90" s="3">
        <v>3.18709355377778</v>
      </c>
      <c r="AH90" s="3">
        <v>3.44130397540741</v>
      </c>
      <c r="AI90" s="3">
        <v>3.5945375490370401</v>
      </c>
      <c r="AJ90" s="3">
        <v>3.7144876242963001</v>
      </c>
      <c r="AK90" s="3">
        <v>3.5446699016296299</v>
      </c>
      <c r="AL90" s="3">
        <v>3.55210438488889</v>
      </c>
      <c r="AM90" s="3">
        <v>3.4917686678518498</v>
      </c>
      <c r="AN90" s="3">
        <v>3.3212856631111101</v>
      </c>
      <c r="AO90" s="3">
        <v>3.2293352891851899</v>
      </c>
      <c r="AP90" s="3">
        <v>3.274029976</v>
      </c>
      <c r="AQ90" s="3">
        <v>3.5070732832592602</v>
      </c>
      <c r="AR90" s="3">
        <v>3.3354248044444401</v>
      </c>
      <c r="AS90" s="3">
        <v>3.4572214361481501</v>
      </c>
      <c r="AT90" s="3">
        <v>3.35168748859259</v>
      </c>
      <c r="AU90" s="3">
        <v>3.3524244071111098</v>
      </c>
      <c r="AV90" s="3">
        <v>3.0398192491851899</v>
      </c>
      <c r="AW90" s="3">
        <v>2.50336458192593</v>
      </c>
    </row>
    <row r="91" spans="1:49" x14ac:dyDescent="0.25">
      <c r="A91" s="3" t="s">
        <v>221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2.4363118515555602</v>
      </c>
      <c r="AA91" s="3">
        <v>2.3688756995555602</v>
      </c>
      <c r="AB91" s="3">
        <v>2.24797696562963</v>
      </c>
      <c r="AC91" s="3">
        <v>2.2420947691851798</v>
      </c>
      <c r="AD91" s="3">
        <v>2.0964280835555602</v>
      </c>
      <c r="AE91" s="3">
        <v>2.31197093244444</v>
      </c>
      <c r="AF91" s="3">
        <v>2.6249973140740699</v>
      </c>
      <c r="AG91" s="3">
        <v>3.1182667911111102</v>
      </c>
      <c r="AH91" s="3">
        <v>3.5461014379259299</v>
      </c>
      <c r="AI91" s="3">
        <v>3.4921344287407399</v>
      </c>
      <c r="AJ91" s="3">
        <v>3.6233831511111099</v>
      </c>
      <c r="AK91" s="3">
        <v>3.50338024918518</v>
      </c>
      <c r="AL91" s="3">
        <v>3.3494808189629599</v>
      </c>
      <c r="AM91" s="3">
        <v>3.3250357197036999</v>
      </c>
      <c r="AN91" s="3">
        <v>3.4282380159999999</v>
      </c>
      <c r="AO91" s="3">
        <v>3.1116686325925902</v>
      </c>
      <c r="AP91" s="3">
        <v>3.2046421368888902</v>
      </c>
      <c r="AQ91" s="3">
        <v>3.3132859739259302</v>
      </c>
      <c r="AR91" s="3">
        <v>3.7128821602962998</v>
      </c>
      <c r="AS91" s="3">
        <v>3.7678804986666701</v>
      </c>
      <c r="AT91" s="3">
        <v>3.4973198337777802</v>
      </c>
      <c r="AU91" s="3">
        <v>3.2912217519999998</v>
      </c>
      <c r="AV91" s="3">
        <v>3.0072956334814802</v>
      </c>
      <c r="AW91" s="3">
        <v>2.6170948056296299</v>
      </c>
    </row>
    <row r="92" spans="1:49" x14ac:dyDescent="0.25">
      <c r="A92" s="3" t="s">
        <v>222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2.5696851807407399</v>
      </c>
      <c r="AA92" s="3">
        <v>2.6315630319999999</v>
      </c>
      <c r="AB92" s="3">
        <v>2.42861183911111</v>
      </c>
      <c r="AC92" s="3">
        <v>2.306078152</v>
      </c>
      <c r="AD92" s="3">
        <v>2.3382999380740701</v>
      </c>
      <c r="AE92" s="3">
        <v>2.6158696770370402</v>
      </c>
      <c r="AF92" s="3">
        <v>2.8952611457777802</v>
      </c>
      <c r="AG92" s="3">
        <v>3.5736854491851799</v>
      </c>
      <c r="AH92" s="3">
        <v>4.0117419439999997</v>
      </c>
      <c r="AI92" s="3">
        <v>4.1190895967407402</v>
      </c>
      <c r="AJ92" s="3">
        <v>4.01083936918518</v>
      </c>
      <c r="AK92" s="3">
        <v>3.9525487762962999</v>
      </c>
      <c r="AL92" s="3">
        <v>3.7977401943703701</v>
      </c>
      <c r="AM92" s="3">
        <v>3.6292912672592599</v>
      </c>
      <c r="AN92" s="3">
        <v>3.74992115348148</v>
      </c>
      <c r="AO92" s="3">
        <v>3.5041244891851901</v>
      </c>
      <c r="AP92" s="3">
        <v>3.5639656992592599</v>
      </c>
      <c r="AQ92" s="3">
        <v>3.7426402491851798</v>
      </c>
      <c r="AR92" s="3">
        <v>3.9957249691851802</v>
      </c>
      <c r="AS92" s="3">
        <v>3.87251419022222</v>
      </c>
      <c r="AT92" s="3">
        <v>3.7932520722962999</v>
      </c>
      <c r="AU92" s="3">
        <v>3.89606415644444</v>
      </c>
      <c r="AV92" s="3">
        <v>3.31448585688889</v>
      </c>
      <c r="AW92" s="3">
        <v>2.9299838399999998</v>
      </c>
    </row>
    <row r="93" spans="1:49" x14ac:dyDescent="0.25">
      <c r="A93" s="3" t="s">
        <v>223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</row>
    <row r="94" spans="1:49" x14ac:dyDescent="0.25">
      <c r="A94" s="3" t="s">
        <v>224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</row>
    <row r="95" spans="1:49" x14ac:dyDescent="0.25">
      <c r="A95" s="3" t="s">
        <v>225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3.5630402764444402</v>
      </c>
      <c r="AA95" s="3">
        <v>3.38052307496296</v>
      </c>
      <c r="AB95" s="3">
        <v>3.3465357727407401</v>
      </c>
      <c r="AC95" s="3">
        <v>3.3139672823703701</v>
      </c>
      <c r="AD95" s="3">
        <v>3.25901790874074</v>
      </c>
      <c r="AE95" s="3">
        <v>3.752154896</v>
      </c>
      <c r="AF95" s="3">
        <v>4.0253910480000004</v>
      </c>
      <c r="AG95" s="3">
        <v>4.8643137054814796</v>
      </c>
      <c r="AH95" s="3">
        <v>5.5439850189629603</v>
      </c>
      <c r="AI95" s="3">
        <v>5.33418336681481</v>
      </c>
      <c r="AJ95" s="3">
        <v>5.88965419259259</v>
      </c>
      <c r="AK95" s="3">
        <v>5.5397440684444499</v>
      </c>
      <c r="AL95" s="3">
        <v>5.1412128983703704</v>
      </c>
      <c r="AM95" s="3">
        <v>5.0207445514074101</v>
      </c>
      <c r="AN95" s="3">
        <v>5.1646305303703697</v>
      </c>
      <c r="AO95" s="3">
        <v>4.9946290737777801</v>
      </c>
      <c r="AP95" s="3">
        <v>4.8705385970370401</v>
      </c>
      <c r="AQ95" s="3">
        <v>5.2619339277036996</v>
      </c>
      <c r="AR95" s="3">
        <v>5.36348039525926</v>
      </c>
      <c r="AS95" s="3">
        <v>5.5159491042962996</v>
      </c>
      <c r="AT95" s="3">
        <v>5.1727932542222197</v>
      </c>
      <c r="AU95" s="3">
        <v>4.8268371220740702</v>
      </c>
      <c r="AV95" s="3">
        <v>4.44968354340741</v>
      </c>
      <c r="AW95" s="3">
        <v>3.7902115315555598</v>
      </c>
    </row>
    <row r="96" spans="1:49" x14ac:dyDescent="0.25">
      <c r="A96" s="3" t="s">
        <v>226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2.5849217125925898</v>
      </c>
      <c r="AA96" s="3">
        <v>2.5888796411851902</v>
      </c>
      <c r="AB96" s="3">
        <v>2.5952290352592602</v>
      </c>
      <c r="AC96" s="3">
        <v>2.2994537357036999</v>
      </c>
      <c r="AD96" s="3">
        <v>2.4982491125925899</v>
      </c>
      <c r="AE96" s="3">
        <v>2.7183541528888902</v>
      </c>
      <c r="AF96" s="3">
        <v>2.96426339377778</v>
      </c>
      <c r="AG96" s="3">
        <v>3.4101789265185198</v>
      </c>
      <c r="AH96" s="3">
        <v>3.8646506660740698</v>
      </c>
      <c r="AI96" s="3">
        <v>4.1186760574814798</v>
      </c>
      <c r="AJ96" s="3">
        <v>4.0821488151111103</v>
      </c>
      <c r="AK96" s="3">
        <v>4.0266367866666704</v>
      </c>
      <c r="AL96" s="3">
        <v>3.8706080808888901</v>
      </c>
      <c r="AM96" s="3">
        <v>3.7897134634074101</v>
      </c>
      <c r="AN96" s="3">
        <v>3.7309929045925898</v>
      </c>
      <c r="AO96" s="3">
        <v>3.5005958213333299</v>
      </c>
      <c r="AP96" s="3">
        <v>3.5934738352592599</v>
      </c>
      <c r="AQ96" s="3">
        <v>3.66263039851852</v>
      </c>
      <c r="AR96" s="3">
        <v>4.0908944844444397</v>
      </c>
      <c r="AS96" s="3">
        <v>3.8698285442963001</v>
      </c>
      <c r="AT96" s="3">
        <v>4.1409345931851904</v>
      </c>
      <c r="AU96" s="3">
        <v>3.8143997214814802</v>
      </c>
      <c r="AV96" s="3">
        <v>3.1694903250370401</v>
      </c>
      <c r="AW96" s="3">
        <v>2.9433187674074102</v>
      </c>
    </row>
    <row r="97" spans="1:49" x14ac:dyDescent="0.25">
      <c r="A97" s="3" t="s">
        <v>227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4.1658987087407402</v>
      </c>
      <c r="AA97" s="3">
        <v>4.37017618281482</v>
      </c>
      <c r="AB97" s="3">
        <v>3.9820596521481502</v>
      </c>
      <c r="AC97" s="3">
        <v>3.9390963339259302</v>
      </c>
      <c r="AD97" s="3">
        <v>3.8320960554074102</v>
      </c>
      <c r="AE97" s="3">
        <v>4.5463988515555602</v>
      </c>
      <c r="AF97" s="3">
        <v>4.8573598411851799</v>
      </c>
      <c r="AG97" s="3">
        <v>5.5003966391111101</v>
      </c>
      <c r="AH97" s="3">
        <v>6.5336513946666699</v>
      </c>
      <c r="AI97" s="3">
        <v>6.5542807783703703</v>
      </c>
      <c r="AJ97" s="3">
        <v>6.4415749626666701</v>
      </c>
      <c r="AK97" s="3">
        <v>6.8459196731851799</v>
      </c>
      <c r="AL97" s="3">
        <v>6.1276606802962998</v>
      </c>
      <c r="AM97" s="3">
        <v>6.2835887416296297</v>
      </c>
      <c r="AN97" s="3">
        <v>6.1286174610370399</v>
      </c>
      <c r="AO97" s="3">
        <v>5.8414622891851797</v>
      </c>
      <c r="AP97" s="3">
        <v>6.2507106666666701</v>
      </c>
      <c r="AQ97" s="3">
        <v>6.4273470240000004</v>
      </c>
      <c r="AR97" s="3">
        <v>6.6502191611851798</v>
      </c>
      <c r="AS97" s="3">
        <v>6.34237463377778</v>
      </c>
      <c r="AT97" s="3">
        <v>6.4589606708148199</v>
      </c>
      <c r="AU97" s="3">
        <v>6.0848196951111104</v>
      </c>
      <c r="AV97" s="3">
        <v>5.4716712545185198</v>
      </c>
      <c r="AW97" s="3">
        <v>4.6572236210370397</v>
      </c>
    </row>
    <row r="98" spans="1:49" x14ac:dyDescent="0.25">
      <c r="A98" s="3" t="s">
        <v>228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1.39133561777778</v>
      </c>
      <c r="AA98" s="3">
        <v>1.3724315194074099</v>
      </c>
      <c r="AB98" s="3">
        <v>1.2808432269629599</v>
      </c>
      <c r="AC98" s="3">
        <v>1.28564886903704</v>
      </c>
      <c r="AD98" s="3">
        <v>1.1916765819259301</v>
      </c>
      <c r="AE98" s="3">
        <v>1.34918665362963</v>
      </c>
      <c r="AF98" s="3">
        <v>1.48978956</v>
      </c>
      <c r="AG98" s="3">
        <v>1.81167818844444</v>
      </c>
      <c r="AH98" s="3">
        <v>1.9185326284444399</v>
      </c>
      <c r="AI98" s="3">
        <v>2.1916379685925902</v>
      </c>
      <c r="AJ98" s="3">
        <v>2.1850618325925901</v>
      </c>
      <c r="AK98" s="3">
        <v>2.112941824</v>
      </c>
      <c r="AL98" s="3">
        <v>1.9235817730370399</v>
      </c>
      <c r="AM98" s="3">
        <v>1.99421970844444</v>
      </c>
      <c r="AN98" s="3">
        <v>1.88353071407407</v>
      </c>
      <c r="AO98" s="3">
        <v>1.8444073842963</v>
      </c>
      <c r="AP98" s="3">
        <v>1.94631868977778</v>
      </c>
      <c r="AQ98" s="3">
        <v>1.9234840758518501</v>
      </c>
      <c r="AR98" s="3">
        <v>2.12678696948148</v>
      </c>
      <c r="AS98" s="3">
        <v>2.06860425540741</v>
      </c>
      <c r="AT98" s="3">
        <v>1.9705547576296301</v>
      </c>
      <c r="AU98" s="3">
        <v>1.9835314737777801</v>
      </c>
      <c r="AV98" s="3">
        <v>1.6693280239999999</v>
      </c>
      <c r="AW98" s="3">
        <v>1.5017113253333301</v>
      </c>
    </row>
    <row r="99" spans="1:49" x14ac:dyDescent="0.25">
      <c r="A99" s="3" t="s">
        <v>229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</row>
    <row r="100" spans="1:49" x14ac:dyDescent="0.25">
      <c r="A100" s="3" t="s">
        <v>230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4.59046232296296</v>
      </c>
      <c r="AA100" s="3">
        <v>4.5240892210370403</v>
      </c>
      <c r="AB100" s="3">
        <v>4.2572352791111099</v>
      </c>
      <c r="AC100" s="3">
        <v>4.0895216382222204</v>
      </c>
      <c r="AD100" s="3">
        <v>4.2720070005925903</v>
      </c>
      <c r="AE100" s="3">
        <v>4.4933370865185198</v>
      </c>
      <c r="AF100" s="3">
        <v>5.1329552068148097</v>
      </c>
      <c r="AG100" s="3">
        <v>5.9481652719999998</v>
      </c>
      <c r="AH100" s="3">
        <v>6.5936929125925898</v>
      </c>
      <c r="AI100" s="3">
        <v>6.7598272497777803</v>
      </c>
      <c r="AJ100" s="3">
        <v>6.9265120337777804</v>
      </c>
      <c r="AK100" s="3">
        <v>7.2643173348148098</v>
      </c>
      <c r="AL100" s="3">
        <v>6.8869997010370403</v>
      </c>
      <c r="AM100" s="3">
        <v>6.56349046992593</v>
      </c>
      <c r="AN100" s="3">
        <v>6.4640472897777803</v>
      </c>
      <c r="AO100" s="3">
        <v>6.51778644118518</v>
      </c>
      <c r="AP100" s="3">
        <v>6.2205957893333297</v>
      </c>
      <c r="AQ100" s="3">
        <v>6.4825682402962901</v>
      </c>
      <c r="AR100" s="3">
        <v>6.49980989155556</v>
      </c>
      <c r="AS100" s="3">
        <v>7.1012677679999996</v>
      </c>
      <c r="AT100" s="3">
        <v>6.7381812047407399</v>
      </c>
      <c r="AU100" s="3">
        <v>6.2179624474074098</v>
      </c>
      <c r="AV100" s="3">
        <v>5.8190677315555597</v>
      </c>
      <c r="AW100" s="3">
        <v>4.7497481048888899</v>
      </c>
    </row>
    <row r="101" spans="1:49" x14ac:dyDescent="0.25">
      <c r="A101" s="3" t="s">
        <v>231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2.4497374242963001</v>
      </c>
      <c r="AA101" s="3">
        <v>2.33405547407407</v>
      </c>
      <c r="AB101" s="3">
        <v>2.2524946681481501</v>
      </c>
      <c r="AC101" s="3">
        <v>2.3363275537777799</v>
      </c>
      <c r="AD101" s="3">
        <v>2.3472828773333299</v>
      </c>
      <c r="AE101" s="3">
        <v>2.48792841214815</v>
      </c>
      <c r="AF101" s="3">
        <v>2.7490464462222199</v>
      </c>
      <c r="AG101" s="3">
        <v>3.2232415288888898</v>
      </c>
      <c r="AH101" s="3">
        <v>3.8348446494814801</v>
      </c>
      <c r="AI101" s="3">
        <v>3.9980629940740702</v>
      </c>
      <c r="AJ101" s="3">
        <v>3.8560405250370402</v>
      </c>
      <c r="AK101" s="3">
        <v>3.6873557736296299</v>
      </c>
      <c r="AL101" s="3">
        <v>3.5569724358518502</v>
      </c>
      <c r="AM101" s="3">
        <v>3.3947856755555601</v>
      </c>
      <c r="AN101" s="3">
        <v>3.6481911925925901</v>
      </c>
      <c r="AO101" s="3">
        <v>3.3246485419259302</v>
      </c>
      <c r="AP101" s="3">
        <v>3.4302821674074102</v>
      </c>
      <c r="AQ101" s="3">
        <v>3.6794623745185202</v>
      </c>
      <c r="AR101" s="3">
        <v>3.8643895297777799</v>
      </c>
      <c r="AS101" s="3">
        <v>3.7145395300740698</v>
      </c>
      <c r="AT101" s="3">
        <v>3.62093449511111</v>
      </c>
      <c r="AU101" s="3">
        <v>3.3289354850370398</v>
      </c>
      <c r="AV101" s="3">
        <v>3.0767724047407401</v>
      </c>
      <c r="AW101" s="3">
        <v>2.7922082388148102</v>
      </c>
    </row>
    <row r="102" spans="1:49" x14ac:dyDescent="0.25">
      <c r="A102" s="3" t="s">
        <v>232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1.67131687851852</v>
      </c>
      <c r="AA102" s="3">
        <v>1.762894</v>
      </c>
      <c r="AB102" s="3">
        <v>1.5900761229629601</v>
      </c>
      <c r="AC102" s="3">
        <v>1.62713597096296</v>
      </c>
      <c r="AD102" s="3">
        <v>1.6703342693333301</v>
      </c>
      <c r="AE102" s="3">
        <v>1.8140282782222199</v>
      </c>
      <c r="AF102" s="3">
        <v>1.8697039282962999</v>
      </c>
      <c r="AG102" s="3">
        <v>2.36604477511111</v>
      </c>
      <c r="AH102" s="3">
        <v>2.7117080231111101</v>
      </c>
      <c r="AI102" s="3">
        <v>2.7836121786666701</v>
      </c>
      <c r="AJ102" s="3">
        <v>2.7612429600000001</v>
      </c>
      <c r="AK102" s="3">
        <v>2.569853664</v>
      </c>
      <c r="AL102" s="3">
        <v>2.5938922488888898</v>
      </c>
      <c r="AM102" s="3">
        <v>2.50829322074074</v>
      </c>
      <c r="AN102" s="3">
        <v>2.4613133440000001</v>
      </c>
      <c r="AO102" s="3">
        <v>2.5022669591111102</v>
      </c>
      <c r="AP102" s="3">
        <v>2.34317230518519</v>
      </c>
      <c r="AQ102" s="3">
        <v>2.49152862311111</v>
      </c>
      <c r="AR102" s="3">
        <v>2.7096969739259298</v>
      </c>
      <c r="AS102" s="3">
        <v>2.6249540613333302</v>
      </c>
      <c r="AT102" s="3">
        <v>2.7196235650370402</v>
      </c>
      <c r="AU102" s="3">
        <v>2.5777028397036998</v>
      </c>
      <c r="AV102" s="3">
        <v>2.1194198874074099</v>
      </c>
      <c r="AW102" s="3">
        <v>1.8357239226666699</v>
      </c>
    </row>
    <row r="103" spans="1:49" x14ac:dyDescent="0.25">
      <c r="A103" s="3" t="s">
        <v>233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</row>
    <row r="104" spans="1:49" x14ac:dyDescent="0.25">
      <c r="A104" s="3" t="s">
        <v>234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</row>
    <row r="105" spans="1:49" x14ac:dyDescent="0.25">
      <c r="A105" s="3" t="s">
        <v>235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</row>
    <row r="106" spans="1:49" x14ac:dyDescent="0.25">
      <c r="A106" s="3" t="s">
        <v>236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</row>
    <row r="107" spans="1:49" x14ac:dyDescent="0.25">
      <c r="A107" s="3" t="s">
        <v>237</v>
      </c>
      <c r="B107" s="3">
        <v>0.1161726008</v>
      </c>
      <c r="C107" s="3">
        <v>9.3199153199999996E-2</v>
      </c>
      <c r="D107" s="3">
        <v>0.87528520440000002</v>
      </c>
      <c r="E107" s="3">
        <v>0.2614955772</v>
      </c>
      <c r="F107" s="3">
        <v>0.36451636879999999</v>
      </c>
      <c r="G107" s="3">
        <v>0.40891880959999999</v>
      </c>
      <c r="H107" s="3">
        <v>0.33705469319999998</v>
      </c>
      <c r="I107" s="3">
        <v>0.32296954760000002</v>
      </c>
      <c r="J107" s="3">
        <v>1.0504268400000001E-2</v>
      </c>
      <c r="K107" s="3">
        <v>7.0367964000000005E-2</v>
      </c>
      <c r="L107" s="3">
        <v>0.1053765384</v>
      </c>
      <c r="M107" s="3">
        <v>0.19154125320000001</v>
      </c>
      <c r="N107" s="3">
        <v>0.1471515172</v>
      </c>
      <c r="O107" s="3">
        <v>8.1211573600000003E-2</v>
      </c>
      <c r="P107" s="3">
        <v>0</v>
      </c>
      <c r="Q107" s="3">
        <v>1.6810423999999999E-3</v>
      </c>
      <c r="R107" s="3">
        <v>8.1826108000000002E-3</v>
      </c>
      <c r="S107" s="3">
        <v>1.8843315999999999E-2</v>
      </c>
      <c r="T107" s="3">
        <v>6.64897604E-2</v>
      </c>
      <c r="U107" s="3">
        <v>6.1736329200000002E-2</v>
      </c>
      <c r="V107" s="3">
        <v>6.5786180400000005E-2</v>
      </c>
      <c r="W107" s="3">
        <v>4.52730524E-2</v>
      </c>
      <c r="X107" s="3">
        <v>5.0895160000000002E-2</v>
      </c>
      <c r="Y107" s="3">
        <v>7.7616198799999994E-2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</row>
    <row r="108" spans="1:49" x14ac:dyDescent="0.25">
      <c r="A108" s="3" t="s">
        <v>238</v>
      </c>
      <c r="B108" s="3">
        <v>5.2542571666666697E-2</v>
      </c>
      <c r="C108" s="3">
        <v>6.5825196666666697E-2</v>
      </c>
      <c r="D108" s="3">
        <v>3.6957614666666701E-2</v>
      </c>
      <c r="E108" s="3">
        <v>0.45282273116666699</v>
      </c>
      <c r="F108" s="3">
        <v>0.440946165</v>
      </c>
      <c r="G108" s="3">
        <v>0.498888768166667</v>
      </c>
      <c r="H108" s="3">
        <v>0.36277776</v>
      </c>
      <c r="I108" s="3">
        <v>0.405154457333333</v>
      </c>
      <c r="J108" s="3">
        <v>0.38818360299999999</v>
      </c>
      <c r="K108" s="3">
        <v>0.35321245416666702</v>
      </c>
      <c r="L108" s="3">
        <v>0.31567938950000002</v>
      </c>
      <c r="M108" s="3">
        <v>0.248241828</v>
      </c>
      <c r="N108" s="3">
        <v>0.26617306866666701</v>
      </c>
      <c r="O108" s="3">
        <v>0.193568216833333</v>
      </c>
      <c r="P108" s="3">
        <v>8.9761303833333306E-2</v>
      </c>
      <c r="Q108" s="3">
        <v>7.1973925999999994E-2</v>
      </c>
      <c r="R108" s="3">
        <v>0.10454113466666699</v>
      </c>
      <c r="S108" s="3">
        <v>5.8003351166666703E-2</v>
      </c>
      <c r="T108" s="3">
        <v>4.5718681166666698E-2</v>
      </c>
      <c r="U108" s="3">
        <v>1.91095841666667E-2</v>
      </c>
      <c r="V108" s="3">
        <v>0.54818730800000004</v>
      </c>
      <c r="W108" s="3">
        <v>0.31426671116666699</v>
      </c>
      <c r="X108" s="3">
        <v>3.7053751000000003E-2</v>
      </c>
      <c r="Y108" s="3">
        <v>2.13263223333333E-2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</row>
    <row r="109" spans="1:49" x14ac:dyDescent="0.25">
      <c r="A109" s="3" t="s">
        <v>239</v>
      </c>
      <c r="B109" s="3">
        <v>2.8067305166666699E-2</v>
      </c>
      <c r="C109" s="3">
        <v>0.26739448316666697</v>
      </c>
      <c r="D109" s="3">
        <v>0.221838270333333</v>
      </c>
      <c r="E109" s="3">
        <v>0.199282364166667</v>
      </c>
      <c r="F109" s="3">
        <v>9.1562339000000006E-2</v>
      </c>
      <c r="G109" s="3">
        <v>3.93519861666667E-2</v>
      </c>
      <c r="H109" s="3">
        <v>9.8084073833333299E-2</v>
      </c>
      <c r="I109" s="3">
        <v>0.131020187833333</v>
      </c>
      <c r="J109" s="3">
        <v>7.8488554333333294E-2</v>
      </c>
      <c r="K109" s="3">
        <v>0.24197505</v>
      </c>
      <c r="L109" s="3">
        <v>0.21892996549999999</v>
      </c>
      <c r="M109" s="3">
        <v>0.23699758433333301</v>
      </c>
      <c r="N109" s="3">
        <v>0.24428799233333301</v>
      </c>
      <c r="O109" s="3">
        <v>6.6254931500000003E-2</v>
      </c>
      <c r="P109" s="3">
        <v>1.46779868333333E-2</v>
      </c>
      <c r="Q109" s="3">
        <v>1.7134109000000002E-2</v>
      </c>
      <c r="R109" s="3">
        <v>5.30114421666667E-2</v>
      </c>
      <c r="S109" s="3">
        <v>7.3511895166666702E-2</v>
      </c>
      <c r="T109" s="3">
        <v>7.0608009666666693E-2</v>
      </c>
      <c r="U109" s="3">
        <v>6.4929945833333294E-2</v>
      </c>
      <c r="V109" s="3">
        <v>3.8148807333333298E-2</v>
      </c>
      <c r="W109" s="3">
        <v>4.9972074666666699E-2</v>
      </c>
      <c r="X109" s="3">
        <v>3.1975455E-2</v>
      </c>
      <c r="Y109" s="3">
        <v>0.11396271550000001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</row>
    <row r="110" spans="1:49" x14ac:dyDescent="0.25">
      <c r="A110" s="3" t="s">
        <v>240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1.37115711288889</v>
      </c>
      <c r="AA110" s="3">
        <v>1.3162437742222199</v>
      </c>
      <c r="AB110" s="3">
        <v>1.20515947585185</v>
      </c>
      <c r="AC110" s="3">
        <v>1.2300000263703701</v>
      </c>
      <c r="AD110" s="3">
        <v>1.2234826820740701</v>
      </c>
      <c r="AE110" s="3">
        <v>1.40361357422222</v>
      </c>
      <c r="AF110" s="3">
        <v>1.5154022281481501</v>
      </c>
      <c r="AG110" s="3">
        <v>1.7872265807407399</v>
      </c>
      <c r="AH110" s="3">
        <v>1.98996613303704</v>
      </c>
      <c r="AI110" s="3">
        <v>2.0220057842963</v>
      </c>
      <c r="AJ110" s="3">
        <v>2.1385634562962998</v>
      </c>
      <c r="AK110" s="3">
        <v>2.1824457842962999</v>
      </c>
      <c r="AL110" s="3">
        <v>1.94135628088889</v>
      </c>
      <c r="AM110" s="3">
        <v>2.0183410032592599</v>
      </c>
      <c r="AN110" s="3">
        <v>1.93518440266667</v>
      </c>
      <c r="AO110" s="3">
        <v>1.8097022180740701</v>
      </c>
      <c r="AP110" s="3">
        <v>1.8122603457777799</v>
      </c>
      <c r="AQ110" s="3">
        <v>1.9847722160000001</v>
      </c>
      <c r="AR110" s="3">
        <v>2.0298720337777798</v>
      </c>
      <c r="AS110" s="3">
        <v>2.0184449392592598</v>
      </c>
      <c r="AT110" s="3">
        <v>1.9685780634074099</v>
      </c>
      <c r="AU110" s="3">
        <v>1.8942934536296301</v>
      </c>
      <c r="AV110" s="3">
        <v>1.66763319851852</v>
      </c>
      <c r="AW110" s="3">
        <v>1.5162428400000001</v>
      </c>
    </row>
    <row r="111" spans="1:49" x14ac:dyDescent="0.25">
      <c r="A111" s="3" t="s">
        <v>241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1.20982639762963</v>
      </c>
      <c r="AA111" s="3">
        <v>1.2192207481481501</v>
      </c>
      <c r="AB111" s="3">
        <v>1.17944033303704</v>
      </c>
      <c r="AC111" s="3">
        <v>1.1277315383703701</v>
      </c>
      <c r="AD111" s="3">
        <v>1.10872173896296</v>
      </c>
      <c r="AE111" s="3">
        <v>1.2432289105185199</v>
      </c>
      <c r="AF111" s="3">
        <v>1.37772849718519</v>
      </c>
      <c r="AG111" s="3">
        <v>1.5363124186666699</v>
      </c>
      <c r="AH111" s="3">
        <v>1.84811658785185</v>
      </c>
      <c r="AI111" s="3">
        <v>1.7747300562963</v>
      </c>
      <c r="AJ111" s="3">
        <v>1.9280150047407401</v>
      </c>
      <c r="AK111" s="3">
        <v>1.94235667318519</v>
      </c>
      <c r="AL111" s="3">
        <v>1.7488623122963001</v>
      </c>
      <c r="AM111" s="3">
        <v>1.6655704551111099</v>
      </c>
      <c r="AN111" s="3">
        <v>1.6728214077037</v>
      </c>
      <c r="AO111" s="3">
        <v>1.59507455644444</v>
      </c>
      <c r="AP111" s="3">
        <v>1.7659733134814799</v>
      </c>
      <c r="AQ111" s="3">
        <v>1.797257672</v>
      </c>
      <c r="AR111" s="3">
        <v>1.7993585078518499</v>
      </c>
      <c r="AS111" s="3">
        <v>1.75953632711111</v>
      </c>
      <c r="AT111" s="3">
        <v>1.82111419051852</v>
      </c>
      <c r="AU111" s="3">
        <v>1.6751438189629599</v>
      </c>
      <c r="AV111" s="3">
        <v>1.51924297155556</v>
      </c>
      <c r="AW111" s="3">
        <v>1.34238529392593</v>
      </c>
    </row>
    <row r="112" spans="1:49" x14ac:dyDescent="0.25">
      <c r="A112" s="3" t="s">
        <v>242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2.1161145537777801</v>
      </c>
      <c r="AA112" s="3">
        <v>2.2680872728888901</v>
      </c>
      <c r="AB112" s="3">
        <v>2.1815783297777802</v>
      </c>
      <c r="AC112" s="3">
        <v>1.97188798903704</v>
      </c>
      <c r="AD112" s="3">
        <v>2.0657984604444399</v>
      </c>
      <c r="AE112" s="3">
        <v>2.2440879004444398</v>
      </c>
      <c r="AF112" s="3">
        <v>2.4709636539259301</v>
      </c>
      <c r="AG112" s="3">
        <v>2.9877301045925901</v>
      </c>
      <c r="AH112" s="3">
        <v>3.2334365611851799</v>
      </c>
      <c r="AI112" s="3">
        <v>3.6255872385185199</v>
      </c>
      <c r="AJ112" s="3">
        <v>3.55036306903704</v>
      </c>
      <c r="AK112" s="3">
        <v>3.3328826595555601</v>
      </c>
      <c r="AL112" s="3">
        <v>3.3476067644444401</v>
      </c>
      <c r="AM112" s="3">
        <v>3.2040177348148098</v>
      </c>
      <c r="AN112" s="3">
        <v>3.0781245869629599</v>
      </c>
      <c r="AO112" s="3">
        <v>3.2069889040000001</v>
      </c>
      <c r="AP112" s="3">
        <v>3.0560755949629601</v>
      </c>
      <c r="AQ112" s="3">
        <v>3.0556821887407399</v>
      </c>
      <c r="AR112" s="3">
        <v>3.1934714456296298</v>
      </c>
      <c r="AS112" s="3">
        <v>3.4136699789629601</v>
      </c>
      <c r="AT112" s="3">
        <v>3.4045882266666698</v>
      </c>
      <c r="AU112" s="3">
        <v>3.2294055111111102</v>
      </c>
      <c r="AV112" s="3">
        <v>2.68306173333333</v>
      </c>
      <c r="AW112" s="3">
        <v>2.4531347804444401</v>
      </c>
    </row>
    <row r="113" spans="1:49" x14ac:dyDescent="0.25">
      <c r="A113" s="3" t="s">
        <v>243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0.898057637037037</v>
      </c>
      <c r="AA113" s="3">
        <v>0.893908503703704</v>
      </c>
      <c r="AB113" s="3">
        <v>0.86852814222222197</v>
      </c>
      <c r="AC113" s="3">
        <v>0.81864031614814803</v>
      </c>
      <c r="AD113" s="3">
        <v>0.87741623822222203</v>
      </c>
      <c r="AE113" s="3">
        <v>0.89098567496296299</v>
      </c>
      <c r="AF113" s="3">
        <v>1.0589879709629599</v>
      </c>
      <c r="AG113" s="3">
        <v>1.173720184</v>
      </c>
      <c r="AH113" s="3">
        <v>1.4107815244444399</v>
      </c>
      <c r="AI113" s="3">
        <v>1.44283014814815</v>
      </c>
      <c r="AJ113" s="3">
        <v>1.45670589037037</v>
      </c>
      <c r="AK113" s="3">
        <v>1.3626036231111101</v>
      </c>
      <c r="AL113" s="3">
        <v>1.39762618074074</v>
      </c>
      <c r="AM113" s="3">
        <v>1.32279837096296</v>
      </c>
      <c r="AN113" s="3">
        <v>1.3529680764444401</v>
      </c>
      <c r="AO113" s="3">
        <v>1.21802752088889</v>
      </c>
      <c r="AP113" s="3">
        <v>1.3206402719999999</v>
      </c>
      <c r="AQ113" s="3">
        <v>1.26135409659259</v>
      </c>
      <c r="AR113" s="3">
        <v>1.4192810322963001</v>
      </c>
      <c r="AS113" s="3">
        <v>1.48162604385185</v>
      </c>
      <c r="AT113" s="3">
        <v>1.32603166577778</v>
      </c>
      <c r="AU113" s="3">
        <v>1.2458194871111099</v>
      </c>
      <c r="AV113" s="3">
        <v>1.20005473985185</v>
      </c>
      <c r="AW113" s="3">
        <v>1.0083207845925899</v>
      </c>
    </row>
    <row r="114" spans="1:49" x14ac:dyDescent="0.25">
      <c r="A114" s="3" t="s">
        <v>244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0.87165320148148095</v>
      </c>
      <c r="AA114" s="3">
        <v>0.86088259703703696</v>
      </c>
      <c r="AB114" s="3">
        <v>0.79651846400000004</v>
      </c>
      <c r="AC114" s="3">
        <v>0.83330080503703696</v>
      </c>
      <c r="AD114" s="3">
        <v>0.85532250429629597</v>
      </c>
      <c r="AE114" s="3">
        <v>0.88229923288888901</v>
      </c>
      <c r="AF114" s="3">
        <v>1.00436938103704</v>
      </c>
      <c r="AG114" s="3">
        <v>1.19027560918519</v>
      </c>
      <c r="AH114" s="3">
        <v>1.3318739902222201</v>
      </c>
      <c r="AI114" s="3">
        <v>1.41060846785185</v>
      </c>
      <c r="AJ114" s="3">
        <v>1.3582059783703699</v>
      </c>
      <c r="AK114" s="3">
        <v>1.30989032118519</v>
      </c>
      <c r="AL114" s="3">
        <v>1.26551607051852</v>
      </c>
      <c r="AM114" s="3">
        <v>1.2402660542222199</v>
      </c>
      <c r="AN114" s="3">
        <v>1.2496520482963001</v>
      </c>
      <c r="AO114" s="3">
        <v>1.2592914693333299</v>
      </c>
      <c r="AP114" s="3">
        <v>1.30479695525926</v>
      </c>
      <c r="AQ114" s="3">
        <v>1.25627661392593</v>
      </c>
      <c r="AR114" s="3">
        <v>1.3196123194074101</v>
      </c>
      <c r="AS114" s="3">
        <v>1.32377786488889</v>
      </c>
      <c r="AT114" s="3">
        <v>1.3653037751111099</v>
      </c>
      <c r="AU114" s="3">
        <v>1.2954819442962999</v>
      </c>
      <c r="AV114" s="3">
        <v>1.1014187437037</v>
      </c>
      <c r="AW114" s="3">
        <v>1.0044493863703701</v>
      </c>
    </row>
    <row r="115" spans="1:49" x14ac:dyDescent="0.25">
      <c r="A115" s="3" t="s">
        <v>245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1.69003052503704</v>
      </c>
      <c r="AA115" s="3">
        <v>1.67556080533333</v>
      </c>
      <c r="AB115" s="3">
        <v>1.52617229748148</v>
      </c>
      <c r="AC115" s="3">
        <v>1.6011082847407401</v>
      </c>
      <c r="AD115" s="3">
        <v>1.4991314530370401</v>
      </c>
      <c r="AE115" s="3">
        <v>1.6529883377777801</v>
      </c>
      <c r="AF115" s="3">
        <v>1.9433398050370401</v>
      </c>
      <c r="AG115" s="3">
        <v>2.1635864174814801</v>
      </c>
      <c r="AH115" s="3">
        <v>2.54954995140741</v>
      </c>
      <c r="AI115" s="3">
        <v>2.5590344888888898</v>
      </c>
      <c r="AJ115" s="3">
        <v>2.6413107404444398</v>
      </c>
      <c r="AK115" s="3">
        <v>2.6168127191111101</v>
      </c>
      <c r="AL115" s="3">
        <v>2.5805046254814799</v>
      </c>
      <c r="AM115" s="3">
        <v>2.5573125863703701</v>
      </c>
      <c r="AN115" s="3">
        <v>2.4254909860740699</v>
      </c>
      <c r="AO115" s="3">
        <v>2.3575602171851902</v>
      </c>
      <c r="AP115" s="3">
        <v>2.3690816488888902</v>
      </c>
      <c r="AQ115" s="3">
        <v>2.3442689967407402</v>
      </c>
      <c r="AR115" s="3">
        <v>2.6818729508148098</v>
      </c>
      <c r="AS115" s="3">
        <v>2.67780594874074</v>
      </c>
      <c r="AT115" s="3">
        <v>2.54383477807407</v>
      </c>
      <c r="AU115" s="3">
        <v>2.3988504607407402</v>
      </c>
      <c r="AV115" s="3">
        <v>2.1928284414814798</v>
      </c>
      <c r="AW115" s="3">
        <v>1.7755147200000001</v>
      </c>
    </row>
    <row r="116" spans="1:49" x14ac:dyDescent="0.25">
      <c r="A116" s="3" t="s">
        <v>246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1.4798084414814801</v>
      </c>
      <c r="AA116" s="3">
        <v>1.5060459804444399</v>
      </c>
      <c r="AB116" s="3">
        <v>1.4620301401481499</v>
      </c>
      <c r="AC116" s="3">
        <v>1.3976893217777799</v>
      </c>
      <c r="AD116" s="3">
        <v>1.39489081925926</v>
      </c>
      <c r="AE116" s="3">
        <v>1.5261764456296301</v>
      </c>
      <c r="AF116" s="3">
        <v>1.78402346577778</v>
      </c>
      <c r="AG116" s="3">
        <v>2.0589210589629601</v>
      </c>
      <c r="AH116" s="3">
        <v>2.3308595291851901</v>
      </c>
      <c r="AI116" s="3">
        <v>2.45951190281481</v>
      </c>
      <c r="AJ116" s="3">
        <v>2.3704691028148099</v>
      </c>
      <c r="AK116" s="3">
        <v>2.3367313884444401</v>
      </c>
      <c r="AL116" s="3">
        <v>2.3731074847407401</v>
      </c>
      <c r="AM116" s="3">
        <v>2.2690638983703701</v>
      </c>
      <c r="AN116" s="3">
        <v>2.1297453063703702</v>
      </c>
      <c r="AO116" s="3">
        <v>2.2353858488888898</v>
      </c>
      <c r="AP116" s="3">
        <v>2.1038372983703701</v>
      </c>
      <c r="AQ116" s="3">
        <v>2.2158888557037</v>
      </c>
      <c r="AR116" s="3">
        <v>2.35050948948148</v>
      </c>
      <c r="AS116" s="3">
        <v>2.2871909282963001</v>
      </c>
      <c r="AT116" s="3">
        <v>2.4578508681481499</v>
      </c>
      <c r="AU116" s="3">
        <v>2.0924139662222201</v>
      </c>
      <c r="AV116" s="3">
        <v>1.9280132728888899</v>
      </c>
      <c r="AW116" s="3">
        <v>1.69202652888889</v>
      </c>
    </row>
    <row r="117" spans="1:49" x14ac:dyDescent="0.25">
      <c r="A117" s="3" t="s">
        <v>247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2.0675918438518499</v>
      </c>
      <c r="AA117" s="3">
        <v>2.0069738598518501</v>
      </c>
      <c r="AB117" s="3">
        <v>1.91955894666667</v>
      </c>
      <c r="AC117" s="3">
        <v>1.9542014260740701</v>
      </c>
      <c r="AD117" s="3">
        <v>1.9495192826666701</v>
      </c>
      <c r="AE117" s="3">
        <v>2.17370985896296</v>
      </c>
      <c r="AF117" s="3">
        <v>2.3081689949629598</v>
      </c>
      <c r="AG117" s="3">
        <v>2.74859202281481</v>
      </c>
      <c r="AH117" s="3">
        <v>3.1153224438518499</v>
      </c>
      <c r="AI117" s="3">
        <v>3.2788033724444401</v>
      </c>
      <c r="AJ117" s="3">
        <v>3.1639094791111102</v>
      </c>
      <c r="AK117" s="3">
        <v>3.2748333125925901</v>
      </c>
      <c r="AL117" s="3">
        <v>3.2242530361481498</v>
      </c>
      <c r="AM117" s="3">
        <v>3.0178753028148102</v>
      </c>
      <c r="AN117" s="3">
        <v>2.9762228471111101</v>
      </c>
      <c r="AO117" s="3">
        <v>2.8284225158518499</v>
      </c>
      <c r="AP117" s="3">
        <v>3.0559572959999999</v>
      </c>
      <c r="AQ117" s="3">
        <v>3.03739541777778</v>
      </c>
      <c r="AR117" s="3">
        <v>3.1424336761481499</v>
      </c>
      <c r="AS117" s="3">
        <v>3.2766679244444399</v>
      </c>
      <c r="AT117" s="3">
        <v>3.2157252731851802</v>
      </c>
      <c r="AU117" s="3">
        <v>2.9214697576296298</v>
      </c>
      <c r="AV117" s="3">
        <v>2.6602669623703701</v>
      </c>
      <c r="AW117" s="3">
        <v>2.3470080853333299</v>
      </c>
    </row>
    <row r="118" spans="1:49" x14ac:dyDescent="0.25">
      <c r="A118" s="3" t="s">
        <v>248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2.2113206308148201</v>
      </c>
      <c r="AA118" s="3">
        <v>2.1587655330370401</v>
      </c>
      <c r="AB118" s="3">
        <v>2.0127997949629601</v>
      </c>
      <c r="AC118" s="3">
        <v>2.0140945709629601</v>
      </c>
      <c r="AD118" s="3">
        <v>2.0002335940740701</v>
      </c>
      <c r="AE118" s="3">
        <v>2.2337443416296301</v>
      </c>
      <c r="AF118" s="3">
        <v>2.4908957712592601</v>
      </c>
      <c r="AG118" s="3">
        <v>2.8121897792592598</v>
      </c>
      <c r="AH118" s="3">
        <v>3.2869002423703702</v>
      </c>
      <c r="AI118" s="3">
        <v>3.27157009925926</v>
      </c>
      <c r="AJ118" s="3">
        <v>3.4752789928888901</v>
      </c>
      <c r="AK118" s="3">
        <v>3.35368137274074</v>
      </c>
      <c r="AL118" s="3">
        <v>3.2483039680000001</v>
      </c>
      <c r="AM118" s="3">
        <v>3.14650155555556</v>
      </c>
      <c r="AN118" s="3">
        <v>3.1437623757036999</v>
      </c>
      <c r="AO118" s="3">
        <v>2.9386598557036998</v>
      </c>
      <c r="AP118" s="3">
        <v>2.8991624770370401</v>
      </c>
      <c r="AQ118" s="3">
        <v>3.0638317442963001</v>
      </c>
      <c r="AR118" s="3">
        <v>3.2275556154074101</v>
      </c>
      <c r="AS118" s="3">
        <v>3.2688703537777801</v>
      </c>
      <c r="AT118" s="3">
        <v>3.2489617605925898</v>
      </c>
      <c r="AU118" s="3">
        <v>2.9950335167407398</v>
      </c>
      <c r="AV118" s="3">
        <v>2.70210652444444</v>
      </c>
      <c r="AW118" s="3">
        <v>2.2779506213333298</v>
      </c>
    </row>
    <row r="119" spans="1:49" x14ac:dyDescent="0.25">
      <c r="A119" s="3" t="s">
        <v>249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2.4438629973333299</v>
      </c>
      <c r="AA119" s="3">
        <v>2.22601980325926</v>
      </c>
      <c r="AB119" s="3">
        <v>2.1814451597037001</v>
      </c>
      <c r="AC119" s="3">
        <v>2.1957755493333302</v>
      </c>
      <c r="AD119" s="3">
        <v>2.29470386548148</v>
      </c>
      <c r="AE119" s="3">
        <v>2.4585378222222198</v>
      </c>
      <c r="AF119" s="3">
        <v>2.5987743143703699</v>
      </c>
      <c r="AG119" s="3">
        <v>3.2572447475555601</v>
      </c>
      <c r="AH119" s="3">
        <v>3.72442614755556</v>
      </c>
      <c r="AI119" s="3">
        <v>3.7979468157037002</v>
      </c>
      <c r="AJ119" s="3">
        <v>3.89216838162963</v>
      </c>
      <c r="AK119" s="3">
        <v>3.8365124663703698</v>
      </c>
      <c r="AL119" s="3">
        <v>3.51797172533333</v>
      </c>
      <c r="AM119" s="3">
        <v>3.3076558874074098</v>
      </c>
      <c r="AN119" s="3">
        <v>3.3672783096296302</v>
      </c>
      <c r="AO119" s="3">
        <v>3.2671284945185199</v>
      </c>
      <c r="AP119" s="3">
        <v>3.5268551837037001</v>
      </c>
      <c r="AQ119" s="3">
        <v>3.3856598222222201</v>
      </c>
      <c r="AR119" s="3">
        <v>3.72502490162963</v>
      </c>
      <c r="AS119" s="3">
        <v>3.6928427552592602</v>
      </c>
      <c r="AT119" s="3">
        <v>3.5263104260740699</v>
      </c>
      <c r="AU119" s="3">
        <v>3.5600185911111102</v>
      </c>
      <c r="AV119" s="3">
        <v>2.8872251727407399</v>
      </c>
      <c r="AW119" s="3">
        <v>2.5741752980740702</v>
      </c>
    </row>
    <row r="120" spans="1:49" x14ac:dyDescent="0.25">
      <c r="A120" s="3" t="s">
        <v>250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</row>
    <row r="121" spans="1:49" x14ac:dyDescent="0.25">
      <c r="A121" s="3" t="s">
        <v>251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</row>
    <row r="122" spans="1:49" x14ac:dyDescent="0.25">
      <c r="A122" s="3" t="s">
        <v>252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3.1083807543703701</v>
      </c>
      <c r="AA122" s="3">
        <v>3.1395499685925898</v>
      </c>
      <c r="AB122" s="3">
        <v>3.2321454044444402</v>
      </c>
      <c r="AC122" s="3">
        <v>2.8422632414814801</v>
      </c>
      <c r="AD122" s="3">
        <v>2.8967304426666698</v>
      </c>
      <c r="AE122" s="3">
        <v>3.2467988456296299</v>
      </c>
      <c r="AF122" s="3">
        <v>3.6586021256296299</v>
      </c>
      <c r="AG122" s="3">
        <v>4.4857986527407396</v>
      </c>
      <c r="AH122" s="3">
        <v>5.1119433638518501</v>
      </c>
      <c r="AI122" s="3">
        <v>4.8933044948148101</v>
      </c>
      <c r="AJ122" s="3">
        <v>5.1369166219259297</v>
      </c>
      <c r="AK122" s="3">
        <v>5.1847811514074102</v>
      </c>
      <c r="AL122" s="3">
        <v>4.6727006293333302</v>
      </c>
      <c r="AM122" s="3">
        <v>4.7382497845925897</v>
      </c>
      <c r="AN122" s="3">
        <v>4.5533322717036997</v>
      </c>
      <c r="AO122" s="3">
        <v>4.6483857487407398</v>
      </c>
      <c r="AP122" s="3">
        <v>4.77247178696296</v>
      </c>
      <c r="AQ122" s="3">
        <v>4.9668930038518502</v>
      </c>
      <c r="AR122" s="3">
        <v>4.7692383179259297</v>
      </c>
      <c r="AS122" s="3">
        <v>5.1457714373333303</v>
      </c>
      <c r="AT122" s="3">
        <v>5.1663098023703702</v>
      </c>
      <c r="AU122" s="3">
        <v>4.7123882835555602</v>
      </c>
      <c r="AV122" s="3">
        <v>4.1270282189629599</v>
      </c>
      <c r="AW122" s="3">
        <v>3.4548960651851899</v>
      </c>
    </row>
    <row r="123" spans="1:49" x14ac:dyDescent="0.25">
      <c r="A123" s="3" t="s">
        <v>253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2.4920717837036999</v>
      </c>
      <c r="AA123" s="3">
        <v>2.25830406251852</v>
      </c>
      <c r="AB123" s="3">
        <v>2.19062186103704</v>
      </c>
      <c r="AC123" s="3">
        <v>2.0836477407407399</v>
      </c>
      <c r="AD123" s="3">
        <v>2.18142364740741</v>
      </c>
      <c r="AE123" s="3">
        <v>2.46508289066667</v>
      </c>
      <c r="AF123" s="3">
        <v>2.65387503940741</v>
      </c>
      <c r="AG123" s="3">
        <v>3.2717322026666702</v>
      </c>
      <c r="AH123" s="3">
        <v>3.6895671410370401</v>
      </c>
      <c r="AI123" s="3">
        <v>3.8012123022222202</v>
      </c>
      <c r="AJ123" s="3">
        <v>3.7657321831111101</v>
      </c>
      <c r="AK123" s="3">
        <v>3.6689270924444402</v>
      </c>
      <c r="AL123" s="3">
        <v>3.3529714835555602</v>
      </c>
      <c r="AM123" s="3">
        <v>3.3144916290370401</v>
      </c>
      <c r="AN123" s="3">
        <v>3.3540386714074102</v>
      </c>
      <c r="AO123" s="3">
        <v>3.4372424447407401</v>
      </c>
      <c r="AP123" s="3">
        <v>3.2703106364444401</v>
      </c>
      <c r="AQ123" s="3">
        <v>3.37772494162963</v>
      </c>
      <c r="AR123" s="3">
        <v>3.79929981925926</v>
      </c>
      <c r="AS123" s="3">
        <v>3.6480260402962998</v>
      </c>
      <c r="AT123" s="3">
        <v>3.7720511297777799</v>
      </c>
      <c r="AU123" s="3">
        <v>3.29532042933333</v>
      </c>
      <c r="AV123" s="3">
        <v>3.1143751851851902</v>
      </c>
      <c r="AW123" s="3">
        <v>2.5553989896296301</v>
      </c>
    </row>
    <row r="124" spans="1:49" x14ac:dyDescent="0.25">
      <c r="A124" s="3" t="s">
        <v>254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3.79604384237037</v>
      </c>
      <c r="AA124" s="3">
        <v>3.9120545167407399</v>
      </c>
      <c r="AB124" s="3">
        <v>3.8150620604444399</v>
      </c>
      <c r="AC124" s="3">
        <v>3.7412014951111101</v>
      </c>
      <c r="AD124" s="3">
        <v>3.5491260186666702</v>
      </c>
      <c r="AE124" s="3">
        <v>3.8976751520000001</v>
      </c>
      <c r="AF124" s="3">
        <v>4.3279008681481503</v>
      </c>
      <c r="AG124" s="3">
        <v>5.1879634219259296</v>
      </c>
      <c r="AH124" s="3">
        <v>5.8847760284444401</v>
      </c>
      <c r="AI124" s="3">
        <v>5.7919652373333301</v>
      </c>
      <c r="AJ124" s="3">
        <v>6.37323778103704</v>
      </c>
      <c r="AK124" s="3">
        <v>5.9571182201481498</v>
      </c>
      <c r="AL124" s="3">
        <v>5.9376190699259297</v>
      </c>
      <c r="AM124" s="3">
        <v>5.7928759985185199</v>
      </c>
      <c r="AN124" s="3">
        <v>5.4120360228148101</v>
      </c>
      <c r="AO124" s="3">
        <v>5.3105796260740696</v>
      </c>
      <c r="AP124" s="3">
        <v>5.4393270918518501</v>
      </c>
      <c r="AQ124" s="3">
        <v>5.6987865407407403</v>
      </c>
      <c r="AR124" s="3">
        <v>5.9135825964444404</v>
      </c>
      <c r="AS124" s="3">
        <v>5.8642196708148102</v>
      </c>
      <c r="AT124" s="3">
        <v>5.8078243647407399</v>
      </c>
      <c r="AU124" s="3">
        <v>5.7086772856296299</v>
      </c>
      <c r="AV124" s="3">
        <v>4.6903070417777801</v>
      </c>
      <c r="AW124" s="3">
        <v>4.3291185964444399</v>
      </c>
    </row>
    <row r="125" spans="1:49" x14ac:dyDescent="0.25">
      <c r="A125" s="3" t="s">
        <v>255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1.18538125896296</v>
      </c>
      <c r="AA125" s="3">
        <v>1.1736994474074101</v>
      </c>
      <c r="AB125" s="3">
        <v>1.2070462319999999</v>
      </c>
      <c r="AC125" s="3">
        <v>1.13069830844444</v>
      </c>
      <c r="AD125" s="3">
        <v>1.1233220672592601</v>
      </c>
      <c r="AE125" s="3">
        <v>1.2728825075555601</v>
      </c>
      <c r="AF125" s="3">
        <v>1.37518012592593</v>
      </c>
      <c r="AG125" s="3">
        <v>1.6551081679999999</v>
      </c>
      <c r="AH125" s="3">
        <v>1.829258928</v>
      </c>
      <c r="AI125" s="3">
        <v>2.0015767499259298</v>
      </c>
      <c r="AJ125" s="3">
        <v>1.9556959748148099</v>
      </c>
      <c r="AK125" s="3">
        <v>1.9156080284444399</v>
      </c>
      <c r="AL125" s="3">
        <v>1.81985634548148</v>
      </c>
      <c r="AM125" s="3">
        <v>1.7890530829629601</v>
      </c>
      <c r="AN125" s="3">
        <v>1.78058941925926</v>
      </c>
      <c r="AO125" s="3">
        <v>1.66464143585185</v>
      </c>
      <c r="AP125" s="3">
        <v>1.78219384414815</v>
      </c>
      <c r="AQ125" s="3">
        <v>1.71431980948148</v>
      </c>
      <c r="AR125" s="3">
        <v>1.8742546977777801</v>
      </c>
      <c r="AS125" s="3">
        <v>1.91243531940741</v>
      </c>
      <c r="AT125" s="3">
        <v>1.83508267288889</v>
      </c>
      <c r="AU125" s="3">
        <v>1.7747872530370401</v>
      </c>
      <c r="AV125" s="3">
        <v>1.5449080204444401</v>
      </c>
      <c r="AW125" s="3">
        <v>1.3728315626666701</v>
      </c>
    </row>
    <row r="126" spans="1:49" x14ac:dyDescent="0.25">
      <c r="A126" s="3" t="s">
        <v>256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</row>
    <row r="127" spans="1:49" x14ac:dyDescent="0.25">
      <c r="A127" s="3" t="s">
        <v>257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4.01673943585185</v>
      </c>
      <c r="AA127" s="3">
        <v>4.1020186355555603</v>
      </c>
      <c r="AB127" s="3">
        <v>3.8250698619259298</v>
      </c>
      <c r="AC127" s="3">
        <v>3.8689784020740698</v>
      </c>
      <c r="AD127" s="3">
        <v>3.6899608231111101</v>
      </c>
      <c r="AE127" s="3">
        <v>4.4213592743703698</v>
      </c>
      <c r="AF127" s="3">
        <v>4.7371582014814804</v>
      </c>
      <c r="AG127" s="3">
        <v>5.7278397514074104</v>
      </c>
      <c r="AH127" s="3">
        <v>5.9477141837036998</v>
      </c>
      <c r="AI127" s="3">
        <v>6.7194070720000001</v>
      </c>
      <c r="AJ127" s="3">
        <v>6.4564611564444396</v>
      </c>
      <c r="AK127" s="3">
        <v>6.6338831834074101</v>
      </c>
      <c r="AL127" s="3">
        <v>5.94621860622222</v>
      </c>
      <c r="AM127" s="3">
        <v>6.0307688788148104</v>
      </c>
      <c r="AN127" s="3">
        <v>5.5498436228148096</v>
      </c>
      <c r="AO127" s="3">
        <v>5.5152802610370397</v>
      </c>
      <c r="AP127" s="3">
        <v>5.9292910651851898</v>
      </c>
      <c r="AQ127" s="3">
        <v>5.7640584918518503</v>
      </c>
      <c r="AR127" s="3">
        <v>6.3816871792592602</v>
      </c>
      <c r="AS127" s="3">
        <v>6.3659455605925901</v>
      </c>
      <c r="AT127" s="3">
        <v>6.2377819819259299</v>
      </c>
      <c r="AU127" s="3">
        <v>6.0930400844444401</v>
      </c>
      <c r="AV127" s="3">
        <v>5.19412060533333</v>
      </c>
      <c r="AW127" s="3">
        <v>4.6041737197036996</v>
      </c>
    </row>
    <row r="128" spans="1:49" x14ac:dyDescent="0.25">
      <c r="A128" s="3" t="s">
        <v>258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2.1972511991111099</v>
      </c>
      <c r="AA128" s="3">
        <v>2.1397470370370399</v>
      </c>
      <c r="AB128" s="3">
        <v>2.0238851090370402</v>
      </c>
      <c r="AC128" s="3">
        <v>2.0389978352592601</v>
      </c>
      <c r="AD128" s="3">
        <v>2.1446069410370399</v>
      </c>
      <c r="AE128" s="3">
        <v>2.2813068900740698</v>
      </c>
      <c r="AF128" s="3">
        <v>2.4658914165925898</v>
      </c>
      <c r="AG128" s="3">
        <v>3.1024175943703698</v>
      </c>
      <c r="AH128" s="3">
        <v>3.4895559025185201</v>
      </c>
      <c r="AI128" s="3">
        <v>3.41221982162963</v>
      </c>
      <c r="AJ128" s="3">
        <v>3.5251138740740702</v>
      </c>
      <c r="AK128" s="3">
        <v>3.3900452506666698</v>
      </c>
      <c r="AL128" s="3">
        <v>3.1374873682962998</v>
      </c>
      <c r="AM128" s="3">
        <v>3.2809377357037</v>
      </c>
      <c r="AN128" s="3">
        <v>3.2013984530370401</v>
      </c>
      <c r="AO128" s="3">
        <v>2.9832236725925898</v>
      </c>
      <c r="AP128" s="3">
        <v>3.08054580296296</v>
      </c>
      <c r="AQ128" s="3">
        <v>3.1991351840000002</v>
      </c>
      <c r="AR128" s="3">
        <v>3.53440968325926</v>
      </c>
      <c r="AS128" s="3">
        <v>3.4423251229629601</v>
      </c>
      <c r="AT128" s="3">
        <v>3.4875467697777802</v>
      </c>
      <c r="AU128" s="3">
        <v>3.1601118722963002</v>
      </c>
      <c r="AV128" s="3">
        <v>2.7990887348148101</v>
      </c>
      <c r="AW128" s="3">
        <v>2.48220230637037</v>
      </c>
    </row>
    <row r="129" spans="1:49" x14ac:dyDescent="0.25">
      <c r="A129" s="3" t="s">
        <v>259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1.51191853659259</v>
      </c>
      <c r="AA129" s="3">
        <v>1.5571447691851901</v>
      </c>
      <c r="AB129" s="3">
        <v>1.4398231431111099</v>
      </c>
      <c r="AC129" s="3">
        <v>1.49120604266667</v>
      </c>
      <c r="AD129" s="3">
        <v>1.44728621748148</v>
      </c>
      <c r="AE129" s="3">
        <v>1.5799512545185199</v>
      </c>
      <c r="AF129" s="3">
        <v>1.8371284068148099</v>
      </c>
      <c r="AG129" s="3">
        <v>2.1874992035555598</v>
      </c>
      <c r="AH129" s="3">
        <v>2.2663743345185199</v>
      </c>
      <c r="AI129" s="3">
        <v>2.47539957985185</v>
      </c>
      <c r="AJ129" s="3">
        <v>2.43606086577778</v>
      </c>
      <c r="AK129" s="3">
        <v>2.4310736841481502</v>
      </c>
      <c r="AL129" s="3">
        <v>2.4165250853333302</v>
      </c>
      <c r="AM129" s="3">
        <v>2.3407586284444402</v>
      </c>
      <c r="AN129" s="3">
        <v>2.2477674675555601</v>
      </c>
      <c r="AO129" s="3">
        <v>2.2713887466666698</v>
      </c>
      <c r="AP129" s="3">
        <v>2.3419460047407399</v>
      </c>
      <c r="AQ129" s="3">
        <v>2.3684996077037002</v>
      </c>
      <c r="AR129" s="3">
        <v>2.5119648877037002</v>
      </c>
      <c r="AS129" s="3">
        <v>2.3744085244444402</v>
      </c>
      <c r="AT129" s="3">
        <v>2.4323886802963002</v>
      </c>
      <c r="AU129" s="3">
        <v>2.2094524397036999</v>
      </c>
      <c r="AV129" s="3">
        <v>1.9222885671111101</v>
      </c>
      <c r="AW129" s="3">
        <v>1.7637266971851899</v>
      </c>
    </row>
    <row r="130" spans="1:49" x14ac:dyDescent="0.25">
      <c r="A130" s="3" t="s">
        <v>260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</row>
    <row r="131" spans="1:49" x14ac:dyDescent="0.25">
      <c r="A131" s="3" t="s">
        <v>261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</row>
    <row r="132" spans="1:49" x14ac:dyDescent="0.25">
      <c r="A132" s="3" t="s">
        <v>262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</row>
    <row r="133" spans="1:49" x14ac:dyDescent="0.25">
      <c r="A133" s="3" t="s">
        <v>263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</row>
    <row r="134" spans="1:49" x14ac:dyDescent="0.25">
      <c r="A134" s="3" t="s">
        <v>264</v>
      </c>
      <c r="B134" s="3">
        <v>0.34514661200000002</v>
      </c>
      <c r="C134" s="3">
        <v>0.4038773108</v>
      </c>
      <c r="D134" s="3">
        <v>0.41553769200000001</v>
      </c>
      <c r="E134" s="3">
        <v>0.54811444519999997</v>
      </c>
      <c r="F134" s="3">
        <v>0.77935141320000001</v>
      </c>
      <c r="G134" s="3">
        <v>0.73618565000000002</v>
      </c>
      <c r="H134" s="3">
        <v>0.6204008688</v>
      </c>
      <c r="I134" s="3">
        <v>0.59635190640000002</v>
      </c>
      <c r="J134" s="3">
        <v>0.59199589679999998</v>
      </c>
      <c r="K134" s="3">
        <v>0.61410878079999998</v>
      </c>
      <c r="L134" s="3">
        <v>0.61251648240000001</v>
      </c>
      <c r="M134" s="3">
        <v>0.59598900560000001</v>
      </c>
      <c r="N134" s="3">
        <v>0.5983112424</v>
      </c>
      <c r="O134" s="3">
        <v>0.63375325999999998</v>
      </c>
      <c r="P134" s="3">
        <v>0.57716804479999995</v>
      </c>
      <c r="Q134" s="3">
        <v>0.51431213880000004</v>
      </c>
      <c r="R134" s="3">
        <v>0.4376421304</v>
      </c>
      <c r="S134" s="3">
        <v>0.4390782728</v>
      </c>
      <c r="T134" s="3">
        <v>0.53164679560000005</v>
      </c>
      <c r="U134" s="3">
        <v>0.6101995872</v>
      </c>
      <c r="V134" s="3">
        <v>0.71076196280000004</v>
      </c>
      <c r="W134" s="3">
        <v>0.71693549400000001</v>
      </c>
      <c r="X134" s="3">
        <v>0.77874127680000005</v>
      </c>
      <c r="Y134" s="3">
        <v>0.87484425840000002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</row>
    <row r="135" spans="1:49" x14ac:dyDescent="0.25">
      <c r="A135" s="3" t="s">
        <v>265</v>
      </c>
      <c r="B135" s="3">
        <v>0.45960495400000001</v>
      </c>
      <c r="C135" s="3">
        <v>0.51511295800000001</v>
      </c>
      <c r="D135" s="3">
        <v>0.53193823600000001</v>
      </c>
      <c r="E135" s="3">
        <v>0.53317687933333302</v>
      </c>
      <c r="F135" s="3">
        <v>0.53893325483333299</v>
      </c>
      <c r="G135" s="3">
        <v>0.46502393266666697</v>
      </c>
      <c r="H135" s="3">
        <v>0.45188564883333299</v>
      </c>
      <c r="I135" s="3">
        <v>0.41226172700000002</v>
      </c>
      <c r="J135" s="3">
        <v>0.35390374266666702</v>
      </c>
      <c r="K135" s="3">
        <v>0.31440118283333301</v>
      </c>
      <c r="L135" s="3">
        <v>0.33288911316666697</v>
      </c>
      <c r="M135" s="3">
        <v>0.35176170983333299</v>
      </c>
      <c r="N135" s="3">
        <v>0.36201332216666698</v>
      </c>
      <c r="O135" s="3">
        <v>0.32730892683333301</v>
      </c>
      <c r="P135" s="3">
        <v>0.31292279683333302</v>
      </c>
      <c r="Q135" s="3">
        <v>0.44281506366666701</v>
      </c>
      <c r="R135" s="3">
        <v>0.42996946583333301</v>
      </c>
      <c r="S135" s="3">
        <v>0.4822593845</v>
      </c>
      <c r="T135" s="3">
        <v>0.60976506249999995</v>
      </c>
      <c r="U135" s="3">
        <v>0.59105175899999995</v>
      </c>
      <c r="V135" s="3">
        <v>0.56071733150000003</v>
      </c>
      <c r="W135" s="3">
        <v>0.51110933316666696</v>
      </c>
      <c r="X135" s="3">
        <v>0.57767723316666697</v>
      </c>
      <c r="Y135" s="3">
        <v>0.66697467450000003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</row>
    <row r="136" spans="1:49" x14ac:dyDescent="0.25">
      <c r="A136" s="3" t="s">
        <v>266</v>
      </c>
      <c r="B136" s="3">
        <v>0.58298580633333297</v>
      </c>
      <c r="C136" s="3">
        <v>0.62220748666666703</v>
      </c>
      <c r="D136" s="3">
        <v>0.59504537749999997</v>
      </c>
      <c r="E136" s="3">
        <v>0.58102269816666696</v>
      </c>
      <c r="F136" s="3">
        <v>0.59410162550000001</v>
      </c>
      <c r="G136" s="3">
        <v>0.54614711400000004</v>
      </c>
      <c r="H136" s="3">
        <v>0.52224931916666695</v>
      </c>
      <c r="I136" s="3">
        <v>0.49939765383333301</v>
      </c>
      <c r="J136" s="3">
        <v>0.46097714383333299</v>
      </c>
      <c r="K136" s="3">
        <v>0.43075738966666699</v>
      </c>
      <c r="L136" s="3">
        <v>0.43534558833333298</v>
      </c>
      <c r="M136" s="3">
        <v>0.44080244499999999</v>
      </c>
      <c r="N136" s="3">
        <v>0.47131776199999997</v>
      </c>
      <c r="O136" s="3">
        <v>0.48813696699999998</v>
      </c>
      <c r="P136" s="3">
        <v>0.42932495066666698</v>
      </c>
      <c r="Q136" s="3">
        <v>0.71623479983333305</v>
      </c>
      <c r="R136" s="3">
        <v>0.73444925500000002</v>
      </c>
      <c r="S136" s="3">
        <v>0.77262740399999996</v>
      </c>
      <c r="T136" s="3">
        <v>0.71910625116666704</v>
      </c>
      <c r="U136" s="3">
        <v>0.69447967450000003</v>
      </c>
      <c r="V136" s="3">
        <v>0.70844262650000001</v>
      </c>
      <c r="W136" s="3">
        <v>0.66354527750000003</v>
      </c>
      <c r="X136" s="3">
        <v>0.717846068666667</v>
      </c>
      <c r="Y136" s="3">
        <v>0.75916731783333302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B5"/>
  <sheetViews>
    <sheetView workbookViewId="0">
      <selection activeCell="AJ25" sqref="AJ25"/>
    </sheetView>
  </sheetViews>
  <sheetFormatPr defaultRowHeight="13.8" x14ac:dyDescent="0.25"/>
  <cols>
    <col min="3" max="3" width="9.6640625" bestFit="1" customWidth="1"/>
  </cols>
  <sheetData>
    <row r="1" spans="1:2" x14ac:dyDescent="0.25">
      <c r="A1" s="3" t="s">
        <v>267</v>
      </c>
      <c r="B1" s="3">
        <v>1.3698630136986301E-2</v>
      </c>
    </row>
    <row r="2" spans="1:2" x14ac:dyDescent="0.25">
      <c r="A2" s="3" t="s">
        <v>268</v>
      </c>
      <c r="B2" s="3">
        <v>0.2584474885844748</v>
      </c>
    </row>
    <row r="3" spans="1:2" x14ac:dyDescent="0.25">
      <c r="A3" s="3" t="s">
        <v>269</v>
      </c>
      <c r="B3">
        <v>0.47671232876712333</v>
      </c>
    </row>
    <row r="4" spans="1:2" x14ac:dyDescent="0.25">
      <c r="A4" s="3" t="s">
        <v>270</v>
      </c>
      <c r="B4" s="3">
        <v>0.11872146118721499</v>
      </c>
    </row>
    <row r="5" spans="1:2" x14ac:dyDescent="0.25">
      <c r="A5" s="3" t="s">
        <v>271</v>
      </c>
      <c r="B5" s="3">
        <v>0.13242009132420099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52"/>
  <sheetViews>
    <sheetView workbookViewId="0">
      <selection activeCell="A55" sqref="A55"/>
    </sheetView>
  </sheetViews>
  <sheetFormatPr defaultRowHeight="13.8" x14ac:dyDescent="0.25"/>
  <cols>
    <col min="3" max="3" width="25.77734375" style="34" bestFit="1" customWidth="1"/>
  </cols>
  <sheetData>
    <row r="1" spans="1:6" ht="30" customHeight="1" x14ac:dyDescent="0.25">
      <c r="A1" s="36" t="s">
        <v>276</v>
      </c>
      <c r="B1" s="68" t="s">
        <v>275</v>
      </c>
      <c r="C1" s="37" t="s">
        <v>277</v>
      </c>
    </row>
    <row r="2" spans="1:6" x14ac:dyDescent="0.25">
      <c r="A2" s="69">
        <v>1</v>
      </c>
      <c r="B2" s="46">
        <v>101</v>
      </c>
      <c r="C2" s="49">
        <v>1.083</v>
      </c>
      <c r="E2" s="28"/>
      <c r="F2" s="28"/>
    </row>
    <row r="3" spans="1:6" x14ac:dyDescent="0.25">
      <c r="A3" s="69">
        <v>2</v>
      </c>
      <c r="B3" s="46">
        <v>102</v>
      </c>
      <c r="C3" s="49">
        <v>0.96900000000000008</v>
      </c>
    </row>
    <row r="4" spans="1:6" x14ac:dyDescent="0.25">
      <c r="A4" s="69">
        <v>3</v>
      </c>
      <c r="B4" s="46">
        <v>103</v>
      </c>
      <c r="C4" s="49">
        <v>1.7955000000000001</v>
      </c>
    </row>
    <row r="5" spans="1:6" x14ac:dyDescent="0.25">
      <c r="A5" s="69">
        <v>4</v>
      </c>
      <c r="B5" s="46">
        <v>104</v>
      </c>
      <c r="C5" s="71">
        <v>0.7410000000000001</v>
      </c>
      <c r="D5" s="28"/>
    </row>
    <row r="6" spans="1:6" x14ac:dyDescent="0.25">
      <c r="A6" s="69">
        <v>5</v>
      </c>
      <c r="B6" s="46">
        <v>105</v>
      </c>
      <c r="C6" s="71">
        <v>0.71250000000000002</v>
      </c>
    </row>
    <row r="7" spans="1:6" x14ac:dyDescent="0.25">
      <c r="A7" s="69">
        <v>6</v>
      </c>
      <c r="B7" s="46">
        <v>106</v>
      </c>
      <c r="C7" s="71">
        <v>1.3680000000000001</v>
      </c>
      <c r="F7" s="9"/>
    </row>
    <row r="8" spans="1:6" x14ac:dyDescent="0.25">
      <c r="A8" s="69">
        <v>7</v>
      </c>
      <c r="B8" s="46">
        <v>107</v>
      </c>
      <c r="C8" s="49">
        <v>1.254</v>
      </c>
    </row>
    <row r="9" spans="1:6" x14ac:dyDescent="0.25">
      <c r="A9" s="69">
        <v>8</v>
      </c>
      <c r="B9" s="46">
        <v>108</v>
      </c>
      <c r="C9" s="49">
        <v>1.71</v>
      </c>
    </row>
    <row r="10" spans="1:6" x14ac:dyDescent="0.25">
      <c r="A10" s="69">
        <v>9</v>
      </c>
      <c r="B10" s="46">
        <v>109</v>
      </c>
      <c r="C10" s="49">
        <v>1.7384999999999999</v>
      </c>
    </row>
    <row r="11" spans="1:6" x14ac:dyDescent="0.25">
      <c r="A11" s="69">
        <v>10</v>
      </c>
      <c r="B11" s="46">
        <v>110</v>
      </c>
      <c r="C11" s="49">
        <v>1.9380000000000002</v>
      </c>
    </row>
    <row r="12" spans="1:6" x14ac:dyDescent="0.25">
      <c r="A12" s="69">
        <v>11</v>
      </c>
      <c r="B12" s="46">
        <v>113</v>
      </c>
      <c r="C12" s="49">
        <v>2.6505000000000001</v>
      </c>
    </row>
    <row r="13" spans="1:6" x14ac:dyDescent="0.25">
      <c r="A13" s="69">
        <v>12</v>
      </c>
      <c r="B13" s="46">
        <v>114</v>
      </c>
      <c r="C13" s="49">
        <v>1.9380000000000002</v>
      </c>
    </row>
    <row r="14" spans="1:6" x14ac:dyDescent="0.25">
      <c r="A14" s="69">
        <v>13</v>
      </c>
      <c r="B14" s="46">
        <v>115</v>
      </c>
      <c r="C14" s="49">
        <v>3.1635000000000004</v>
      </c>
    </row>
    <row r="15" spans="1:6" x14ac:dyDescent="0.25">
      <c r="A15" s="69">
        <v>14</v>
      </c>
      <c r="B15" s="46">
        <v>116</v>
      </c>
      <c r="C15" s="49">
        <v>0.99750000000000016</v>
      </c>
    </row>
    <row r="16" spans="1:6" x14ac:dyDescent="0.25">
      <c r="A16" s="69">
        <v>15</v>
      </c>
      <c r="B16" s="46">
        <v>118</v>
      </c>
      <c r="C16" s="49">
        <v>3.3344999999999998</v>
      </c>
    </row>
    <row r="17" spans="1:4" x14ac:dyDescent="0.25">
      <c r="A17" s="69">
        <v>16</v>
      </c>
      <c r="B17" s="46">
        <v>119</v>
      </c>
      <c r="C17" s="49">
        <v>1.8240000000000001</v>
      </c>
    </row>
    <row r="18" spans="1:4" x14ac:dyDescent="0.25">
      <c r="A18" s="69">
        <v>17</v>
      </c>
      <c r="B18" s="46">
        <v>120</v>
      </c>
      <c r="C18" s="49">
        <v>1.2825</v>
      </c>
    </row>
    <row r="19" spans="1:4" x14ac:dyDescent="0.25">
      <c r="A19" s="69">
        <v>1</v>
      </c>
      <c r="B19" s="46">
        <v>201</v>
      </c>
      <c r="C19" s="72">
        <f>1.13715*(1.08/1.05)</f>
        <v>1.1696400000000002</v>
      </c>
      <c r="D19" s="28"/>
    </row>
    <row r="20" spans="1:4" x14ac:dyDescent="0.25">
      <c r="A20" s="69">
        <v>2</v>
      </c>
      <c r="B20" s="46">
        <v>202</v>
      </c>
      <c r="C20" s="72">
        <f>1.01745*(1.08/1.05)</f>
        <v>1.0465200000000003</v>
      </c>
    </row>
    <row r="21" spans="1:4" x14ac:dyDescent="0.25">
      <c r="A21" s="69">
        <v>3</v>
      </c>
      <c r="B21" s="46">
        <v>203</v>
      </c>
      <c r="C21" s="72">
        <f>1.885275*(1.08/1.05)</f>
        <v>1.9391400000000005</v>
      </c>
    </row>
    <row r="22" spans="1:4" x14ac:dyDescent="0.25">
      <c r="A22" s="69">
        <v>4</v>
      </c>
      <c r="B22" s="46">
        <v>204</v>
      </c>
      <c r="C22" s="72">
        <f>0.77805*(1.08/1.05)</f>
        <v>0.80028000000000021</v>
      </c>
    </row>
    <row r="23" spans="1:4" x14ac:dyDescent="0.25">
      <c r="A23" s="69">
        <v>5</v>
      </c>
      <c r="B23" s="46">
        <v>205</v>
      </c>
      <c r="C23" s="72">
        <f>0.748125*(1.08/1.05)</f>
        <v>0.76950000000000018</v>
      </c>
    </row>
    <row r="24" spans="1:4" x14ac:dyDescent="0.25">
      <c r="A24" s="69">
        <v>6</v>
      </c>
      <c r="B24" s="46">
        <v>206</v>
      </c>
      <c r="C24" s="72">
        <f>1.4364*(1.08/1.05)</f>
        <v>1.4774400000000003</v>
      </c>
    </row>
    <row r="25" spans="1:4" x14ac:dyDescent="0.25">
      <c r="A25" s="69">
        <v>7</v>
      </c>
      <c r="B25" s="46">
        <v>207</v>
      </c>
      <c r="C25" s="72">
        <f>1.3167*(1.08/1.05)</f>
        <v>1.3543200000000002</v>
      </c>
    </row>
    <row r="26" spans="1:4" x14ac:dyDescent="0.25">
      <c r="A26" s="69">
        <v>8</v>
      </c>
      <c r="B26" s="46">
        <v>208</v>
      </c>
      <c r="C26" s="72">
        <f>1.7955*(1.08/1.05)</f>
        <v>1.8468000000000002</v>
      </c>
    </row>
    <row r="27" spans="1:4" x14ac:dyDescent="0.25">
      <c r="A27" s="69">
        <v>9</v>
      </c>
      <c r="B27" s="46">
        <v>209</v>
      </c>
      <c r="C27" s="72">
        <f>1.825425*(1.08/1.05)</f>
        <v>1.8775800000000002</v>
      </c>
    </row>
    <row r="28" spans="1:4" x14ac:dyDescent="0.25">
      <c r="A28" s="69">
        <v>10</v>
      </c>
      <c r="B28" s="46">
        <v>210</v>
      </c>
      <c r="C28" s="72">
        <f>2.0349*(1.08/1.05)</f>
        <v>2.0930400000000007</v>
      </c>
    </row>
    <row r="29" spans="1:4" x14ac:dyDescent="0.25">
      <c r="A29" s="69">
        <v>11</v>
      </c>
      <c r="B29" s="46">
        <v>213</v>
      </c>
      <c r="C29" s="72">
        <f>2.783025*(1.08/1.05)</f>
        <v>2.8625400000000005</v>
      </c>
    </row>
    <row r="30" spans="1:4" x14ac:dyDescent="0.25">
      <c r="A30" s="69">
        <v>12</v>
      </c>
      <c r="B30" s="46">
        <v>214</v>
      </c>
      <c r="C30" s="72">
        <f>2.0349*(1.08/1.05)</f>
        <v>2.0930400000000007</v>
      </c>
    </row>
    <row r="31" spans="1:4" x14ac:dyDescent="0.25">
      <c r="A31" s="69">
        <v>13</v>
      </c>
      <c r="B31" s="46">
        <v>215</v>
      </c>
      <c r="C31" s="72">
        <f>3.321675*(1.08/1.05)</f>
        <v>3.4165800000000006</v>
      </c>
    </row>
    <row r="32" spans="1:4" x14ac:dyDescent="0.25">
      <c r="A32" s="69">
        <v>14</v>
      </c>
      <c r="B32" s="46">
        <v>216</v>
      </c>
      <c r="C32" s="72">
        <f>1.047375*(1.08/1.05)</f>
        <v>1.0773000000000004</v>
      </c>
    </row>
    <row r="33" spans="1:5" x14ac:dyDescent="0.25">
      <c r="A33" s="69">
        <v>15</v>
      </c>
      <c r="B33" s="46">
        <v>218</v>
      </c>
      <c r="C33" s="72">
        <f>3.501225*(1.08/1.05)</f>
        <v>3.6012600000000003</v>
      </c>
    </row>
    <row r="34" spans="1:5" x14ac:dyDescent="0.25">
      <c r="A34" s="69">
        <v>16</v>
      </c>
      <c r="B34" s="46">
        <v>219</v>
      </c>
      <c r="C34" s="72">
        <f>1.9152*(1.08/1.05)</f>
        <v>1.9699200000000006</v>
      </c>
    </row>
    <row r="35" spans="1:5" x14ac:dyDescent="0.25">
      <c r="A35" s="69">
        <v>17</v>
      </c>
      <c r="B35" s="46">
        <v>220</v>
      </c>
      <c r="C35" s="72">
        <f>1.346625*(1.08/1.05)</f>
        <v>1.3851000000000002</v>
      </c>
    </row>
    <row r="36" spans="1:5" x14ac:dyDescent="0.25">
      <c r="A36" s="69">
        <v>1</v>
      </c>
      <c r="B36" s="46">
        <v>301</v>
      </c>
      <c r="C36" s="49">
        <f>1.02885*(0.92/0.95)</f>
        <v>0.99635999999999991</v>
      </c>
      <c r="D36" s="28"/>
      <c r="E36" s="28"/>
    </row>
    <row r="37" spans="1:5" x14ac:dyDescent="0.25">
      <c r="A37" s="69">
        <v>2</v>
      </c>
      <c r="B37" s="46">
        <v>302</v>
      </c>
      <c r="C37" s="49">
        <f>0.92055*(0.92/0.95)</f>
        <v>0.89148000000000016</v>
      </c>
    </row>
    <row r="38" spans="1:5" x14ac:dyDescent="0.25">
      <c r="A38" s="69">
        <v>3</v>
      </c>
      <c r="B38" s="46">
        <v>303</v>
      </c>
      <c r="C38" s="49">
        <f>1.705725*(0.92/0.95)</f>
        <v>1.6518600000000001</v>
      </c>
    </row>
    <row r="39" spans="1:5" x14ac:dyDescent="0.25">
      <c r="A39" s="69">
        <v>4</v>
      </c>
      <c r="B39" s="46">
        <v>304</v>
      </c>
      <c r="C39" s="49">
        <f>0.70395*(0.92/0.95)</f>
        <v>0.68172000000000021</v>
      </c>
    </row>
    <row r="40" spans="1:5" x14ac:dyDescent="0.25">
      <c r="A40" s="69">
        <v>5</v>
      </c>
      <c r="B40" s="46">
        <v>305</v>
      </c>
      <c r="C40" s="49">
        <f>0.676875*(0.92/0.95)</f>
        <v>0.65550000000000008</v>
      </c>
    </row>
    <row r="41" spans="1:5" x14ac:dyDescent="0.25">
      <c r="A41" s="69">
        <v>6</v>
      </c>
      <c r="B41" s="46">
        <v>306</v>
      </c>
      <c r="C41" s="49">
        <f>1.2996*(0.92/0.95)</f>
        <v>1.2585600000000003</v>
      </c>
    </row>
    <row r="42" spans="1:5" x14ac:dyDescent="0.25">
      <c r="A42" s="69">
        <v>7</v>
      </c>
      <c r="B42" s="46">
        <v>307</v>
      </c>
      <c r="C42" s="49">
        <f>1.1913*(0.92/0.95)</f>
        <v>1.1536800000000003</v>
      </c>
    </row>
    <row r="43" spans="1:5" x14ac:dyDescent="0.25">
      <c r="A43" s="69">
        <v>8</v>
      </c>
      <c r="B43" s="46">
        <v>308</v>
      </c>
      <c r="C43" s="49">
        <f>1.6245*(0.92/0.95)</f>
        <v>1.5731999999999999</v>
      </c>
    </row>
    <row r="44" spans="1:5" x14ac:dyDescent="0.25">
      <c r="A44" s="69">
        <v>9</v>
      </c>
      <c r="B44" s="46">
        <v>309</v>
      </c>
      <c r="C44" s="49">
        <f>1.651575*(0.92/0.95)</f>
        <v>1.5994200000000001</v>
      </c>
    </row>
    <row r="45" spans="1:5" x14ac:dyDescent="0.25">
      <c r="A45" s="69">
        <v>10</v>
      </c>
      <c r="B45" s="46">
        <v>310</v>
      </c>
      <c r="C45" s="49">
        <f>1.8411*(0.92/0.95)</f>
        <v>1.7829600000000003</v>
      </c>
    </row>
    <row r="46" spans="1:5" x14ac:dyDescent="0.25">
      <c r="A46" s="69">
        <v>11</v>
      </c>
      <c r="B46" s="46">
        <v>313</v>
      </c>
      <c r="C46" s="49">
        <f>2.517975*(0.92/0.95)</f>
        <v>2.4384600000000001</v>
      </c>
    </row>
    <row r="47" spans="1:5" x14ac:dyDescent="0.25">
      <c r="A47" s="69">
        <v>12</v>
      </c>
      <c r="B47" s="46">
        <v>314</v>
      </c>
      <c r="C47" s="49">
        <f>1.8411*(0.92/0.95)</f>
        <v>1.7829600000000003</v>
      </c>
    </row>
    <row r="48" spans="1:5" x14ac:dyDescent="0.25">
      <c r="A48" s="69">
        <v>13</v>
      </c>
      <c r="B48" s="46">
        <v>315</v>
      </c>
      <c r="C48" s="49">
        <f>3.005325*(0.92/0.95)</f>
        <v>2.9104200000000007</v>
      </c>
    </row>
    <row r="49" spans="1:3" x14ac:dyDescent="0.25">
      <c r="A49" s="69">
        <v>14</v>
      </c>
      <c r="B49" s="46">
        <v>316</v>
      </c>
      <c r="C49" s="49">
        <f>0.947625*(0.92/0.95)</f>
        <v>0.91770000000000029</v>
      </c>
    </row>
    <row r="50" spans="1:3" x14ac:dyDescent="0.25">
      <c r="A50" s="69">
        <v>15</v>
      </c>
      <c r="B50" s="46">
        <v>318</v>
      </c>
      <c r="C50" s="49">
        <f>3.167775*(0.92/0.95)</f>
        <v>3.0677400000000001</v>
      </c>
    </row>
    <row r="51" spans="1:3" x14ac:dyDescent="0.25">
      <c r="A51" s="69">
        <v>16</v>
      </c>
      <c r="B51" s="46">
        <v>319</v>
      </c>
      <c r="C51" s="49">
        <f>1.7328*(0.92/0.95)</f>
        <v>1.67808</v>
      </c>
    </row>
    <row r="52" spans="1:3" x14ac:dyDescent="0.25">
      <c r="A52" s="70">
        <v>17</v>
      </c>
      <c r="B52" s="52">
        <v>320</v>
      </c>
      <c r="C52" s="73">
        <f>1.218375*(0.92/0.95)</f>
        <v>1.1799000000000002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440FD6F9-2C54-441D-B590-2951DD53DD0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ControlPara</vt:lpstr>
      <vt:lpstr>Generator</vt:lpstr>
      <vt:lpstr>Wind</vt:lpstr>
      <vt:lpstr>Storage</vt:lpstr>
      <vt:lpstr>Line</vt:lpstr>
      <vt:lpstr>Bus</vt:lpstr>
      <vt:lpstr>Scenario</vt:lpstr>
      <vt:lpstr>ScenPB</vt:lpstr>
      <vt:lpstr>BusLoad</vt:lpstr>
      <vt:lpstr>LoadForeCurve</vt:lpstr>
      <vt:lpstr>LoadScenarioCurve</vt:lpstr>
      <vt:lpstr>WindForeCurve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2023-01-29T08:07:52Z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{440FD6F9-2C54-441D-B590-2951DD53DD0B}</vt:lpwstr>
  </property>
</Properties>
</file>