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37" documentId="13_ncr:1_{11A5D25A-4FFA-425D-A6AD-D47BD72DADF9}" xr6:coauthVersionLast="47" xr6:coauthVersionMax="47" xr10:uidLastSave="{14923C84-8F81-4E15-AE4C-77272D2E03A5}"/>
  <bookViews>
    <workbookView xWindow="-108" yWindow="-108" windowWidth="23256" windowHeight="12456" firstSheet="1" activeTab="2" xr2:uid="{00000000-000D-0000-FFFF-FFFF00000000}"/>
  </bookViews>
  <sheets>
    <sheet name="Readme" sheetId="14" r:id="rId1"/>
    <sheet name="Sheet2" sheetId="15" r:id="rId2"/>
    <sheet name="ControlPara" sheetId="2" r:id="rId3"/>
    <sheet name="Generator" sheetId="3" r:id="rId4"/>
    <sheet name="Wind" sheetId="4" r:id="rId5"/>
    <sheet name="Storage" sheetId="5" r:id="rId6"/>
    <sheet name="Line" sheetId="6" r:id="rId7"/>
    <sheet name="Line (4)" sheetId="22" r:id="rId8"/>
    <sheet name="Line (3)" sheetId="21" r:id="rId9"/>
    <sheet name="Line (2)" sheetId="20" r:id="rId10"/>
    <sheet name="Bus" sheetId="17" r:id="rId11"/>
    <sheet name="Scenario" sheetId="12" state="hidden" r:id="rId12"/>
    <sheet name="ScenPB" sheetId="13" state="hidden" r:id="rId13"/>
    <sheet name="BusLoad" sheetId="16" r:id="rId14"/>
    <sheet name="LoadForeCurve" sheetId="8" r:id="rId15"/>
    <sheet name="LoadScenarioCurve" sheetId="9" state="hidden" r:id="rId16"/>
    <sheet name="WindForeCurve" sheetId="10" r:id="rId17"/>
    <sheet name="LoadForeCurve (2)" sheetId="18" r:id="rId18"/>
    <sheet name="WindForeCurve (2)" sheetId="19" r:id="rId19"/>
    <sheet name="WindScenarioCurve" sheetId="11" state="hidden" r:id="rId20"/>
  </sheets>
  <definedNames>
    <definedName name="_xlnm._FilterDatabase" localSheetId="14" hidden="1">LoadForeCurve!$A$1:$Y$1</definedName>
    <definedName name="_xlnm._FilterDatabase" localSheetId="17" hidden="1">'LoadForeCurve (2)'!$A$1:$Y$1</definedName>
    <definedName name="_xlnm._FilterDatabase" localSheetId="15" hidden="1">LoadScenarioCurve!$A$1:$AA$13</definedName>
    <definedName name="_xlnm._FilterDatabase" localSheetId="16" hidden="1">WindForeCurve!$A$1:$Z$1</definedName>
    <definedName name="_xlnm._FilterDatabase" localSheetId="18" hidden="1">'WindForeCurve (2)'!$A$1:$Z$1</definedName>
    <definedName name="_xlnm._FilterDatabase" localSheetId="19" hidden="1">WindScenarioCurve!$A$1:$AA$2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9" i="22" l="1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7" i="22"/>
  <c r="G76" i="22"/>
  <c r="G75" i="22"/>
  <c r="G74" i="22"/>
  <c r="G73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7" i="22"/>
  <c r="G56" i="22"/>
  <c r="G55" i="22"/>
  <c r="G54" i="22"/>
  <c r="G53" i="22"/>
  <c r="G52" i="22"/>
  <c r="G51" i="22"/>
  <c r="G50" i="22"/>
  <c r="G49" i="22"/>
  <c r="G48" i="22"/>
  <c r="G47" i="22"/>
  <c r="G45" i="22"/>
  <c r="G43" i="22"/>
  <c r="G42" i="22"/>
  <c r="G41" i="22"/>
  <c r="G40" i="22"/>
  <c r="G39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9" i="22"/>
  <c r="G8" i="22"/>
  <c r="G7" i="22"/>
  <c r="G6" i="22"/>
  <c r="G5" i="22"/>
  <c r="G3" i="22"/>
  <c r="G2" i="22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4" i="8"/>
  <c r="G91" i="6"/>
  <c r="G57" i="6"/>
  <c r="G23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0" i="6"/>
  <c r="G89" i="6"/>
  <c r="G88" i="6"/>
  <c r="G87" i="6"/>
  <c r="G86" i="6"/>
  <c r="G85" i="6"/>
  <c r="G84" i="6"/>
  <c r="G83" i="6"/>
  <c r="G82" i="6"/>
  <c r="G81" i="6"/>
  <c r="G80" i="6"/>
  <c r="G79" i="6"/>
  <c r="G77" i="6"/>
  <c r="G76" i="6"/>
  <c r="G75" i="6"/>
  <c r="G74" i="6"/>
  <c r="G73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6" i="6"/>
  <c r="G55" i="6"/>
  <c r="G54" i="6"/>
  <c r="G53" i="6"/>
  <c r="G52" i="6"/>
  <c r="G51" i="6"/>
  <c r="G50" i="6"/>
  <c r="G49" i="6"/>
  <c r="G48" i="6"/>
  <c r="G47" i="6"/>
  <c r="G45" i="6"/>
  <c r="G43" i="6"/>
  <c r="G42" i="6"/>
  <c r="G41" i="6"/>
  <c r="G40" i="6"/>
  <c r="G39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2" i="6"/>
  <c r="G21" i="6"/>
  <c r="G20" i="6"/>
  <c r="G19" i="6"/>
  <c r="G18" i="6"/>
  <c r="G17" i="6"/>
  <c r="G16" i="6"/>
  <c r="G15" i="6"/>
  <c r="G14" i="6"/>
  <c r="G13" i="6"/>
  <c r="G12" i="6"/>
  <c r="G11" i="6"/>
  <c r="G9" i="6"/>
  <c r="G8" i="6"/>
  <c r="G7" i="6"/>
  <c r="G6" i="6"/>
  <c r="G5" i="6"/>
  <c r="G3" i="6"/>
  <c r="G2" i="6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7" i="21"/>
  <c r="G76" i="21"/>
  <c r="G75" i="21"/>
  <c r="G74" i="21"/>
  <c r="G73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3" i="21"/>
  <c r="G42" i="21"/>
  <c r="G41" i="21"/>
  <c r="G40" i="21"/>
  <c r="G39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9" i="21"/>
  <c r="G8" i="21"/>
  <c r="G7" i="21"/>
  <c r="G6" i="21"/>
  <c r="G5" i="21"/>
  <c r="G3" i="21"/>
  <c r="G2" i="21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78" i="14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J30" i="3"/>
  <c r="J23" i="3"/>
  <c r="J20" i="3"/>
  <c r="J13" i="3"/>
  <c r="J10" i="3"/>
  <c r="J3" i="3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</calcChain>
</file>

<file path=xl/sharedStrings.xml><?xml version="1.0" encoding="utf-8"?>
<sst xmlns="http://schemas.openxmlformats.org/spreadsheetml/2006/main" count="695" uniqueCount="466">
  <si>
    <t>DiscountRate</t>
    <phoneticPr fontId="1" type="noConversion"/>
  </si>
  <si>
    <t>GenNo</t>
    <phoneticPr fontId="1" type="noConversion"/>
  </si>
  <si>
    <t>GenName</t>
    <phoneticPr fontId="1" type="noConversion"/>
  </si>
  <si>
    <t>BUS</t>
    <phoneticPr fontId="1" type="noConversion"/>
  </si>
  <si>
    <t>g1</t>
    <phoneticPr fontId="1" type="noConversion"/>
  </si>
  <si>
    <t>w1</t>
    <phoneticPr fontId="1" type="noConversion"/>
  </si>
  <si>
    <t>MINSOC(%)</t>
    <phoneticPr fontId="1" type="noConversion"/>
  </si>
  <si>
    <t>MAXSOC(%)</t>
    <phoneticPr fontId="1" type="noConversion"/>
  </si>
  <si>
    <t>INISOC(%)</t>
    <phoneticPr fontId="1" type="noConversion"/>
  </si>
  <si>
    <t>Self_Discharge_Rate</t>
    <phoneticPr fontId="1" type="noConversion"/>
  </si>
  <si>
    <t>Energy_to_Power Ratio</t>
    <phoneticPr fontId="1" type="noConversion"/>
  </si>
  <si>
    <t>Charging_Efficiency(%)</t>
    <phoneticPr fontId="1" type="noConversion"/>
  </si>
  <si>
    <t>Discharging_Efficiency(%)</t>
    <phoneticPr fontId="1" type="noConversion"/>
  </si>
  <si>
    <t>s1</t>
    <phoneticPr fontId="1" type="noConversion"/>
  </si>
  <si>
    <t>LineNo</t>
    <phoneticPr fontId="1" type="noConversion"/>
  </si>
  <si>
    <t>Status</t>
    <phoneticPr fontId="1" type="noConversion"/>
  </si>
  <si>
    <t>NumMax</t>
  </si>
  <si>
    <t>FROM BUS</t>
    <phoneticPr fontId="1" type="noConversion"/>
  </si>
  <si>
    <t>TO BUS</t>
    <phoneticPr fontId="1" type="noConversion"/>
  </si>
  <si>
    <t>X(p.u.)</t>
    <phoneticPr fontId="1" type="noConversion"/>
  </si>
  <si>
    <t>Day</t>
    <phoneticPr fontId="1" type="noConversion"/>
  </si>
  <si>
    <t>T1</t>
    <phoneticPr fontId="5" type="noConversion"/>
  </si>
  <si>
    <t>T2</t>
    <phoneticPr fontId="5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</si>
  <si>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</si>
  <si>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</si>
  <si>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</si>
  <si>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</si>
  <si>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</si>
  <si>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</si>
  <si>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</si>
  <si>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</si>
  <si>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</si>
  <si>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</si>
  <si>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</si>
  <si>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</si>
  <si>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</si>
  <si>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</si>
  <si>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</si>
  <si>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</si>
  <si>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</si>
  <si>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</si>
  <si>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</si>
  <si>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</si>
  <si>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</si>
  <si>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</si>
  <si>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BUS</t>
    <phoneticPr fontId="5" type="noConversion"/>
  </si>
  <si>
    <t>Scenario</t>
    <phoneticPr fontId="1" type="noConversion"/>
  </si>
  <si>
    <t>T1(p.u.)</t>
    <phoneticPr fontId="5" type="noConversion"/>
  </si>
  <si>
    <t>T2(p.u.)</t>
  </si>
  <si>
    <t>T3(p.u.)</t>
  </si>
  <si>
    <t>T4(p.u.)</t>
  </si>
  <si>
    <t>T5(p.u.)</t>
  </si>
  <si>
    <t>T6(p.u.)</t>
  </si>
  <si>
    <t>T7(p.u.)</t>
  </si>
  <si>
    <t>T8(p.u.)</t>
  </si>
  <si>
    <t>T9(p.u.)</t>
  </si>
  <si>
    <t>T10(p.u.)</t>
  </si>
  <si>
    <t>T11(p.u.)</t>
  </si>
  <si>
    <t>T12(p.u.)</t>
  </si>
  <si>
    <t>T13(p.u.)</t>
  </si>
  <si>
    <t>T14(p.u.)</t>
  </si>
  <si>
    <t>T15(p.u.)</t>
  </si>
  <si>
    <t>T16(p.u.)</t>
  </si>
  <si>
    <t>T17(p.u.)</t>
  </si>
  <si>
    <t>T18(p.u.)</t>
  </si>
  <si>
    <t>T19(p.u.)</t>
  </si>
  <si>
    <t>T20(p.u.)</t>
  </si>
  <si>
    <t>T21(p.u.)</t>
  </si>
  <si>
    <t>T22(p.u.)</t>
  </si>
  <si>
    <t>T23(p.u.)</t>
  </si>
  <si>
    <t>T24(p.u.)</t>
  </si>
  <si>
    <t>w1</t>
  </si>
  <si>
    <t>Life(yr)</t>
    <phoneticPr fontId="1" type="noConversion"/>
  </si>
  <si>
    <t>Min Profit Recover Ratio Of REG-Storage</t>
    <phoneticPr fontId="1" type="noConversion"/>
  </si>
  <si>
    <t>Up Dev Penalty Ratio</t>
    <phoneticPr fontId="1" type="noConversion"/>
  </si>
  <si>
    <t>Down Dev Penalty Ratio</t>
    <phoneticPr fontId="1" type="noConversion"/>
  </si>
  <si>
    <t>Lower Ratio of Storage Capa</t>
    <phoneticPr fontId="1" type="noConversion"/>
  </si>
  <si>
    <t>Upper Ratio of Storage Capa</t>
    <phoneticPr fontId="1" type="noConversion"/>
  </si>
  <si>
    <t>REG-Storage Investment Budget(k$)</t>
    <phoneticPr fontId="1" type="noConversion"/>
  </si>
  <si>
    <t>Line Investment Budget(k$)</t>
    <phoneticPr fontId="1" type="noConversion"/>
  </si>
  <si>
    <t>g4</t>
  </si>
  <si>
    <t>g6</t>
  </si>
  <si>
    <t>g7</t>
  </si>
  <si>
    <t>g8</t>
  </si>
  <si>
    <t>g9</t>
  </si>
  <si>
    <t>Investment COST(k$)</t>
    <phoneticPr fontId="1" type="noConversion"/>
  </si>
  <si>
    <t>T1.wind</t>
  </si>
  <si>
    <t>T2.wind</t>
  </si>
  <si>
    <t>T3.wind</t>
  </si>
  <si>
    <t>T4.wind</t>
  </si>
  <si>
    <t>T5.wind</t>
  </si>
  <si>
    <t>T6.wind</t>
  </si>
  <si>
    <t>T7.wind</t>
  </si>
  <si>
    <t>T8.wind</t>
  </si>
  <si>
    <t>T9.wind</t>
  </si>
  <si>
    <t>T10.wind</t>
  </si>
  <si>
    <t>T11.wind</t>
  </si>
  <si>
    <t>T12.wind</t>
  </si>
  <si>
    <t>T13.wind</t>
  </si>
  <si>
    <t>T14.wind</t>
  </si>
  <si>
    <t>T15.wind</t>
  </si>
  <si>
    <t>T16.wind</t>
  </si>
  <si>
    <t>T17.wind</t>
  </si>
  <si>
    <t>T18.wind</t>
  </si>
  <si>
    <t>T19.wind</t>
  </si>
  <si>
    <t>T20.wind</t>
  </si>
  <si>
    <t>T21.wind</t>
  </si>
  <si>
    <t>T22.wind</t>
  </si>
  <si>
    <t>T23.wind</t>
  </si>
  <si>
    <t>T24.wind</t>
  </si>
  <si>
    <t>T1.load</t>
  </si>
  <si>
    <t>T2.load</t>
  </si>
  <si>
    <t>T3.load</t>
  </si>
  <si>
    <t>T4.load</t>
  </si>
  <si>
    <t>T5.load</t>
  </si>
  <si>
    <t>T6.load</t>
  </si>
  <si>
    <t>T7.load</t>
  </si>
  <si>
    <t>T8.load</t>
  </si>
  <si>
    <t>T9.load</t>
  </si>
  <si>
    <t>T10.load</t>
  </si>
  <si>
    <t>T11.load</t>
  </si>
  <si>
    <t>T12.load</t>
  </si>
  <si>
    <t>T13.load</t>
  </si>
  <si>
    <t>T14.load</t>
  </si>
  <si>
    <t>T15.load</t>
  </si>
  <si>
    <t>T16.load</t>
  </si>
  <si>
    <t>T17.load</t>
  </si>
  <si>
    <t>T18.load</t>
  </si>
  <si>
    <t>T19.load</t>
  </si>
  <si>
    <t>T20.load</t>
  </si>
  <si>
    <t>T21.load</t>
  </si>
  <si>
    <t>T22.load</t>
  </si>
  <si>
    <t>T23.load</t>
  </si>
  <si>
    <t>T24.load</t>
  </si>
  <si>
    <t>S1.Bus1</t>
  </si>
  <si>
    <t>S1.Bus2</t>
  </si>
  <si>
    <t>S1.Bus3</t>
  </si>
  <si>
    <t>S1.Bus4</t>
  </si>
  <si>
    <t>S1.Bus5</t>
  </si>
  <si>
    <t>S1.Bus6</t>
  </si>
  <si>
    <t>S1.Bus7</t>
  </si>
  <si>
    <t>S1.Bus8</t>
  </si>
  <si>
    <t>S1.Bus9</t>
  </si>
  <si>
    <t>S1.Bus10</t>
  </si>
  <si>
    <t>S1.Bus11</t>
  </si>
  <si>
    <t>S1.Bus12</t>
  </si>
  <si>
    <t>S1.Bus13</t>
  </si>
  <si>
    <t>S1.Bus14</t>
  </si>
  <si>
    <t>S1.Bus15</t>
  </si>
  <si>
    <t>S1.Bus16</t>
  </si>
  <si>
    <t>S1.Bus17</t>
  </si>
  <si>
    <t>S1.Bus18</t>
  </si>
  <si>
    <t>S1.Bus19</t>
  </si>
  <si>
    <t>S1.Bus20</t>
  </si>
  <si>
    <t>S1.Bus21</t>
  </si>
  <si>
    <t>S1.Bus22</t>
  </si>
  <si>
    <t>S1.Bus23</t>
  </si>
  <si>
    <t>S1.Bus24</t>
  </si>
  <si>
    <t>S1.Bus25</t>
  </si>
  <si>
    <t>S1.Bus26</t>
  </si>
  <si>
    <t>S1.Bus27</t>
  </si>
  <si>
    <t>S4.Bus1</t>
  </si>
  <si>
    <t>S4.Bus2</t>
  </si>
  <si>
    <t>S4.Bus3</t>
  </si>
  <si>
    <t>S4.Bus4</t>
  </si>
  <si>
    <t>S4.Bus5</t>
  </si>
  <si>
    <t>S4.Bus6</t>
  </si>
  <si>
    <t>S4.Bus7</t>
  </si>
  <si>
    <t>S4.Bus8</t>
  </si>
  <si>
    <t>S4.Bus9</t>
  </si>
  <si>
    <t>S4.Bus10</t>
  </si>
  <si>
    <t>S4.Bus11</t>
  </si>
  <si>
    <t>S4.Bus12</t>
  </si>
  <si>
    <t>S4.Bus13</t>
  </si>
  <si>
    <t>S4.Bus14</t>
  </si>
  <si>
    <t>S4.Bus15</t>
  </si>
  <si>
    <t>S4.Bus16</t>
  </si>
  <si>
    <t>S4.Bus17</t>
  </si>
  <si>
    <t>S4.Bus18</t>
  </si>
  <si>
    <t>S4.Bus19</t>
  </si>
  <si>
    <t>S4.Bus20</t>
  </si>
  <si>
    <t>S4.Bus21</t>
  </si>
  <si>
    <t>S4.Bus22</t>
  </si>
  <si>
    <t>S4.Bus23</t>
  </si>
  <si>
    <t>S4.Bus24</t>
  </si>
  <si>
    <t>S4.Bus25</t>
  </si>
  <si>
    <t>S4.Bus26</t>
  </si>
  <si>
    <t>S4.Bus27</t>
  </si>
  <si>
    <t>S17.Bus1</t>
  </si>
  <si>
    <t>S17.Bus2</t>
  </si>
  <si>
    <t>S17.Bus3</t>
  </si>
  <si>
    <t>S17.Bus4</t>
  </si>
  <si>
    <t>S17.Bus5</t>
  </si>
  <si>
    <t>S17.Bus6</t>
  </si>
  <si>
    <t>S17.Bus7</t>
  </si>
  <si>
    <t>S17.Bus8</t>
  </si>
  <si>
    <t>S17.Bus9</t>
  </si>
  <si>
    <t>S17.Bus10</t>
  </si>
  <si>
    <t>S17.Bus11</t>
  </si>
  <si>
    <t>S17.Bus12</t>
  </si>
  <si>
    <t>S17.Bus13</t>
  </si>
  <si>
    <t>S17.Bus14</t>
  </si>
  <si>
    <t>S17.Bus15</t>
  </si>
  <si>
    <t>S17.Bus16</t>
  </si>
  <si>
    <t>S17.Bus17</t>
  </si>
  <si>
    <t>S17.Bus18</t>
  </si>
  <si>
    <t>S17.Bus19</t>
  </si>
  <si>
    <t>S17.Bus20</t>
  </si>
  <si>
    <t>S17.Bus21</t>
  </si>
  <si>
    <t>S17.Bus22</t>
  </si>
  <si>
    <t>S17.Bus23</t>
  </si>
  <si>
    <t>S17.Bus24</t>
  </si>
  <si>
    <t>S17.Bus25</t>
  </si>
  <si>
    <t>S17.Bus26</t>
  </si>
  <si>
    <t>S17.Bus27</t>
  </si>
  <si>
    <t>S37.Bus1</t>
  </si>
  <si>
    <t>S37.Bus2</t>
  </si>
  <si>
    <t>S37.Bus3</t>
  </si>
  <si>
    <t>S37.Bus4</t>
  </si>
  <si>
    <t>S37.Bus5</t>
  </si>
  <si>
    <t>S37.Bus6</t>
  </si>
  <si>
    <t>S37.Bus7</t>
  </si>
  <si>
    <t>S37.Bus8</t>
  </si>
  <si>
    <t>S37.Bus9</t>
  </si>
  <si>
    <t>S37.Bus10</t>
  </si>
  <si>
    <t>S37.Bus11</t>
  </si>
  <si>
    <t>S37.Bus12</t>
  </si>
  <si>
    <t>S37.Bus13</t>
  </si>
  <si>
    <t>S37.Bus14</t>
  </si>
  <si>
    <t>S37.Bus15</t>
  </si>
  <si>
    <t>S37.Bus16</t>
  </si>
  <si>
    <t>S37.Bus17</t>
  </si>
  <si>
    <t>S37.Bus18</t>
  </si>
  <si>
    <t>S37.Bus19</t>
  </si>
  <si>
    <t>S37.Bus20</t>
  </si>
  <si>
    <t>S37.Bus21</t>
  </si>
  <si>
    <t>S37.Bus22</t>
  </si>
  <si>
    <t>S37.Bus23</t>
  </si>
  <si>
    <t>S37.Bus24</t>
  </si>
  <si>
    <t>S37.Bus25</t>
  </si>
  <si>
    <t>S37.Bus26</t>
  </si>
  <si>
    <t>S37.Bus27</t>
  </si>
  <si>
    <t>S38.Bus1</t>
  </si>
  <si>
    <t>S38.Bus2</t>
  </si>
  <si>
    <t>S38.Bus3</t>
  </si>
  <si>
    <t>S38.Bus4</t>
  </si>
  <si>
    <t>S38.Bus5</t>
  </si>
  <si>
    <t>S38.Bus6</t>
  </si>
  <si>
    <t>S38.Bus7</t>
  </si>
  <si>
    <t>S38.Bus8</t>
  </si>
  <si>
    <t>S38.Bus9</t>
  </si>
  <si>
    <t>S38.Bus10</t>
  </si>
  <si>
    <t>S38.Bus11</t>
  </si>
  <si>
    <t>S38.Bus12</t>
  </si>
  <si>
    <t>S38.Bus13</t>
  </si>
  <si>
    <t>S38.Bus14</t>
  </si>
  <si>
    <t>S38.Bus15</t>
  </si>
  <si>
    <t>S38.Bus16</t>
  </si>
  <si>
    <t>S38.Bus17</t>
  </si>
  <si>
    <t>S38.Bus18</t>
  </si>
  <si>
    <t>S38.Bus19</t>
  </si>
  <si>
    <t>S38.Bus20</t>
  </si>
  <si>
    <t>S38.Bus21</t>
  </si>
  <si>
    <t>S38.Bus22</t>
  </si>
  <si>
    <t>S38.Bus23</t>
  </si>
  <si>
    <t>S38.Bus24</t>
  </si>
  <si>
    <t>S38.Bus25</t>
  </si>
  <si>
    <t>S38.Bus26</t>
  </si>
  <si>
    <t>S38.Bus27</t>
  </si>
  <si>
    <t>S1</t>
  </si>
  <si>
    <t>S4</t>
  </si>
  <si>
    <t>S17</t>
  </si>
  <si>
    <t>S37</t>
  </si>
  <si>
    <t>S38</t>
  </si>
  <si>
    <t>Max_Num</t>
    <phoneticPr fontId="1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</si>
  <si>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先列完典型日，再列完场景序号，再列完节点</t>
    </r>
    <phoneticPr fontId="13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</si>
  <si>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先列完典型日，再列完风电机组</t>
    </r>
    <phoneticPr fontId="13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</si>
  <si>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先列完典型日，再列完场景序号，再列完风电机组</t>
    </r>
    <phoneticPr fontId="13" type="noConversion"/>
  </si>
  <si>
    <t>%机组数据来自李昀昊师兄第五章</t>
    <phoneticPr fontId="1" type="noConversion"/>
  </si>
  <si>
    <t>%风电数据来自Luis</t>
    <phoneticPr fontId="1" type="noConversion"/>
  </si>
  <si>
    <t>%https://backend.orbit.dtu.dk/ws/portalfiles/portal/120568114/An_Updated_Version_of_the_IEEE_RTS_24Bus_System_for_Electricty_Market_an....pdf</t>
    <phoneticPr fontId="1" type="noConversion"/>
  </si>
  <si>
    <t>%更新的数据来自</t>
    <phoneticPr fontId="1" type="noConversion"/>
  </si>
  <si>
    <t>Node</t>
  </si>
  <si>
    <t>Unit#</t>
  </si>
  <si>
    <t>Pmaxi(MW)</t>
  </si>
  <si>
    <t>Pmini(MW)</t>
  </si>
  <si>
    <t>R+i(MW)</t>
  </si>
  <si>
    <t>R−i(MW)</t>
  </si>
  <si>
    <t>RUi(MW/h)</t>
  </si>
  <si>
    <t>RDi(MW/h)</t>
  </si>
  <si>
    <t>UT(h)</t>
  </si>
  <si>
    <t>DT(h)</t>
  </si>
  <si>
    <t>Table 1: Technical Data of Generating Units</t>
  </si>
  <si>
    <t>Table 2: Costs and Initial State of Generating Units</t>
  </si>
  <si>
    <t>Ci($/MWh)</t>
  </si>
  <si>
    <t>Cui($/MWh)</t>
  </si>
  <si>
    <t>Cdi($/MWh)</t>
  </si>
  <si>
    <t>C+i($/MWh)</t>
  </si>
  <si>
    <t>C-i($/MWh)</t>
  </si>
  <si>
    <t>Csui($)</t>
  </si>
  <si>
    <t>Pinii(MW)</t>
  </si>
  <si>
    <t>Uinii(0/1)</t>
  </si>
  <si>
    <t>Tinii(h)</t>
  </si>
  <si>
    <t>Table 3: Load Profile</t>
  </si>
  <si>
    <t>Hour</t>
  </si>
  <si>
    <t>System demand(MW)</t>
    <phoneticPr fontId="1" type="noConversion"/>
  </si>
  <si>
    <t>Table 4: Node Location and Distribution of the Total System Demand</t>
  </si>
  <si>
    <t>Load#</t>
    <phoneticPr fontId="1" type="noConversion"/>
  </si>
  <si>
    <t>%ofsystemload</t>
  </si>
  <si>
    <t>Table 5: Reactance and Capacity of Transmission Lines</t>
  </si>
  <si>
    <t>From</t>
  </si>
  <si>
    <t>To</t>
  </si>
  <si>
    <t>Reactance(p.u.)</t>
    <phoneticPr fontId="1" type="noConversion"/>
  </si>
  <si>
    <t>Capacity(MVA)</t>
    <phoneticPr fontId="1" type="noConversion"/>
  </si>
  <si>
    <t>wind farms nodes</t>
    <phoneticPr fontId="1" type="noConversion"/>
  </si>
  <si>
    <t>reduced capacity transmission lines</t>
    <phoneticPr fontId="1" type="noConversion"/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</si>
  <si>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</si>
  <si>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</si>
  <si>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</si>
  <si>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</si>
  <si>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</si>
  <si>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</si>
  <si>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</si>
  <si>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</si>
  <si>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</si>
  <si>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</si>
  <si>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</si>
  <si>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</si>
  <si>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</si>
  <si>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</si>
  <si>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</si>
  <si>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</si>
  <si>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</si>
  <si>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</si>
  <si>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</si>
  <si>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</si>
  <si>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</si>
  <si>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</si>
  <si>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</si>
  <si>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</si>
  <si>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</si>
  <si>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</si>
  <si>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</si>
  <si>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</si>
  <si>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</si>
  <si>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</si>
  <si>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</si>
  <si>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</si>
  <si>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</si>
  <si>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</si>
  <si>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</si>
  <si>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</si>
  <si>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</si>
  <si>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</si>
  <si>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</si>
  <si>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</si>
  <si>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</si>
  <si>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</si>
  <si>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</si>
  <si>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</si>
  <si>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</si>
  <si>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</si>
  <si>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</si>
  <si>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</si>
  <si>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</si>
  <si>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</si>
  <si>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</si>
  <si>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</si>
  <si>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</si>
  <si>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</si>
  <si>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</si>
  <si>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</si>
  <si>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</si>
  <si>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</si>
  <si>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</si>
  <si>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</si>
  <si>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</si>
  <si>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</si>
  <si>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</si>
  <si>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</si>
  <si>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</si>
  <si>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</si>
  <si>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</si>
  <si>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</si>
  <si>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</si>
  <si>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</si>
  <si>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</si>
  <si>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</si>
  <si>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</si>
  <si>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</si>
  <si>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</si>
  <si>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</si>
  <si>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</si>
  <si>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</si>
  <si>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</si>
  <si>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</si>
  <si>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</si>
  <si>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</si>
  <si>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</si>
  <si>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</si>
  <si>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</si>
  <si>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</si>
  <si>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</si>
  <si>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</si>
  <si>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</si>
  <si>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</si>
  <si>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</si>
  <si>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</si>
  <si>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</si>
  <si>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</si>
  <si>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</si>
  <si>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</si>
  <si>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</si>
  <si>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</si>
  <si>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</si>
  <si>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</si>
  <si>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END</t>
  </si>
  <si>
    <t>peakload_or_%ofsystemload</t>
    <phoneticPr fontId="1" type="noConversion"/>
  </si>
  <si>
    <r>
      <t>%</t>
    </r>
    <r>
      <rPr>
        <sz val="11"/>
        <color rgb="FF000000"/>
        <rFont val="等线"/>
        <family val="2"/>
        <charset val="134"/>
      </rPr>
      <t>先列完典型日，再列总负荷</t>
    </r>
    <r>
      <rPr>
        <sz val="11"/>
        <color theme="1"/>
        <rFont val="等线"/>
        <family val="2"/>
        <scheme val="minor"/>
      </rPr>
      <t>标幺值或者有名值</t>
    </r>
    <phoneticPr fontId="13" type="noConversion"/>
  </si>
  <si>
    <t>#Bus</t>
    <phoneticPr fontId="1" type="noConversion"/>
  </si>
  <si>
    <t>%更新数据来自DTU-2016</t>
    <phoneticPr fontId="1" type="noConversion"/>
  </si>
  <si>
    <t>%燃料价格在DTU-2016的数据上乘以6</t>
    <phoneticPr fontId="1" type="noConversion"/>
  </si>
  <si>
    <t>Load-Shedding Cost(k$/100MW)</t>
    <phoneticPr fontId="1" type="noConversion"/>
  </si>
  <si>
    <t>PMAX(100MW)</t>
    <phoneticPr fontId="1" type="noConversion"/>
  </si>
  <si>
    <t>PMIN(100MW)</t>
    <phoneticPr fontId="1" type="noConversion"/>
  </si>
  <si>
    <t>RampingUp(100MW/h)</t>
    <phoneticPr fontId="1" type="noConversion"/>
  </si>
  <si>
    <t>RampingDown(100MW/h)</t>
    <phoneticPr fontId="1" type="noConversion"/>
  </si>
  <si>
    <t>MaxReserUp(100MW)</t>
    <phoneticPr fontId="1" type="noConversion"/>
  </si>
  <si>
    <t>MaxReserDown(100MW)</t>
    <phoneticPr fontId="1" type="noConversion"/>
  </si>
  <si>
    <t>FuelCost(k$/100MWh)</t>
    <phoneticPr fontId="1" type="noConversion"/>
  </si>
  <si>
    <t>CReserveUp(k$/100MW)</t>
    <phoneticPr fontId="1" type="noConversion"/>
  </si>
  <si>
    <t>CReserveDown(k$/100MW)</t>
    <phoneticPr fontId="1" type="noConversion"/>
  </si>
  <si>
    <t>CRampingUp(k$/100MW)</t>
    <phoneticPr fontId="1" type="noConversion"/>
  </si>
  <si>
    <t>CRampingDown(k$/100MW)</t>
    <phoneticPr fontId="1" type="noConversion"/>
  </si>
  <si>
    <t>Marginal Operation Cost(k$/100MWh)</t>
    <phoneticPr fontId="1" type="noConversion"/>
  </si>
  <si>
    <t>Investment COST(k$/100MW)</t>
    <phoneticPr fontId="1" type="noConversion"/>
  </si>
  <si>
    <t>EMAX(100MWh)</t>
    <phoneticPr fontId="1" type="noConversion"/>
  </si>
  <si>
    <t>Marginal Charge Cost(k$/100MWh)</t>
    <phoneticPr fontId="1" type="noConversion"/>
  </si>
  <si>
    <t>Marginal Discharge Cost(k$/100MWh)</t>
    <phoneticPr fontId="1" type="noConversion"/>
  </si>
  <si>
    <t>Investment COST OF POWER(k$/100MW)</t>
    <phoneticPr fontId="1" type="noConversion"/>
  </si>
  <si>
    <t>Investment COST OF ENERGY(k$/100MWh)</t>
    <phoneticPr fontId="1" type="noConversion"/>
  </si>
  <si>
    <t>LMAX(100MW)</t>
    <phoneticPr fontId="1" type="noConversion"/>
  </si>
  <si>
    <t>w2</t>
    <phoneticPr fontId="1" type="noConversion"/>
  </si>
  <si>
    <t>w3</t>
    <phoneticPr fontId="1" type="noConversion"/>
  </si>
  <si>
    <t>g2</t>
  </si>
  <si>
    <t>g3</t>
  </si>
  <si>
    <t>g56</t>
    <phoneticPr fontId="1" type="noConversion"/>
  </si>
  <si>
    <t>g1011</t>
    <phoneticPr fontId="1" type="noConversion"/>
  </si>
  <si>
    <t>No.</t>
  </si>
  <si>
    <t>Yes</t>
  </si>
  <si>
    <t>No</t>
  </si>
  <si>
    <t>From bus</t>
    <phoneticPr fontId="1" type="noConversion"/>
  </si>
  <si>
    <t>To bus</t>
    <phoneticPr fontId="1" type="noConversion"/>
  </si>
  <si>
    <t>Length(mile)</t>
    <phoneticPr fontId="1" type="noConversion"/>
  </si>
  <si>
    <t>Tie line?</t>
    <phoneticPr fontId="1" type="noConversion"/>
  </si>
  <si>
    <t>对应三区域节点编号</t>
    <phoneticPr fontId="1" type="noConversion"/>
  </si>
  <si>
    <t>%按照卓振宇文章，把同一走廊线路合并，并把原线路容量减小到原来的60%</t>
    <phoneticPr fontId="1" type="noConversion"/>
  </si>
  <si>
    <t>%按照丹麦的算例设置，把15-21，14-16，13-23减小到400，250，250</t>
    <phoneticPr fontId="1" type="noConversion"/>
  </si>
  <si>
    <t>%三个区域负荷不一样，1不变，2为1.08，3为0.92</t>
    <phoneticPr fontId="1" type="noConversion"/>
  </si>
  <si>
    <t>To</t>
    <phoneticPr fontId="1" type="noConversion"/>
  </si>
  <si>
    <t>Capacity (MVA)</t>
    <phoneticPr fontId="1" type="noConversion"/>
  </si>
  <si>
    <t>Capacity (p.u.)</t>
    <phoneticPr fontId="1" type="noConversion"/>
  </si>
  <si>
    <t>%按照卓振宇文章，把同一走廊线路合并，并把原线路容量减小到原来的70%</t>
    <phoneticPr fontId="1" type="noConversion"/>
  </si>
  <si>
    <t>%按照卓振宇文章，把同一走廊线路合并，并把原线路容量减小到原来的75%</t>
    <phoneticPr fontId="1" type="noConversion"/>
  </si>
  <si>
    <t>%尝试风电投产价格差异化</t>
    <phoneticPr fontId="1" type="noConversion"/>
  </si>
  <si>
    <t>%20220517-运行无储能的算例时，如果使用和有储能时一样的投资上限，则迭代5次但结果不对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</si>
</sst>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0"/>
    <numFmt numFmtId="178" formatCode="0.000"/>
    <numFmt numFmtId="179" formatCode="0.00000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.5"/>
      <color theme="1"/>
      <name val="Times New Roman"/>
      <family val="1"/>
    </font>
    <font>
      <sz val="12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等线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0"/>
      <color rgb="FF333333"/>
      <name val="微软雅黑"/>
      <family val="2"/>
      <charset val="134"/>
    </font>
    <font>
      <sz val="11"/>
      <color rgb="FF000000"/>
      <name val="等线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14" fillId="0" borderId="0" xfId="0" applyFont="1"/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0" xfId="0" applyFont="1"/>
    <xf numFmtId="2" fontId="8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/>
    </xf>
    <xf numFmtId="2" fontId="4" fillId="2" borderId="7" xfId="0" applyNumberFormat="1" applyFont="1" applyFill="1" applyBorder="1" applyAlignment="1">
      <alignment horizontal="center" vertical="center"/>
    </xf>
    <xf numFmtId="177" fontId="8" fillId="2" borderId="5" xfId="0" applyNumberFormat="1" applyFont="1" applyFill="1" applyBorder="1" applyAlignment="1">
      <alignment horizontal="center" vertical="center" wrapText="1"/>
    </xf>
    <xf numFmtId="177" fontId="4" fillId="2" borderId="5" xfId="0" applyNumberFormat="1" applyFont="1" applyFill="1" applyBorder="1" applyAlignment="1">
      <alignment horizontal="center" vertical="center"/>
    </xf>
    <xf numFmtId="177" fontId="10" fillId="2" borderId="5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7" fontId="0" fillId="0" borderId="0" xfId="0" applyNumberFormat="1"/>
    <xf numFmtId="179" fontId="4" fillId="0" borderId="0" xfId="0" applyNumberFormat="1" applyFont="1" applyAlignment="1">
      <alignment horizontal="center" vertical="center"/>
    </xf>
    <xf numFmtId="176" fontId="11" fillId="2" borderId="0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78" fontId="16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 2" xfId="2" xr:uid="{00000000-0005-0000-0000-000001000000}"/>
    <cellStyle name="常规_Sheet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'WindForeCurve (2)'!$C$2:$Z$2</c:f>
              <c:numCache>
                <c:formatCode>0.0000</c:formatCode>
                <c:ptCount val="24"/>
                <c:pt idx="0">
                  <c:v>0.28865454545454589</c:v>
                </c:pt>
                <c:pt idx="1">
                  <c:v>0.31003636363636328</c:v>
                </c:pt>
                <c:pt idx="2">
                  <c:v>0.43298181818181836</c:v>
                </c:pt>
                <c:pt idx="3">
                  <c:v>0.44901818181818165</c:v>
                </c:pt>
                <c:pt idx="4">
                  <c:v>0.49178181818181838</c:v>
                </c:pt>
                <c:pt idx="5">
                  <c:v>0.46505454545454589</c:v>
                </c:pt>
                <c:pt idx="6">
                  <c:v>0.44901818181818165</c:v>
                </c:pt>
                <c:pt idx="7">
                  <c:v>0.48109090909090918</c:v>
                </c:pt>
                <c:pt idx="8">
                  <c:v>0.39021818181818163</c:v>
                </c:pt>
                <c:pt idx="9">
                  <c:v>0.34210909090909081</c:v>
                </c:pt>
                <c:pt idx="10">
                  <c:v>0.32072727272727247</c:v>
                </c:pt>
                <c:pt idx="11">
                  <c:v>0.32072727272727247</c:v>
                </c:pt>
                <c:pt idx="12">
                  <c:v>0.29399999999999998</c:v>
                </c:pt>
                <c:pt idx="13">
                  <c:v>0.25123636363636331</c:v>
                </c:pt>
                <c:pt idx="14">
                  <c:v>0.19243636363636327</c:v>
                </c:pt>
                <c:pt idx="15">
                  <c:v>0.20312727272727246</c:v>
                </c:pt>
                <c:pt idx="16">
                  <c:v>0.13898181818181837</c:v>
                </c:pt>
                <c:pt idx="17">
                  <c:v>0.1122545454545459</c:v>
                </c:pt>
                <c:pt idx="18">
                  <c:v>0.1176</c:v>
                </c:pt>
                <c:pt idx="19">
                  <c:v>0.14432727272727247</c:v>
                </c:pt>
                <c:pt idx="20">
                  <c:v>0.23519999999999999</c:v>
                </c:pt>
                <c:pt idx="21">
                  <c:v>0.24589090909090919</c:v>
                </c:pt>
                <c:pt idx="22">
                  <c:v>0.32072727272727247</c:v>
                </c:pt>
                <c:pt idx="23">
                  <c:v>0.3688363636363633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B-4546-9F9C-59D2841C037E}"/>
            </c:ext>
          </c:extLst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'WindForeCurve (2)'!$C$7:$Z$7</c:f>
              <c:numCache>
                <c:formatCode>0.0000</c:formatCode>
                <c:ptCount val="24"/>
                <c:pt idx="0">
                  <c:v>0.130909090909091</c:v>
                </c:pt>
                <c:pt idx="1">
                  <c:v>0.39818181818181803</c:v>
                </c:pt>
                <c:pt idx="2">
                  <c:v>0.441818181818182</c:v>
                </c:pt>
                <c:pt idx="3">
                  <c:v>0.45272727272727298</c:v>
                </c:pt>
                <c:pt idx="4">
                  <c:v>0.45272727272727298</c:v>
                </c:pt>
                <c:pt idx="5">
                  <c:v>0.44727272727272699</c:v>
                </c:pt>
                <c:pt idx="6">
                  <c:v>0.37636363636363601</c:v>
                </c:pt>
                <c:pt idx="7">
                  <c:v>0.38727272727272699</c:v>
                </c:pt>
                <c:pt idx="8">
                  <c:v>0.42545454545454497</c:v>
                </c:pt>
                <c:pt idx="9">
                  <c:v>0.41454545454545499</c:v>
                </c:pt>
                <c:pt idx="10">
                  <c:v>0.42545454545454497</c:v>
                </c:pt>
                <c:pt idx="11">
                  <c:v>0.32727272727272699</c:v>
                </c:pt>
                <c:pt idx="12">
                  <c:v>0.27272727272727298</c:v>
                </c:pt>
                <c:pt idx="13">
                  <c:v>0.321818181818182</c:v>
                </c:pt>
                <c:pt idx="14">
                  <c:v>0.267272727272727</c:v>
                </c:pt>
                <c:pt idx="15">
                  <c:v>0.25090909090909103</c:v>
                </c:pt>
                <c:pt idx="16">
                  <c:v>0.267272727272727</c:v>
                </c:pt>
                <c:pt idx="17">
                  <c:v>0.22363636363636399</c:v>
                </c:pt>
                <c:pt idx="18">
                  <c:v>0.15818181818181801</c:v>
                </c:pt>
                <c:pt idx="19">
                  <c:v>0.24</c:v>
                </c:pt>
                <c:pt idx="20">
                  <c:v>0.24545454545454501</c:v>
                </c:pt>
                <c:pt idx="21">
                  <c:v>0.28363636363636402</c:v>
                </c:pt>
                <c:pt idx="22">
                  <c:v>0.28363636363636402</c:v>
                </c:pt>
                <c:pt idx="23">
                  <c:v>0.234545454545455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B-4546-9F9C-59D2841C037E}"/>
            </c:ext>
          </c:extLst>
        </c:ser>
        <c:ser>
          <c:idx val="6"/>
          <c:order val="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'WindForeCurve (2)'!$C$8:$Z$8</c:f>
              <c:numCache>
                <c:formatCode>0.0000</c:formatCode>
                <c:ptCount val="24"/>
                <c:pt idx="0">
                  <c:v>0.34210909090909064</c:v>
                </c:pt>
                <c:pt idx="1">
                  <c:v>0.38059636363636329</c:v>
                </c:pt>
                <c:pt idx="2">
                  <c:v>0.38059636363636329</c:v>
                </c:pt>
                <c:pt idx="3">
                  <c:v>0.38059636363636329</c:v>
                </c:pt>
                <c:pt idx="4">
                  <c:v>0.37204363636363669</c:v>
                </c:pt>
                <c:pt idx="5">
                  <c:v>0.39770181818181799</c:v>
                </c:pt>
                <c:pt idx="6">
                  <c:v>0.42763636363636326</c:v>
                </c:pt>
                <c:pt idx="7">
                  <c:v>0.42336000000000007</c:v>
                </c:pt>
                <c:pt idx="8">
                  <c:v>0.36776727272727266</c:v>
                </c:pt>
                <c:pt idx="9">
                  <c:v>0.35066181818181796</c:v>
                </c:pt>
                <c:pt idx="10">
                  <c:v>0.27796363636363675</c:v>
                </c:pt>
                <c:pt idx="11">
                  <c:v>0.28223999999999999</c:v>
                </c:pt>
                <c:pt idx="12">
                  <c:v>0.1753309090909094</c:v>
                </c:pt>
                <c:pt idx="13">
                  <c:v>0.18388363636363672</c:v>
                </c:pt>
                <c:pt idx="14">
                  <c:v>0.23947636363636404</c:v>
                </c:pt>
                <c:pt idx="15">
                  <c:v>0.22664727272727267</c:v>
                </c:pt>
                <c:pt idx="16">
                  <c:v>0.20954181818181797</c:v>
                </c:pt>
                <c:pt idx="17">
                  <c:v>0.15822545454545472</c:v>
                </c:pt>
                <c:pt idx="18">
                  <c:v>0.13256727272727264</c:v>
                </c:pt>
                <c:pt idx="19">
                  <c:v>0.16677818181818205</c:v>
                </c:pt>
                <c:pt idx="20">
                  <c:v>0.25230545454545467</c:v>
                </c:pt>
                <c:pt idx="21">
                  <c:v>0.29934545454545475</c:v>
                </c:pt>
                <c:pt idx="22">
                  <c:v>0.27796363636363675</c:v>
                </c:pt>
                <c:pt idx="23">
                  <c:v>0.26513454545454529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8B-4546-9F9C-59D2841C037E}"/>
            </c:ext>
          </c:extLst>
        </c:ser>
        <c:ser>
          <c:idx val="7"/>
          <c:order val="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'WindForeCurve (2)'!$C$9:$Z$9</c:f>
              <c:numCache>
                <c:formatCode>0.0000</c:formatCode>
                <c:ptCount val="24"/>
                <c:pt idx="0">
                  <c:v>0.294545454545455</c:v>
                </c:pt>
                <c:pt idx="1">
                  <c:v>0.40363636363636402</c:v>
                </c:pt>
                <c:pt idx="2">
                  <c:v>0.39272727272727298</c:v>
                </c:pt>
                <c:pt idx="3">
                  <c:v>0.39818181818181803</c:v>
                </c:pt>
                <c:pt idx="4">
                  <c:v>0.43636363636363601</c:v>
                </c:pt>
                <c:pt idx="5">
                  <c:v>0.44727272727272699</c:v>
                </c:pt>
                <c:pt idx="6">
                  <c:v>0.37636363636363601</c:v>
                </c:pt>
                <c:pt idx="7">
                  <c:v>0.33272727272727298</c:v>
                </c:pt>
                <c:pt idx="8">
                  <c:v>0.37090909090909102</c:v>
                </c:pt>
                <c:pt idx="9">
                  <c:v>0.39272727272727298</c:v>
                </c:pt>
                <c:pt idx="10">
                  <c:v>0.40909090909090901</c:v>
                </c:pt>
                <c:pt idx="11">
                  <c:v>0.39272727272727298</c:v>
                </c:pt>
                <c:pt idx="12">
                  <c:v>0.37636363636363601</c:v>
                </c:pt>
                <c:pt idx="13">
                  <c:v>0.33818181818181797</c:v>
                </c:pt>
                <c:pt idx="14">
                  <c:v>0.32727272727272699</c:v>
                </c:pt>
                <c:pt idx="15">
                  <c:v>0.3</c:v>
                </c:pt>
                <c:pt idx="16">
                  <c:v>0.24</c:v>
                </c:pt>
                <c:pt idx="17">
                  <c:v>0.190909090909091</c:v>
                </c:pt>
                <c:pt idx="18">
                  <c:v>0.24</c:v>
                </c:pt>
                <c:pt idx="19">
                  <c:v>0.24</c:v>
                </c:pt>
                <c:pt idx="20">
                  <c:v>0.174545454545455</c:v>
                </c:pt>
                <c:pt idx="21">
                  <c:v>0.15272727272727299</c:v>
                </c:pt>
                <c:pt idx="22">
                  <c:v>0.147272727272727</c:v>
                </c:pt>
                <c:pt idx="23">
                  <c:v>0.13636363636363599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8B-4546-9F9C-59D2841C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40319"/>
        <c:axId val="127544063"/>
      </c:lineChart>
      <c:catAx>
        <c:axId val="12754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44063"/>
        <c:crosses val="autoZero"/>
        <c:auto val="1"/>
        <c:lblAlgn val="ctr"/>
        <c:lblOffset val="100"/>
        <c:noMultiLvlLbl val="0"/>
      </c:catAx>
      <c:valAx>
        <c:axId val="1275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</xdr:rowOff>
    </xdr:from>
    <xdr:to>
      <xdr:col>6</xdr:col>
      <xdr:colOff>19766</xdr:colOff>
      <xdr:row>25</xdr:row>
      <xdr:rowOff>76201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85801"/>
          <a:ext cx="3071576" cy="3676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</xdr:colOff>
          <xdr:row>1</xdr:row>
          <xdr:rowOff>30480</xdr:rowOff>
        </xdr:from>
        <xdr:to>
          <xdr:col>20</xdr:col>
          <xdr:colOff>22860</xdr:colOff>
          <xdr:row>29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</xdr:colOff>
          <xdr:row>1</xdr:row>
          <xdr:rowOff>30480</xdr:rowOff>
        </xdr:from>
        <xdr:to>
          <xdr:col>20</xdr:col>
          <xdr:colOff>22860</xdr:colOff>
          <xdr:row>29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</xdr:colOff>
          <xdr:row>1</xdr:row>
          <xdr:rowOff>30480</xdr:rowOff>
        </xdr:from>
        <xdr:to>
          <xdr:col>20</xdr:col>
          <xdr:colOff>22860</xdr:colOff>
          <xdr:row>29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8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</xdr:colOff>
          <xdr:row>1</xdr:row>
          <xdr:rowOff>30480</xdr:rowOff>
        </xdr:from>
        <xdr:to>
          <xdr:col>20</xdr:col>
          <xdr:colOff>22860</xdr:colOff>
          <xdr:row>29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9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11</xdr:row>
      <xdr:rowOff>7620</xdr:rowOff>
    </xdr:from>
    <xdr:to>
      <xdr:col>15</xdr:col>
      <xdr:colOff>251460</xdr:colOff>
      <xdr:row>26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3.vsdx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.vsdx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2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B2:AD141"/>
  <sheetViews>
    <sheetView topLeftCell="A73" workbookViewId="0">
      <selection activeCell="J99" sqref="J99:K99"/>
    </sheetView>
  </sheetViews>
  <sheetFormatPr defaultRowHeight="13.8" x14ac:dyDescent="0.25"/>
  <cols>
    <col min="11" max="11" width="13.33203125" customWidth="1"/>
    <col min="12" max="12" width="17.6640625" customWidth="1"/>
    <col min="13" max="13" width="13.44140625" customWidth="1"/>
    <col min="14" max="14" width="12.77734375" bestFit="1" customWidth="1"/>
    <col min="15" max="15" width="11.21875" customWidth="1"/>
    <col min="16" max="16" width="12.109375" customWidth="1"/>
    <col min="17" max="17" width="12.6640625" customWidth="1"/>
  </cols>
  <sheetData>
    <row r="2" spans="2:19" x14ac:dyDescent="0.25">
      <c r="B2" t="s">
        <v>281</v>
      </c>
    </row>
    <row r="3" spans="2:19" x14ac:dyDescent="0.25">
      <c r="B3" t="s">
        <v>280</v>
      </c>
    </row>
    <row r="6" spans="2:19" x14ac:dyDescent="0.25">
      <c r="J6" t="s">
        <v>292</v>
      </c>
    </row>
    <row r="7" spans="2:19" x14ac:dyDescent="0.25">
      <c r="J7" s="32" t="s">
        <v>283</v>
      </c>
      <c r="K7" s="33" t="s">
        <v>282</v>
      </c>
      <c r="L7" s="33" t="s">
        <v>284</v>
      </c>
      <c r="M7" s="33" t="s">
        <v>285</v>
      </c>
      <c r="N7" s="33" t="s">
        <v>286</v>
      </c>
      <c r="O7" s="33" t="s">
        <v>287</v>
      </c>
      <c r="P7" s="33" t="s">
        <v>288</v>
      </c>
      <c r="Q7" s="33" t="s">
        <v>289</v>
      </c>
      <c r="R7" s="33" t="s">
        <v>290</v>
      </c>
      <c r="S7" s="34" t="s">
        <v>291</v>
      </c>
    </row>
    <row r="8" spans="2:19" x14ac:dyDescent="0.25">
      <c r="J8" s="35">
        <v>1</v>
      </c>
      <c r="K8" s="21">
        <v>1</v>
      </c>
      <c r="L8" s="21">
        <v>152</v>
      </c>
      <c r="M8" s="21">
        <v>30.4</v>
      </c>
      <c r="N8" s="21">
        <v>40</v>
      </c>
      <c r="O8" s="21">
        <v>40</v>
      </c>
      <c r="P8" s="21">
        <v>120</v>
      </c>
      <c r="Q8" s="21">
        <v>120</v>
      </c>
      <c r="R8" s="21">
        <v>8</v>
      </c>
      <c r="S8" s="36">
        <v>4</v>
      </c>
    </row>
    <row r="9" spans="2:19" x14ac:dyDescent="0.25">
      <c r="J9" s="35">
        <v>2</v>
      </c>
      <c r="K9" s="21">
        <v>2</v>
      </c>
      <c r="L9" s="21">
        <v>152</v>
      </c>
      <c r="M9" s="21">
        <v>30.4</v>
      </c>
      <c r="N9" s="21">
        <v>40</v>
      </c>
      <c r="O9" s="21">
        <v>40</v>
      </c>
      <c r="P9" s="21">
        <v>120</v>
      </c>
      <c r="Q9" s="21">
        <v>120</v>
      </c>
      <c r="R9" s="21">
        <v>8</v>
      </c>
      <c r="S9" s="36">
        <v>4</v>
      </c>
    </row>
    <row r="10" spans="2:19" x14ac:dyDescent="0.25">
      <c r="J10" s="35">
        <v>3</v>
      </c>
      <c r="K10" s="21">
        <v>7</v>
      </c>
      <c r="L10" s="21">
        <v>350</v>
      </c>
      <c r="M10" s="21">
        <v>75</v>
      </c>
      <c r="N10" s="21">
        <v>70</v>
      </c>
      <c r="O10" s="21">
        <v>70</v>
      </c>
      <c r="P10" s="21">
        <v>350</v>
      </c>
      <c r="Q10" s="21">
        <v>350</v>
      </c>
      <c r="R10" s="21">
        <v>8</v>
      </c>
      <c r="S10" s="36">
        <v>8</v>
      </c>
    </row>
    <row r="11" spans="2:19" x14ac:dyDescent="0.25">
      <c r="J11" s="35">
        <v>4</v>
      </c>
      <c r="K11" s="21">
        <v>13</v>
      </c>
      <c r="L11" s="21">
        <v>591</v>
      </c>
      <c r="M11" s="21">
        <v>206.85</v>
      </c>
      <c r="N11" s="21">
        <v>180</v>
      </c>
      <c r="O11" s="21">
        <v>180</v>
      </c>
      <c r="P11" s="21">
        <v>240</v>
      </c>
      <c r="Q11" s="21">
        <v>240</v>
      </c>
      <c r="R11" s="21">
        <v>12</v>
      </c>
      <c r="S11" s="36">
        <v>10</v>
      </c>
    </row>
    <row r="12" spans="2:19" x14ac:dyDescent="0.25">
      <c r="J12" s="35">
        <v>5</v>
      </c>
      <c r="K12" s="21">
        <v>15</v>
      </c>
      <c r="L12" s="21">
        <v>60</v>
      </c>
      <c r="M12" s="21">
        <v>12</v>
      </c>
      <c r="N12" s="21">
        <v>60</v>
      </c>
      <c r="O12" s="21">
        <v>60</v>
      </c>
      <c r="P12" s="21">
        <v>60</v>
      </c>
      <c r="Q12" s="21">
        <v>60</v>
      </c>
      <c r="R12" s="21">
        <v>4</v>
      </c>
      <c r="S12" s="36">
        <v>2</v>
      </c>
    </row>
    <row r="13" spans="2:19" x14ac:dyDescent="0.25">
      <c r="J13" s="35">
        <v>6</v>
      </c>
      <c r="K13" s="21">
        <v>15</v>
      </c>
      <c r="L13" s="21">
        <v>155</v>
      </c>
      <c r="M13" s="21">
        <v>54.25</v>
      </c>
      <c r="N13" s="21">
        <v>30</v>
      </c>
      <c r="O13" s="21">
        <v>30</v>
      </c>
      <c r="P13" s="21">
        <v>155</v>
      </c>
      <c r="Q13" s="21">
        <v>155</v>
      </c>
      <c r="R13" s="21">
        <v>8</v>
      </c>
      <c r="S13" s="36">
        <v>8</v>
      </c>
    </row>
    <row r="14" spans="2:19" x14ac:dyDescent="0.25">
      <c r="J14" s="35">
        <v>7</v>
      </c>
      <c r="K14" s="21">
        <v>16</v>
      </c>
      <c r="L14" s="21">
        <v>155</v>
      </c>
      <c r="M14" s="21">
        <v>54.25</v>
      </c>
      <c r="N14" s="21">
        <v>30</v>
      </c>
      <c r="O14" s="21">
        <v>30</v>
      </c>
      <c r="P14" s="21">
        <v>155</v>
      </c>
      <c r="Q14" s="21">
        <v>155</v>
      </c>
      <c r="R14" s="21">
        <v>8</v>
      </c>
      <c r="S14" s="36">
        <v>8</v>
      </c>
    </row>
    <row r="15" spans="2:19" x14ac:dyDescent="0.25">
      <c r="J15" s="35">
        <v>8</v>
      </c>
      <c r="K15" s="21">
        <v>18</v>
      </c>
      <c r="L15" s="21">
        <v>400</v>
      </c>
      <c r="M15" s="21">
        <v>100</v>
      </c>
      <c r="N15" s="21">
        <v>0</v>
      </c>
      <c r="O15" s="21">
        <v>0</v>
      </c>
      <c r="P15" s="21">
        <v>280</v>
      </c>
      <c r="Q15" s="21">
        <v>280</v>
      </c>
      <c r="R15" s="21">
        <v>1</v>
      </c>
      <c r="S15" s="36">
        <v>1</v>
      </c>
    </row>
    <row r="16" spans="2:19" x14ac:dyDescent="0.25">
      <c r="J16" s="35">
        <v>9</v>
      </c>
      <c r="K16" s="21">
        <v>21</v>
      </c>
      <c r="L16" s="21">
        <v>400</v>
      </c>
      <c r="M16" s="21">
        <v>100</v>
      </c>
      <c r="N16" s="21">
        <v>0</v>
      </c>
      <c r="O16" s="21">
        <v>0</v>
      </c>
      <c r="P16" s="21">
        <v>280</v>
      </c>
      <c r="Q16" s="21">
        <v>280</v>
      </c>
      <c r="R16" s="21">
        <v>1</v>
      </c>
      <c r="S16" s="36">
        <v>1</v>
      </c>
    </row>
    <row r="17" spans="10:19" x14ac:dyDescent="0.25">
      <c r="J17" s="35">
        <v>10</v>
      </c>
      <c r="K17" s="21">
        <v>22</v>
      </c>
      <c r="L17" s="21">
        <v>300</v>
      </c>
      <c r="M17" s="21">
        <v>300</v>
      </c>
      <c r="N17" s="21">
        <v>0</v>
      </c>
      <c r="O17" s="21">
        <v>0</v>
      </c>
      <c r="P17" s="21">
        <v>300</v>
      </c>
      <c r="Q17" s="21">
        <v>300</v>
      </c>
      <c r="R17" s="21">
        <v>0</v>
      </c>
      <c r="S17" s="36">
        <v>0</v>
      </c>
    </row>
    <row r="18" spans="10:19" x14ac:dyDescent="0.25">
      <c r="J18" s="35">
        <v>11</v>
      </c>
      <c r="K18" s="21">
        <v>23</v>
      </c>
      <c r="L18" s="21">
        <v>310</v>
      </c>
      <c r="M18" s="21">
        <v>108.5</v>
      </c>
      <c r="N18" s="21">
        <v>60</v>
      </c>
      <c r="O18" s="21">
        <v>60</v>
      </c>
      <c r="P18" s="21">
        <v>180</v>
      </c>
      <c r="Q18" s="21">
        <v>180</v>
      </c>
      <c r="R18" s="21">
        <v>8</v>
      </c>
      <c r="S18" s="36">
        <v>8</v>
      </c>
    </row>
    <row r="19" spans="10:19" x14ac:dyDescent="0.25">
      <c r="J19" s="37">
        <v>12</v>
      </c>
      <c r="K19" s="31">
        <v>23</v>
      </c>
      <c r="L19" s="31">
        <v>350</v>
      </c>
      <c r="M19" s="31">
        <v>140</v>
      </c>
      <c r="N19" s="31">
        <v>40</v>
      </c>
      <c r="O19" s="31">
        <v>40</v>
      </c>
      <c r="P19" s="31">
        <v>240</v>
      </c>
      <c r="Q19" s="31">
        <v>240</v>
      </c>
      <c r="R19" s="31">
        <v>8</v>
      </c>
      <c r="S19" s="38">
        <v>8</v>
      </c>
    </row>
    <row r="21" spans="10:19" x14ac:dyDescent="0.25">
      <c r="J21" t="s">
        <v>293</v>
      </c>
    </row>
    <row r="22" spans="10:19" x14ac:dyDescent="0.25">
      <c r="J22" s="32" t="s">
        <v>283</v>
      </c>
      <c r="K22" s="33" t="s">
        <v>294</v>
      </c>
      <c r="L22" s="33" t="s">
        <v>295</v>
      </c>
      <c r="M22" s="33" t="s">
        <v>296</v>
      </c>
      <c r="N22" s="33" t="s">
        <v>297</v>
      </c>
      <c r="O22" s="33" t="s">
        <v>298</v>
      </c>
      <c r="P22" s="33" t="s">
        <v>299</v>
      </c>
      <c r="Q22" s="33" t="s">
        <v>300</v>
      </c>
      <c r="R22" s="33" t="s">
        <v>301</v>
      </c>
      <c r="S22" s="34" t="s">
        <v>302</v>
      </c>
    </row>
    <row r="23" spans="10:19" x14ac:dyDescent="0.25">
      <c r="J23" s="35">
        <v>1</v>
      </c>
      <c r="K23" s="21">
        <v>13.32</v>
      </c>
      <c r="L23" s="21">
        <v>15</v>
      </c>
      <c r="M23" s="21">
        <v>14</v>
      </c>
      <c r="N23" s="21">
        <v>15</v>
      </c>
      <c r="O23" s="21">
        <v>11</v>
      </c>
      <c r="P23" s="21">
        <v>1430.4</v>
      </c>
      <c r="Q23" s="21">
        <v>76</v>
      </c>
      <c r="R23" s="21">
        <v>1</v>
      </c>
      <c r="S23" s="36">
        <v>22</v>
      </c>
    </row>
    <row r="24" spans="10:19" x14ac:dyDescent="0.25">
      <c r="J24" s="35">
        <v>2</v>
      </c>
      <c r="K24" s="21">
        <v>13.32</v>
      </c>
      <c r="L24" s="21">
        <v>15</v>
      </c>
      <c r="M24" s="21">
        <v>14</v>
      </c>
      <c r="N24" s="21">
        <v>15</v>
      </c>
      <c r="O24" s="21">
        <v>11</v>
      </c>
      <c r="P24" s="21">
        <v>1430.4</v>
      </c>
      <c r="Q24" s="21">
        <v>76</v>
      </c>
      <c r="R24" s="21">
        <v>1</v>
      </c>
      <c r="S24" s="36">
        <v>22</v>
      </c>
    </row>
    <row r="25" spans="10:19" x14ac:dyDescent="0.25">
      <c r="J25" s="35">
        <v>3</v>
      </c>
      <c r="K25" s="21">
        <v>20.7</v>
      </c>
      <c r="L25" s="21">
        <v>10</v>
      </c>
      <c r="M25" s="21">
        <v>9</v>
      </c>
      <c r="N25" s="21">
        <v>24</v>
      </c>
      <c r="O25" s="21">
        <v>16</v>
      </c>
      <c r="P25" s="21">
        <v>1725</v>
      </c>
      <c r="Q25" s="21">
        <v>0</v>
      </c>
      <c r="R25" s="21">
        <v>0</v>
      </c>
      <c r="S25" s="36">
        <v>-2</v>
      </c>
    </row>
    <row r="26" spans="10:19" x14ac:dyDescent="0.25">
      <c r="J26" s="35">
        <v>4</v>
      </c>
      <c r="K26" s="21">
        <v>20.93</v>
      </c>
      <c r="L26" s="21">
        <v>8</v>
      </c>
      <c r="M26" s="21">
        <v>7</v>
      </c>
      <c r="N26" s="21">
        <v>25</v>
      </c>
      <c r="O26" s="21">
        <v>17</v>
      </c>
      <c r="P26" s="21">
        <v>3056.7</v>
      </c>
      <c r="Q26" s="21">
        <v>0</v>
      </c>
      <c r="R26" s="21">
        <v>0</v>
      </c>
      <c r="S26" s="36">
        <v>-1</v>
      </c>
    </row>
    <row r="27" spans="10:19" x14ac:dyDescent="0.25">
      <c r="J27" s="35">
        <v>5</v>
      </c>
      <c r="K27" s="21">
        <v>26.11</v>
      </c>
      <c r="L27" s="21">
        <v>7</v>
      </c>
      <c r="M27" s="21">
        <v>5</v>
      </c>
      <c r="N27" s="21">
        <v>28</v>
      </c>
      <c r="O27" s="21">
        <v>23</v>
      </c>
      <c r="P27" s="21">
        <v>437</v>
      </c>
      <c r="Q27" s="21">
        <v>0</v>
      </c>
      <c r="R27" s="21">
        <v>0</v>
      </c>
      <c r="S27" s="36">
        <v>-1</v>
      </c>
    </row>
    <row r="28" spans="10:19" x14ac:dyDescent="0.25">
      <c r="J28" s="35">
        <v>6</v>
      </c>
      <c r="K28" s="21">
        <v>10.52</v>
      </c>
      <c r="L28" s="21">
        <v>16</v>
      </c>
      <c r="M28" s="21">
        <v>14</v>
      </c>
      <c r="N28" s="21">
        <v>16</v>
      </c>
      <c r="O28" s="21">
        <v>7</v>
      </c>
      <c r="P28" s="21">
        <v>312</v>
      </c>
      <c r="Q28" s="21">
        <v>0</v>
      </c>
      <c r="R28" s="21">
        <v>0</v>
      </c>
      <c r="S28" s="36">
        <v>-2</v>
      </c>
    </row>
    <row r="29" spans="10:19" x14ac:dyDescent="0.25">
      <c r="J29" s="35">
        <v>7</v>
      </c>
      <c r="K29" s="21">
        <v>10.52</v>
      </c>
      <c r="L29" s="21">
        <v>16</v>
      </c>
      <c r="M29" s="21">
        <v>14</v>
      </c>
      <c r="N29" s="21">
        <v>16</v>
      </c>
      <c r="O29" s="21">
        <v>7</v>
      </c>
      <c r="P29" s="21">
        <v>312</v>
      </c>
      <c r="Q29" s="21">
        <v>124</v>
      </c>
      <c r="R29" s="21">
        <v>1</v>
      </c>
      <c r="S29" s="36">
        <v>10</v>
      </c>
    </row>
    <row r="30" spans="10:19" x14ac:dyDescent="0.25">
      <c r="J30" s="35">
        <v>8</v>
      </c>
      <c r="K30" s="21">
        <v>6.02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240</v>
      </c>
      <c r="R30" s="21">
        <v>1</v>
      </c>
      <c r="S30" s="36">
        <v>50</v>
      </c>
    </row>
    <row r="31" spans="10:19" x14ac:dyDescent="0.25">
      <c r="J31" s="35">
        <v>9</v>
      </c>
      <c r="K31" s="21">
        <v>5.47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240</v>
      </c>
      <c r="R31" s="21">
        <v>1</v>
      </c>
      <c r="S31" s="36">
        <v>16</v>
      </c>
    </row>
    <row r="32" spans="10:19" x14ac:dyDescent="0.25">
      <c r="J32" s="35">
        <v>10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240</v>
      </c>
      <c r="R32" s="21">
        <v>1</v>
      </c>
      <c r="S32" s="36">
        <v>24</v>
      </c>
    </row>
    <row r="33" spans="10:30" x14ac:dyDescent="0.25">
      <c r="J33" s="35">
        <v>11</v>
      </c>
      <c r="K33" s="21">
        <v>10.52</v>
      </c>
      <c r="L33" s="21">
        <v>17</v>
      </c>
      <c r="M33" s="21">
        <v>16</v>
      </c>
      <c r="N33" s="21">
        <v>14</v>
      </c>
      <c r="O33" s="21">
        <v>8</v>
      </c>
      <c r="P33" s="21">
        <v>624</v>
      </c>
      <c r="Q33" s="21">
        <v>248</v>
      </c>
      <c r="R33" s="21">
        <v>1</v>
      </c>
      <c r="S33" s="36">
        <v>10</v>
      </c>
    </row>
    <row r="34" spans="10:30" x14ac:dyDescent="0.25">
      <c r="J34" s="37">
        <v>12</v>
      </c>
      <c r="K34" s="31">
        <v>10.89</v>
      </c>
      <c r="L34" s="31">
        <v>16</v>
      </c>
      <c r="M34" s="31">
        <v>14</v>
      </c>
      <c r="N34" s="31">
        <v>16</v>
      </c>
      <c r="O34" s="31">
        <v>8</v>
      </c>
      <c r="P34" s="31">
        <v>2298</v>
      </c>
      <c r="Q34" s="31">
        <v>280</v>
      </c>
      <c r="R34" s="31">
        <v>1</v>
      </c>
      <c r="S34" s="38">
        <v>50</v>
      </c>
    </row>
    <row r="36" spans="10:30" x14ac:dyDescent="0.25">
      <c r="J36" t="s">
        <v>303</v>
      </c>
      <c r="O36" t="s">
        <v>306</v>
      </c>
      <c r="W36" t="s">
        <v>309</v>
      </c>
    </row>
    <row r="37" spans="10:30" ht="15.6" x14ac:dyDescent="0.4">
      <c r="J37" s="32" t="s">
        <v>304</v>
      </c>
      <c r="K37" s="34" t="s">
        <v>305</v>
      </c>
      <c r="O37" s="32" t="s">
        <v>307</v>
      </c>
      <c r="P37" s="33" t="s">
        <v>282</v>
      </c>
      <c r="Q37" s="34" t="s">
        <v>308</v>
      </c>
      <c r="R37" s="30"/>
      <c r="W37" s="32" t="s">
        <v>310</v>
      </c>
      <c r="X37" s="33" t="s">
        <v>311</v>
      </c>
      <c r="Y37" s="33" t="s">
        <v>312</v>
      </c>
      <c r="Z37" s="33" t="s">
        <v>313</v>
      </c>
      <c r="AA37" s="33" t="s">
        <v>310</v>
      </c>
      <c r="AB37" s="33" t="s">
        <v>311</v>
      </c>
      <c r="AC37" s="33" t="s">
        <v>312</v>
      </c>
      <c r="AD37" s="34" t="s">
        <v>313</v>
      </c>
    </row>
    <row r="38" spans="10:30" x14ac:dyDescent="0.25">
      <c r="J38" s="35">
        <v>1</v>
      </c>
      <c r="K38" s="36">
        <v>1775.835</v>
      </c>
      <c r="O38" s="35">
        <v>1</v>
      </c>
      <c r="P38" s="21">
        <v>1</v>
      </c>
      <c r="Q38" s="36">
        <v>3.8</v>
      </c>
      <c r="W38" s="35">
        <v>1</v>
      </c>
      <c r="X38" s="21">
        <v>2</v>
      </c>
      <c r="Y38" s="21">
        <v>1.46E-2</v>
      </c>
      <c r="Z38" s="21">
        <v>175</v>
      </c>
      <c r="AA38" s="21">
        <v>11</v>
      </c>
      <c r="AB38" s="21">
        <v>13</v>
      </c>
      <c r="AC38" s="21">
        <v>4.8800000000000003E-2</v>
      </c>
      <c r="AD38" s="36">
        <v>500</v>
      </c>
    </row>
    <row r="39" spans="10:30" x14ac:dyDescent="0.25">
      <c r="J39" s="35">
        <v>2</v>
      </c>
      <c r="K39" s="36">
        <v>1669.8150000000001</v>
      </c>
      <c r="O39" s="35">
        <v>2</v>
      </c>
      <c r="P39" s="21">
        <v>2</v>
      </c>
      <c r="Q39" s="36">
        <v>3.4</v>
      </c>
      <c r="W39" s="35">
        <v>1</v>
      </c>
      <c r="X39" s="21">
        <v>3</v>
      </c>
      <c r="Y39" s="21">
        <v>0.2253</v>
      </c>
      <c r="Z39" s="21">
        <v>175</v>
      </c>
      <c r="AA39" s="21">
        <v>11</v>
      </c>
      <c r="AB39" s="21">
        <v>14</v>
      </c>
      <c r="AC39" s="21">
        <v>4.2599999999999999E-2</v>
      </c>
      <c r="AD39" s="36">
        <v>500</v>
      </c>
    </row>
    <row r="40" spans="10:30" x14ac:dyDescent="0.25">
      <c r="J40" s="35">
        <v>3</v>
      </c>
      <c r="K40" s="36">
        <v>1590.3</v>
      </c>
      <c r="O40" s="35">
        <v>3</v>
      </c>
      <c r="P40" s="21">
        <v>3</v>
      </c>
      <c r="Q40" s="36">
        <v>6.3</v>
      </c>
      <c r="W40" s="35">
        <v>1</v>
      </c>
      <c r="X40" s="21">
        <v>5</v>
      </c>
      <c r="Y40" s="21">
        <v>9.0700000000000003E-2</v>
      </c>
      <c r="Z40" s="21">
        <v>350</v>
      </c>
      <c r="AA40" s="21">
        <v>12</v>
      </c>
      <c r="AB40" s="21">
        <v>13</v>
      </c>
      <c r="AC40" s="21">
        <v>4.8800000000000003E-2</v>
      </c>
      <c r="AD40" s="36">
        <v>500</v>
      </c>
    </row>
    <row r="41" spans="10:30" x14ac:dyDescent="0.25">
      <c r="J41" s="35">
        <v>4</v>
      </c>
      <c r="K41" s="36">
        <v>1563.7950000000001</v>
      </c>
      <c r="O41" s="35">
        <v>4</v>
      </c>
      <c r="P41" s="21">
        <v>4</v>
      </c>
      <c r="Q41" s="36">
        <v>2.6</v>
      </c>
      <c r="W41" s="35">
        <v>2</v>
      </c>
      <c r="X41" s="21">
        <v>4</v>
      </c>
      <c r="Y41" s="21">
        <v>0.1356</v>
      </c>
      <c r="Z41" s="21">
        <v>175</v>
      </c>
      <c r="AA41" s="21">
        <v>12</v>
      </c>
      <c r="AB41" s="21">
        <v>23</v>
      </c>
      <c r="AC41" s="21">
        <v>9.8500000000000004E-2</v>
      </c>
      <c r="AD41" s="36">
        <v>500</v>
      </c>
    </row>
    <row r="42" spans="10:30" x14ac:dyDescent="0.25">
      <c r="J42" s="35">
        <v>5</v>
      </c>
      <c r="K42" s="36">
        <v>1563.7950000000001</v>
      </c>
      <c r="O42" s="35">
        <v>5</v>
      </c>
      <c r="P42" s="21">
        <v>5</v>
      </c>
      <c r="Q42" s="36">
        <v>2.5</v>
      </c>
      <c r="W42" s="35">
        <v>2</v>
      </c>
      <c r="X42" s="21">
        <v>6</v>
      </c>
      <c r="Y42" s="21">
        <v>0.20499999999999999</v>
      </c>
      <c r="Z42" s="21">
        <v>175</v>
      </c>
      <c r="AA42" s="21">
        <v>13</v>
      </c>
      <c r="AB42" s="21">
        <v>23</v>
      </c>
      <c r="AC42" s="21">
        <v>8.8400000000000006E-2</v>
      </c>
      <c r="AD42" s="36">
        <v>500</v>
      </c>
    </row>
    <row r="43" spans="10:30" x14ac:dyDescent="0.25">
      <c r="J43" s="35">
        <v>6</v>
      </c>
      <c r="K43" s="36">
        <v>1590.3</v>
      </c>
      <c r="O43" s="35">
        <v>6</v>
      </c>
      <c r="P43" s="21">
        <v>6</v>
      </c>
      <c r="Q43" s="36">
        <v>4.8</v>
      </c>
      <c r="W43" s="35">
        <v>3</v>
      </c>
      <c r="X43" s="21">
        <v>9</v>
      </c>
      <c r="Y43" s="21">
        <v>0.12709999999999999</v>
      </c>
      <c r="Z43" s="21">
        <v>175</v>
      </c>
      <c r="AA43" s="21">
        <v>14</v>
      </c>
      <c r="AB43" s="21">
        <v>16</v>
      </c>
      <c r="AC43" s="21">
        <v>5.9400000000000001E-2</v>
      </c>
      <c r="AD43" s="36">
        <v>500</v>
      </c>
    </row>
    <row r="44" spans="10:30" x14ac:dyDescent="0.25">
      <c r="J44" s="35">
        <v>7</v>
      </c>
      <c r="K44" s="36">
        <v>1961.37</v>
      </c>
      <c r="O44" s="35">
        <v>7</v>
      </c>
      <c r="P44" s="21">
        <v>7</v>
      </c>
      <c r="Q44" s="36">
        <v>4.4000000000000004</v>
      </c>
      <c r="W44" s="35">
        <v>3</v>
      </c>
      <c r="X44" s="21">
        <v>24</v>
      </c>
      <c r="Y44" s="21">
        <v>8.4000000000000005E-2</v>
      </c>
      <c r="Z44" s="21">
        <v>400</v>
      </c>
      <c r="AA44" s="21">
        <v>15</v>
      </c>
      <c r="AB44" s="21">
        <v>16</v>
      </c>
      <c r="AC44" s="21">
        <v>1.72E-2</v>
      </c>
      <c r="AD44" s="36">
        <v>500</v>
      </c>
    </row>
    <row r="45" spans="10:30" x14ac:dyDescent="0.25">
      <c r="J45" s="35">
        <v>8</v>
      </c>
      <c r="K45" s="36">
        <v>2279.4299999999998</v>
      </c>
      <c r="O45" s="35">
        <v>8</v>
      </c>
      <c r="P45" s="21">
        <v>8</v>
      </c>
      <c r="Q45" s="36">
        <v>6</v>
      </c>
      <c r="W45" s="35">
        <v>4</v>
      </c>
      <c r="X45" s="21">
        <v>9</v>
      </c>
      <c r="Y45" s="21">
        <v>0.111</v>
      </c>
      <c r="Z45" s="21">
        <v>175</v>
      </c>
      <c r="AA45" s="21">
        <v>15</v>
      </c>
      <c r="AB45" s="21">
        <v>21</v>
      </c>
      <c r="AC45" s="21">
        <v>2.4899999999999999E-2</v>
      </c>
      <c r="AD45" s="36">
        <v>1000</v>
      </c>
    </row>
    <row r="46" spans="10:30" x14ac:dyDescent="0.25">
      <c r="J46" s="35">
        <v>9</v>
      </c>
      <c r="K46" s="36">
        <v>2517.9749999999999</v>
      </c>
      <c r="O46" s="35">
        <v>9</v>
      </c>
      <c r="P46" s="21">
        <v>9</v>
      </c>
      <c r="Q46" s="36">
        <v>6.1</v>
      </c>
      <c r="W46" s="35">
        <v>5</v>
      </c>
      <c r="X46" s="21">
        <v>10</v>
      </c>
      <c r="Y46" s="21">
        <v>9.4E-2</v>
      </c>
      <c r="Z46" s="21">
        <v>350</v>
      </c>
      <c r="AA46" s="21">
        <v>15</v>
      </c>
      <c r="AB46" s="21">
        <v>24</v>
      </c>
      <c r="AC46" s="21">
        <v>5.2900000000000003E-2</v>
      </c>
      <c r="AD46" s="36">
        <v>500</v>
      </c>
    </row>
    <row r="47" spans="10:30" x14ac:dyDescent="0.25">
      <c r="J47" s="35">
        <v>10</v>
      </c>
      <c r="K47" s="36">
        <v>2544.48</v>
      </c>
      <c r="O47" s="35">
        <v>10</v>
      </c>
      <c r="P47" s="21">
        <v>10</v>
      </c>
      <c r="Q47" s="36">
        <v>6.8</v>
      </c>
      <c r="W47" s="35">
        <v>6</v>
      </c>
      <c r="X47" s="21">
        <v>10</v>
      </c>
      <c r="Y47" s="21">
        <v>6.4199999999999993E-2</v>
      </c>
      <c r="Z47" s="21">
        <v>175</v>
      </c>
      <c r="AA47" s="21">
        <v>16</v>
      </c>
      <c r="AB47" s="21">
        <v>17</v>
      </c>
      <c r="AC47" s="21">
        <v>2.63E-2</v>
      </c>
      <c r="AD47" s="36">
        <v>500</v>
      </c>
    </row>
    <row r="48" spans="10:30" x14ac:dyDescent="0.25">
      <c r="J48" s="35">
        <v>11</v>
      </c>
      <c r="K48" s="36">
        <v>2544.48</v>
      </c>
      <c r="O48" s="35">
        <v>11</v>
      </c>
      <c r="P48" s="21">
        <v>13</v>
      </c>
      <c r="Q48" s="36">
        <v>9.3000000000000007</v>
      </c>
      <c r="W48" s="35">
        <v>7</v>
      </c>
      <c r="X48" s="21">
        <v>8</v>
      </c>
      <c r="Y48" s="21">
        <v>6.5199999999999994E-2</v>
      </c>
      <c r="Z48" s="21">
        <v>350</v>
      </c>
      <c r="AA48" s="21">
        <v>16</v>
      </c>
      <c r="AB48" s="21">
        <v>19</v>
      </c>
      <c r="AC48" s="21">
        <v>2.3400000000000001E-2</v>
      </c>
      <c r="AD48" s="36">
        <v>500</v>
      </c>
    </row>
    <row r="49" spans="10:30" x14ac:dyDescent="0.25">
      <c r="J49" s="35">
        <v>12</v>
      </c>
      <c r="K49" s="36">
        <v>2517.9749999999999</v>
      </c>
      <c r="O49" s="35">
        <v>12</v>
      </c>
      <c r="P49" s="21">
        <v>14</v>
      </c>
      <c r="Q49" s="36">
        <v>6.8</v>
      </c>
      <c r="W49" s="35">
        <v>8</v>
      </c>
      <c r="X49" s="21">
        <v>9</v>
      </c>
      <c r="Y49" s="21">
        <v>0.1762</v>
      </c>
      <c r="Z49" s="21">
        <v>175</v>
      </c>
      <c r="AA49" s="21">
        <v>17</v>
      </c>
      <c r="AB49" s="21">
        <v>18</v>
      </c>
      <c r="AC49" s="21">
        <v>1.43E-2</v>
      </c>
      <c r="AD49" s="36">
        <v>500</v>
      </c>
    </row>
    <row r="50" spans="10:30" x14ac:dyDescent="0.25">
      <c r="J50" s="35">
        <v>13</v>
      </c>
      <c r="K50" s="36">
        <v>2517.9749999999999</v>
      </c>
      <c r="O50" s="35">
        <v>13</v>
      </c>
      <c r="P50" s="21">
        <v>15</v>
      </c>
      <c r="Q50" s="36">
        <v>11.1</v>
      </c>
      <c r="W50" s="35">
        <v>8</v>
      </c>
      <c r="X50" s="21">
        <v>10</v>
      </c>
      <c r="Y50" s="21">
        <v>0.1762</v>
      </c>
      <c r="Z50" s="21">
        <v>175</v>
      </c>
      <c r="AA50" s="21">
        <v>17</v>
      </c>
      <c r="AB50" s="21">
        <v>22</v>
      </c>
      <c r="AC50" s="21">
        <v>0.1069</v>
      </c>
      <c r="AD50" s="36">
        <v>500</v>
      </c>
    </row>
    <row r="51" spans="10:30" x14ac:dyDescent="0.25">
      <c r="J51" s="35">
        <v>14</v>
      </c>
      <c r="K51" s="36">
        <v>2517.9749999999999</v>
      </c>
      <c r="O51" s="35">
        <v>14</v>
      </c>
      <c r="P51" s="21">
        <v>16</v>
      </c>
      <c r="Q51" s="36">
        <v>3.5</v>
      </c>
      <c r="W51" s="35">
        <v>9</v>
      </c>
      <c r="X51" s="21">
        <v>11</v>
      </c>
      <c r="Y51" s="21">
        <v>8.4000000000000005E-2</v>
      </c>
      <c r="Z51" s="21">
        <v>400</v>
      </c>
      <c r="AA51" s="21">
        <v>18</v>
      </c>
      <c r="AB51" s="21">
        <v>21</v>
      </c>
      <c r="AC51" s="21">
        <v>1.32E-2</v>
      </c>
      <c r="AD51" s="36">
        <v>1000</v>
      </c>
    </row>
    <row r="52" spans="10:30" x14ac:dyDescent="0.25">
      <c r="J52" s="35">
        <v>15</v>
      </c>
      <c r="K52" s="36">
        <v>2464.9650000000001</v>
      </c>
      <c r="O52" s="35">
        <v>15</v>
      </c>
      <c r="P52" s="21">
        <v>18</v>
      </c>
      <c r="Q52" s="36">
        <v>11.7</v>
      </c>
      <c r="W52" s="35">
        <v>9</v>
      </c>
      <c r="X52" s="21">
        <v>12</v>
      </c>
      <c r="Y52" s="21">
        <v>8.4000000000000005E-2</v>
      </c>
      <c r="Z52" s="21">
        <v>400</v>
      </c>
      <c r="AA52" s="21">
        <v>19</v>
      </c>
      <c r="AB52" s="21">
        <v>20</v>
      </c>
      <c r="AC52" s="21">
        <v>2.0299999999999999E-2</v>
      </c>
      <c r="AD52" s="36">
        <v>1000</v>
      </c>
    </row>
    <row r="53" spans="10:30" x14ac:dyDescent="0.25">
      <c r="J53" s="35">
        <v>16</v>
      </c>
      <c r="K53" s="36">
        <v>2464.9650000000001</v>
      </c>
      <c r="O53" s="35">
        <v>16</v>
      </c>
      <c r="P53" s="21">
        <v>19</v>
      </c>
      <c r="Q53" s="36">
        <v>6.4</v>
      </c>
      <c r="W53" s="35">
        <v>10</v>
      </c>
      <c r="X53" s="21">
        <v>11</v>
      </c>
      <c r="Y53" s="21">
        <v>8.4000000000000005E-2</v>
      </c>
      <c r="Z53" s="21">
        <v>400</v>
      </c>
      <c r="AA53" s="21">
        <v>20</v>
      </c>
      <c r="AB53" s="21">
        <v>23</v>
      </c>
      <c r="AC53" s="21">
        <v>1.12E-2</v>
      </c>
      <c r="AD53" s="36">
        <v>1000</v>
      </c>
    </row>
    <row r="54" spans="10:30" x14ac:dyDescent="0.25">
      <c r="J54" s="35">
        <v>17</v>
      </c>
      <c r="K54" s="36">
        <v>2623.9949999999999</v>
      </c>
      <c r="O54" s="37">
        <v>17</v>
      </c>
      <c r="P54" s="31">
        <v>20</v>
      </c>
      <c r="Q54" s="38">
        <v>4.5</v>
      </c>
      <c r="W54" s="37">
        <v>10</v>
      </c>
      <c r="X54" s="31">
        <v>12</v>
      </c>
      <c r="Y54" s="31">
        <v>8.4000000000000005E-2</v>
      </c>
      <c r="Z54" s="31">
        <v>400</v>
      </c>
      <c r="AA54" s="31">
        <v>21</v>
      </c>
      <c r="AB54" s="31">
        <v>22</v>
      </c>
      <c r="AC54" s="31">
        <v>6.9199999999999998E-2</v>
      </c>
      <c r="AD54" s="38">
        <v>500</v>
      </c>
    </row>
    <row r="55" spans="10:30" x14ac:dyDescent="0.25">
      <c r="J55" s="35">
        <v>18</v>
      </c>
      <c r="K55" s="36">
        <v>2650.5</v>
      </c>
    </row>
    <row r="56" spans="10:30" x14ac:dyDescent="0.25">
      <c r="J56" s="35">
        <v>19</v>
      </c>
      <c r="K56" s="36">
        <v>2650.5</v>
      </c>
    </row>
    <row r="57" spans="10:30" x14ac:dyDescent="0.25">
      <c r="J57" s="35">
        <v>20</v>
      </c>
      <c r="K57" s="36">
        <v>2544.48</v>
      </c>
    </row>
    <row r="58" spans="10:30" x14ac:dyDescent="0.25">
      <c r="J58" s="35">
        <v>21</v>
      </c>
      <c r="K58" s="36">
        <v>2411.9549999999999</v>
      </c>
    </row>
    <row r="59" spans="10:30" x14ac:dyDescent="0.25">
      <c r="J59" s="35">
        <v>22</v>
      </c>
      <c r="K59" s="36">
        <v>2199.915</v>
      </c>
    </row>
    <row r="60" spans="10:30" x14ac:dyDescent="0.25">
      <c r="J60" s="35">
        <v>23</v>
      </c>
      <c r="K60" s="36">
        <v>1934.865</v>
      </c>
    </row>
    <row r="61" spans="10:30" x14ac:dyDescent="0.25">
      <c r="J61" s="37">
        <v>24</v>
      </c>
      <c r="K61" s="38">
        <v>1669.8150000000001</v>
      </c>
    </row>
    <row r="64" spans="10:30" x14ac:dyDescent="0.25">
      <c r="J64" t="s">
        <v>314</v>
      </c>
      <c r="L64">
        <v>3</v>
      </c>
      <c r="M64">
        <v>5</v>
      </c>
      <c r="N64">
        <v>7</v>
      </c>
      <c r="O64">
        <v>16</v>
      </c>
      <c r="P64">
        <v>21</v>
      </c>
      <c r="Q64">
        <v>23</v>
      </c>
    </row>
    <row r="67" spans="10:17" x14ac:dyDescent="0.25">
      <c r="J67" t="s">
        <v>315</v>
      </c>
    </row>
    <row r="68" spans="10:17" x14ac:dyDescent="0.25">
      <c r="J68" s="32" t="s">
        <v>310</v>
      </c>
      <c r="K68" s="33" t="s">
        <v>311</v>
      </c>
      <c r="L68" s="33" t="s">
        <v>313</v>
      </c>
    </row>
    <row r="69" spans="10:17" x14ac:dyDescent="0.25">
      <c r="J69">
        <v>15</v>
      </c>
      <c r="K69">
        <v>21</v>
      </c>
      <c r="L69" s="39">
        <v>400</v>
      </c>
    </row>
    <row r="70" spans="10:17" x14ac:dyDescent="0.25">
      <c r="J70">
        <v>14</v>
      </c>
      <c r="K70">
        <v>16</v>
      </c>
      <c r="L70" s="39">
        <v>250</v>
      </c>
    </row>
    <row r="71" spans="10:17" x14ac:dyDescent="0.25">
      <c r="J71">
        <v>13</v>
      </c>
      <c r="K71">
        <v>23</v>
      </c>
      <c r="L71" s="39">
        <v>250</v>
      </c>
    </row>
    <row r="77" spans="10:17" x14ac:dyDescent="0.25">
      <c r="J77" s="59" t="s">
        <v>310</v>
      </c>
      <c r="K77" s="59" t="s">
        <v>459</v>
      </c>
      <c r="L77" s="59" t="s">
        <v>312</v>
      </c>
      <c r="M77" s="59" t="s">
        <v>460</v>
      </c>
      <c r="N77" s="59"/>
      <c r="O77" s="59" t="s">
        <v>461</v>
      </c>
      <c r="P77" s="59"/>
      <c r="Q77" s="59"/>
    </row>
    <row r="78" spans="10:17" x14ac:dyDescent="0.25">
      <c r="J78" s="59">
        <v>1</v>
      </c>
      <c r="K78" s="59">
        <v>2</v>
      </c>
      <c r="L78" s="59">
        <v>1.46E-2</v>
      </c>
      <c r="M78" s="59">
        <v>175</v>
      </c>
      <c r="O78">
        <f>M78/100</f>
        <v>1.75</v>
      </c>
    </row>
    <row r="79" spans="10:17" x14ac:dyDescent="0.25">
      <c r="J79" s="59">
        <v>1</v>
      </c>
      <c r="K79" s="59">
        <v>3</v>
      </c>
      <c r="L79" s="59">
        <v>0.2253</v>
      </c>
      <c r="M79" s="59">
        <v>175</v>
      </c>
      <c r="O79">
        <f t="shared" ref="O79:O111" si="0">M79/100</f>
        <v>1.75</v>
      </c>
    </row>
    <row r="80" spans="10:17" x14ac:dyDescent="0.25">
      <c r="J80" s="59">
        <v>1</v>
      </c>
      <c r="K80" s="59">
        <v>5</v>
      </c>
      <c r="L80" s="59">
        <v>9.0700000000000003E-2</v>
      </c>
      <c r="M80" s="59">
        <v>350</v>
      </c>
      <c r="O80">
        <f t="shared" si="0"/>
        <v>3.5</v>
      </c>
    </row>
    <row r="81" spans="10:15" x14ac:dyDescent="0.25">
      <c r="J81" s="59">
        <v>2</v>
      </c>
      <c r="K81" s="59">
        <v>4</v>
      </c>
      <c r="L81" s="59">
        <v>0.1356</v>
      </c>
      <c r="M81" s="59">
        <v>175</v>
      </c>
      <c r="O81">
        <f t="shared" si="0"/>
        <v>1.75</v>
      </c>
    </row>
    <row r="82" spans="10:15" x14ac:dyDescent="0.25">
      <c r="J82" s="59">
        <v>2</v>
      </c>
      <c r="K82" s="59">
        <v>6</v>
      </c>
      <c r="L82" s="59">
        <v>0.20499999999999999</v>
      </c>
      <c r="M82" s="59">
        <v>175</v>
      </c>
      <c r="O82">
        <f t="shared" si="0"/>
        <v>1.75</v>
      </c>
    </row>
    <row r="83" spans="10:15" x14ac:dyDescent="0.25">
      <c r="J83" s="59">
        <v>3</v>
      </c>
      <c r="K83" s="59">
        <v>9</v>
      </c>
      <c r="L83" s="59">
        <v>0.12709999999999999</v>
      </c>
      <c r="M83" s="59">
        <v>175</v>
      </c>
      <c r="O83">
        <f t="shared" si="0"/>
        <v>1.75</v>
      </c>
    </row>
    <row r="84" spans="10:15" x14ac:dyDescent="0.25">
      <c r="J84" s="59">
        <v>3</v>
      </c>
      <c r="K84" s="59">
        <v>24</v>
      </c>
      <c r="L84" s="59">
        <v>8.4000000000000005E-2</v>
      </c>
      <c r="M84" s="59">
        <v>400</v>
      </c>
      <c r="O84">
        <f t="shared" si="0"/>
        <v>4</v>
      </c>
    </row>
    <row r="85" spans="10:15" x14ac:dyDescent="0.25">
      <c r="J85" s="59">
        <v>4</v>
      </c>
      <c r="K85" s="59">
        <v>9</v>
      </c>
      <c r="L85" s="59">
        <v>0.111</v>
      </c>
      <c r="M85" s="59">
        <v>175</v>
      </c>
      <c r="O85">
        <f t="shared" si="0"/>
        <v>1.75</v>
      </c>
    </row>
    <row r="86" spans="10:15" x14ac:dyDescent="0.25">
      <c r="J86" s="59">
        <v>5</v>
      </c>
      <c r="K86" s="59">
        <v>10</v>
      </c>
      <c r="L86" s="59">
        <v>9.4E-2</v>
      </c>
      <c r="M86" s="59">
        <v>350</v>
      </c>
      <c r="O86">
        <f t="shared" si="0"/>
        <v>3.5</v>
      </c>
    </row>
    <row r="87" spans="10:15" x14ac:dyDescent="0.25">
      <c r="J87" s="59">
        <v>6</v>
      </c>
      <c r="K87" s="59">
        <v>10</v>
      </c>
      <c r="L87" s="59">
        <v>6.4199999999999993E-2</v>
      </c>
      <c r="M87" s="59">
        <v>175</v>
      </c>
      <c r="O87">
        <f t="shared" si="0"/>
        <v>1.75</v>
      </c>
    </row>
    <row r="88" spans="10:15" x14ac:dyDescent="0.25">
      <c r="J88" s="59">
        <v>7</v>
      </c>
      <c r="K88" s="59">
        <v>8</v>
      </c>
      <c r="L88" s="59">
        <v>6.5199999999999994E-2</v>
      </c>
      <c r="M88" s="59">
        <v>350</v>
      </c>
      <c r="O88">
        <f t="shared" si="0"/>
        <v>3.5</v>
      </c>
    </row>
    <row r="89" spans="10:15" x14ac:dyDescent="0.25">
      <c r="J89" s="59">
        <v>8</v>
      </c>
      <c r="K89" s="59">
        <v>9</v>
      </c>
      <c r="L89" s="59">
        <v>0.1762</v>
      </c>
      <c r="M89" s="59">
        <v>175</v>
      </c>
      <c r="O89">
        <f t="shared" si="0"/>
        <v>1.75</v>
      </c>
    </row>
    <row r="90" spans="10:15" x14ac:dyDescent="0.25">
      <c r="J90" s="59">
        <v>8</v>
      </c>
      <c r="K90" s="59">
        <v>10</v>
      </c>
      <c r="L90" s="59">
        <v>0.1762</v>
      </c>
      <c r="M90" s="59">
        <v>175</v>
      </c>
      <c r="O90">
        <f t="shared" si="0"/>
        <v>1.75</v>
      </c>
    </row>
    <row r="91" spans="10:15" x14ac:dyDescent="0.25">
      <c r="J91" s="59">
        <v>9</v>
      </c>
      <c r="K91" s="59">
        <v>11</v>
      </c>
      <c r="L91" s="59">
        <v>8.4000000000000005E-2</v>
      </c>
      <c r="M91" s="59">
        <v>400</v>
      </c>
      <c r="O91">
        <f t="shared" si="0"/>
        <v>4</v>
      </c>
    </row>
    <row r="92" spans="10:15" x14ac:dyDescent="0.25">
      <c r="J92" s="59">
        <v>9</v>
      </c>
      <c r="K92" s="59">
        <v>12</v>
      </c>
      <c r="L92" s="59">
        <v>8.4000000000000005E-2</v>
      </c>
      <c r="M92" s="59">
        <v>400</v>
      </c>
      <c r="O92">
        <f t="shared" si="0"/>
        <v>4</v>
      </c>
    </row>
    <row r="93" spans="10:15" x14ac:dyDescent="0.25">
      <c r="J93" s="59">
        <v>10</v>
      </c>
      <c r="K93" s="59">
        <v>11</v>
      </c>
      <c r="L93" s="59">
        <v>8.4000000000000005E-2</v>
      </c>
      <c r="M93" s="59">
        <v>400</v>
      </c>
      <c r="O93">
        <f t="shared" si="0"/>
        <v>4</v>
      </c>
    </row>
    <row r="94" spans="10:15" x14ac:dyDescent="0.25">
      <c r="J94" s="59">
        <v>10</v>
      </c>
      <c r="K94" s="59">
        <v>12</v>
      </c>
      <c r="L94" s="59">
        <v>8.4000000000000005E-2</v>
      </c>
      <c r="M94" s="59">
        <v>400</v>
      </c>
      <c r="O94">
        <f t="shared" si="0"/>
        <v>4</v>
      </c>
    </row>
    <row r="95" spans="10:15" x14ac:dyDescent="0.25">
      <c r="J95" s="59">
        <v>11</v>
      </c>
      <c r="K95" s="59">
        <v>13</v>
      </c>
      <c r="L95" s="59">
        <v>4.8800000000000003E-2</v>
      </c>
      <c r="M95" s="59">
        <v>500</v>
      </c>
      <c r="O95">
        <f t="shared" si="0"/>
        <v>5</v>
      </c>
    </row>
    <row r="96" spans="10:15" x14ac:dyDescent="0.25">
      <c r="J96" s="59">
        <v>11</v>
      </c>
      <c r="K96" s="59">
        <v>14</v>
      </c>
      <c r="L96" s="59">
        <v>4.2599999999999999E-2</v>
      </c>
      <c r="M96" s="59">
        <v>500</v>
      </c>
      <c r="O96">
        <f t="shared" si="0"/>
        <v>5</v>
      </c>
    </row>
    <row r="97" spans="10:15" x14ac:dyDescent="0.25">
      <c r="J97" s="59">
        <v>12</v>
      </c>
      <c r="K97" s="59">
        <v>13</v>
      </c>
      <c r="L97" s="59">
        <v>4.8800000000000003E-2</v>
      </c>
      <c r="M97" s="59">
        <v>500</v>
      </c>
      <c r="O97">
        <f t="shared" si="0"/>
        <v>5</v>
      </c>
    </row>
    <row r="98" spans="10:15" x14ac:dyDescent="0.25">
      <c r="J98" s="59">
        <v>12</v>
      </c>
      <c r="K98" s="59">
        <v>23</v>
      </c>
      <c r="L98" s="59">
        <v>9.8500000000000004E-2</v>
      </c>
      <c r="M98" s="59">
        <v>500</v>
      </c>
      <c r="O98">
        <f t="shared" si="0"/>
        <v>5</v>
      </c>
    </row>
    <row r="99" spans="10:15" x14ac:dyDescent="0.25">
      <c r="J99" s="59">
        <v>13</v>
      </c>
      <c r="K99" s="59">
        <v>23</v>
      </c>
      <c r="L99" s="59">
        <v>8.8400000000000006E-2</v>
      </c>
      <c r="M99" s="59">
        <v>500</v>
      </c>
      <c r="O99">
        <f t="shared" si="0"/>
        <v>5</v>
      </c>
    </row>
    <row r="100" spans="10:15" x14ac:dyDescent="0.25">
      <c r="J100" s="59">
        <v>14</v>
      </c>
      <c r="K100" s="59">
        <v>16</v>
      </c>
      <c r="L100" s="59">
        <v>5.9400000000000001E-2</v>
      </c>
      <c r="M100" s="59">
        <v>500</v>
      </c>
      <c r="O100">
        <f t="shared" si="0"/>
        <v>5</v>
      </c>
    </row>
    <row r="101" spans="10:15" x14ac:dyDescent="0.25">
      <c r="J101" s="59">
        <v>15</v>
      </c>
      <c r="K101" s="59">
        <v>16</v>
      </c>
      <c r="L101" s="59">
        <v>1.72E-2</v>
      </c>
      <c r="M101" s="59">
        <v>500</v>
      </c>
      <c r="O101">
        <f t="shared" si="0"/>
        <v>5</v>
      </c>
    </row>
    <row r="102" spans="10:15" x14ac:dyDescent="0.25">
      <c r="J102" s="59">
        <v>15</v>
      </c>
      <c r="K102" s="59">
        <v>21</v>
      </c>
      <c r="L102" s="59">
        <v>2.4899999999999999E-2</v>
      </c>
      <c r="M102" s="59">
        <v>1000</v>
      </c>
      <c r="O102">
        <f t="shared" si="0"/>
        <v>10</v>
      </c>
    </row>
    <row r="103" spans="10:15" x14ac:dyDescent="0.25">
      <c r="J103" s="59">
        <v>15</v>
      </c>
      <c r="K103" s="59">
        <v>24</v>
      </c>
      <c r="L103" s="59">
        <v>5.2900000000000003E-2</v>
      </c>
      <c r="M103" s="59">
        <v>500</v>
      </c>
      <c r="O103">
        <f t="shared" si="0"/>
        <v>5</v>
      </c>
    </row>
    <row r="104" spans="10:15" x14ac:dyDescent="0.25">
      <c r="J104" s="59">
        <v>16</v>
      </c>
      <c r="K104" s="59">
        <v>17</v>
      </c>
      <c r="L104" s="59">
        <v>2.63E-2</v>
      </c>
      <c r="M104" s="59">
        <v>500</v>
      </c>
      <c r="O104">
        <f t="shared" si="0"/>
        <v>5</v>
      </c>
    </row>
    <row r="105" spans="10:15" x14ac:dyDescent="0.25">
      <c r="J105" s="59">
        <v>16</v>
      </c>
      <c r="K105" s="59">
        <v>19</v>
      </c>
      <c r="L105" s="59">
        <v>2.3400000000000001E-2</v>
      </c>
      <c r="M105" s="59">
        <v>500</v>
      </c>
      <c r="O105">
        <f t="shared" si="0"/>
        <v>5</v>
      </c>
    </row>
    <row r="106" spans="10:15" x14ac:dyDescent="0.25">
      <c r="J106" s="59">
        <v>17</v>
      </c>
      <c r="K106" s="59">
        <v>18</v>
      </c>
      <c r="L106" s="59">
        <v>1.43E-2</v>
      </c>
      <c r="M106" s="59">
        <v>500</v>
      </c>
      <c r="O106">
        <f t="shared" si="0"/>
        <v>5</v>
      </c>
    </row>
    <row r="107" spans="10:15" x14ac:dyDescent="0.25">
      <c r="J107" s="59">
        <v>17</v>
      </c>
      <c r="K107" s="59">
        <v>22</v>
      </c>
      <c r="L107" s="59">
        <v>0.1069</v>
      </c>
      <c r="M107" s="59">
        <v>500</v>
      </c>
      <c r="O107">
        <f t="shared" si="0"/>
        <v>5</v>
      </c>
    </row>
    <row r="108" spans="10:15" x14ac:dyDescent="0.25">
      <c r="J108" s="59">
        <v>18</v>
      </c>
      <c r="K108" s="59">
        <v>21</v>
      </c>
      <c r="L108" s="59">
        <v>1.32E-2</v>
      </c>
      <c r="M108" s="59">
        <v>1000</v>
      </c>
      <c r="O108">
        <f t="shared" si="0"/>
        <v>10</v>
      </c>
    </row>
    <row r="109" spans="10:15" x14ac:dyDescent="0.25">
      <c r="J109" s="59">
        <v>19</v>
      </c>
      <c r="K109" s="59">
        <v>20</v>
      </c>
      <c r="L109" s="59">
        <v>2.0299999999999999E-2</v>
      </c>
      <c r="M109" s="59">
        <v>1000</v>
      </c>
      <c r="O109">
        <f t="shared" si="0"/>
        <v>10</v>
      </c>
    </row>
    <row r="110" spans="10:15" x14ac:dyDescent="0.25">
      <c r="J110" s="59">
        <v>20</v>
      </c>
      <c r="K110" s="59">
        <v>23</v>
      </c>
      <c r="L110" s="59">
        <v>1.12E-2</v>
      </c>
      <c r="M110" s="59">
        <v>1000</v>
      </c>
      <c r="O110">
        <f t="shared" si="0"/>
        <v>10</v>
      </c>
    </row>
    <row r="111" spans="10:15" x14ac:dyDescent="0.25">
      <c r="J111" s="59">
        <v>21</v>
      </c>
      <c r="K111" s="59">
        <v>22</v>
      </c>
      <c r="L111" s="59">
        <v>6.9199999999999998E-2</v>
      </c>
      <c r="M111" s="59">
        <v>500</v>
      </c>
      <c r="O111">
        <f t="shared" si="0"/>
        <v>5</v>
      </c>
    </row>
    <row r="127" spans="11:23" x14ac:dyDescent="0.25">
      <c r="R127" t="s">
        <v>455</v>
      </c>
    </row>
    <row r="128" spans="11:23" x14ac:dyDescent="0.25">
      <c r="K128" s="59" t="s">
        <v>448</v>
      </c>
      <c r="L128" s="59" t="s">
        <v>451</v>
      </c>
      <c r="M128" s="59" t="s">
        <v>452</v>
      </c>
      <c r="N128" s="59" t="s">
        <v>312</v>
      </c>
      <c r="O128" s="59" t="s">
        <v>453</v>
      </c>
      <c r="P128" s="59" t="s">
        <v>454</v>
      </c>
      <c r="R128" s="59" t="s">
        <v>448</v>
      </c>
      <c r="S128" s="59" t="s">
        <v>451</v>
      </c>
      <c r="T128" s="59" t="s">
        <v>452</v>
      </c>
      <c r="U128" s="59" t="s">
        <v>312</v>
      </c>
      <c r="V128" s="59" t="s">
        <v>453</v>
      </c>
      <c r="W128" s="59" t="s">
        <v>454</v>
      </c>
    </row>
    <row r="129" spans="11:23" x14ac:dyDescent="0.25">
      <c r="K129" s="59">
        <v>1</v>
      </c>
      <c r="L129" s="59">
        <v>7</v>
      </c>
      <c r="M129" s="59">
        <v>27</v>
      </c>
      <c r="N129" s="59">
        <v>0.161</v>
      </c>
      <c r="O129" s="59">
        <v>42</v>
      </c>
      <c r="P129" s="59" t="s">
        <v>449</v>
      </c>
      <c r="R129" s="59">
        <v>1</v>
      </c>
      <c r="S129" s="59">
        <v>107</v>
      </c>
      <c r="T129" s="59">
        <v>203</v>
      </c>
      <c r="U129" s="59">
        <v>0.161</v>
      </c>
      <c r="V129" s="59">
        <v>42</v>
      </c>
      <c r="W129" s="59" t="s">
        <v>449</v>
      </c>
    </row>
    <row r="130" spans="11:23" x14ac:dyDescent="0.25">
      <c r="K130" s="59">
        <v>2</v>
      </c>
      <c r="L130" s="59">
        <v>13</v>
      </c>
      <c r="M130" s="59">
        <v>39</v>
      </c>
      <c r="N130" s="59">
        <v>7.4999999999999997E-2</v>
      </c>
      <c r="O130" s="59">
        <v>52</v>
      </c>
      <c r="P130" s="59" t="s">
        <v>449</v>
      </c>
      <c r="R130" s="59">
        <v>2</v>
      </c>
      <c r="S130" s="59">
        <v>113</v>
      </c>
      <c r="T130" s="59">
        <v>215</v>
      </c>
      <c r="U130" s="59">
        <v>7.4999999999999997E-2</v>
      </c>
      <c r="V130" s="59">
        <v>52</v>
      </c>
      <c r="W130" s="59" t="s">
        <v>449</v>
      </c>
    </row>
    <row r="131" spans="11:23" x14ac:dyDescent="0.25">
      <c r="K131" s="59">
        <v>3</v>
      </c>
      <c r="L131" s="59">
        <v>23</v>
      </c>
      <c r="M131" s="59">
        <v>41</v>
      </c>
      <c r="N131" s="59">
        <v>7.3999999999999996E-2</v>
      </c>
      <c r="O131" s="59">
        <v>51</v>
      </c>
      <c r="P131" s="59" t="s">
        <v>449</v>
      </c>
      <c r="R131" s="59">
        <v>3</v>
      </c>
      <c r="S131" s="59">
        <v>123</v>
      </c>
      <c r="T131" s="59">
        <v>217</v>
      </c>
      <c r="U131" s="59">
        <v>7.3999999999999996E-2</v>
      </c>
      <c r="V131" s="59">
        <v>51</v>
      </c>
      <c r="W131" s="59" t="s">
        <v>449</v>
      </c>
    </row>
    <row r="132" spans="11:23" x14ac:dyDescent="0.25">
      <c r="K132" s="59">
        <v>4</v>
      </c>
      <c r="L132" s="59">
        <v>73</v>
      </c>
      <c r="M132" s="59">
        <v>21</v>
      </c>
      <c r="N132" s="59">
        <v>9.7000000000000003E-2</v>
      </c>
      <c r="O132" s="59">
        <v>67</v>
      </c>
      <c r="P132" s="59" t="s">
        <v>449</v>
      </c>
      <c r="R132" s="59">
        <v>4</v>
      </c>
      <c r="S132" s="59">
        <v>325</v>
      </c>
      <c r="T132" s="59">
        <v>121</v>
      </c>
      <c r="U132" s="59">
        <v>9.7000000000000003E-2</v>
      </c>
      <c r="V132" s="59">
        <v>67</v>
      </c>
      <c r="W132" s="59" t="s">
        <v>449</v>
      </c>
    </row>
    <row r="133" spans="11:23" x14ac:dyDescent="0.25">
      <c r="K133" s="59">
        <v>5</v>
      </c>
      <c r="L133" s="59">
        <v>66</v>
      </c>
      <c r="M133" s="59">
        <v>47</v>
      </c>
      <c r="N133" s="59">
        <v>0.104</v>
      </c>
      <c r="O133" s="59">
        <v>72</v>
      </c>
      <c r="P133" s="59" t="s">
        <v>449</v>
      </c>
      <c r="R133" s="59">
        <v>5</v>
      </c>
      <c r="S133" s="59">
        <v>318</v>
      </c>
      <c r="T133" s="59">
        <v>223</v>
      </c>
      <c r="U133" s="59">
        <v>0.104</v>
      </c>
      <c r="V133" s="59">
        <v>72</v>
      </c>
      <c r="W133" s="59" t="s">
        <v>449</v>
      </c>
    </row>
    <row r="134" spans="11:23" x14ac:dyDescent="0.25">
      <c r="K134" s="59">
        <v>6</v>
      </c>
      <c r="L134" s="59">
        <v>11</v>
      </c>
      <c r="M134" s="59">
        <v>13</v>
      </c>
      <c r="N134" s="59">
        <v>4.7600000000000003E-2</v>
      </c>
      <c r="O134" s="59">
        <v>33</v>
      </c>
      <c r="P134" s="59" t="s">
        <v>450</v>
      </c>
      <c r="R134" s="59">
        <v>6</v>
      </c>
      <c r="S134" s="59">
        <v>111</v>
      </c>
      <c r="T134" s="59">
        <v>113</v>
      </c>
      <c r="U134" s="59">
        <v>4.7600000000000003E-2</v>
      </c>
      <c r="V134" s="59">
        <v>33</v>
      </c>
      <c r="W134" s="59" t="s">
        <v>450</v>
      </c>
    </row>
    <row r="135" spans="11:23" x14ac:dyDescent="0.25">
      <c r="K135" s="59">
        <v>7</v>
      </c>
      <c r="L135" s="59">
        <v>11</v>
      </c>
      <c r="M135" s="59">
        <v>14</v>
      </c>
      <c r="N135" s="59">
        <v>4.1799999999999997E-2</v>
      </c>
      <c r="O135" s="59">
        <v>29</v>
      </c>
      <c r="P135" s="59" t="s">
        <v>450</v>
      </c>
      <c r="R135" s="59">
        <v>7</v>
      </c>
      <c r="S135" s="59">
        <v>111</v>
      </c>
      <c r="T135" s="59">
        <v>114</v>
      </c>
      <c r="U135" s="59">
        <v>4.1799999999999997E-2</v>
      </c>
      <c r="V135" s="59">
        <v>29</v>
      </c>
      <c r="W135" s="59" t="s">
        <v>450</v>
      </c>
    </row>
    <row r="136" spans="11:23" x14ac:dyDescent="0.25">
      <c r="K136" s="59">
        <v>8</v>
      </c>
      <c r="L136" s="59">
        <v>12</v>
      </c>
      <c r="M136" s="59">
        <v>13</v>
      </c>
      <c r="N136" s="59">
        <v>4.7600000000000003E-2</v>
      </c>
      <c r="O136" s="59">
        <v>33</v>
      </c>
      <c r="P136" s="59" t="s">
        <v>450</v>
      </c>
      <c r="R136" s="59">
        <v>8</v>
      </c>
      <c r="S136" s="59">
        <v>112</v>
      </c>
      <c r="T136" s="59">
        <v>113</v>
      </c>
      <c r="U136" s="59">
        <v>4.7600000000000003E-2</v>
      </c>
      <c r="V136" s="59">
        <v>33</v>
      </c>
      <c r="W136" s="59" t="s">
        <v>450</v>
      </c>
    </row>
    <row r="137" spans="11:23" x14ac:dyDescent="0.25">
      <c r="K137" s="59">
        <v>9</v>
      </c>
      <c r="L137" s="59">
        <v>35</v>
      </c>
      <c r="M137" s="59">
        <v>38</v>
      </c>
      <c r="N137" s="59">
        <v>4.1799999999999997E-2</v>
      </c>
      <c r="O137" s="59">
        <v>29</v>
      </c>
      <c r="P137" s="59" t="s">
        <v>450</v>
      </c>
      <c r="R137" s="59">
        <v>9</v>
      </c>
      <c r="S137" s="59">
        <v>211</v>
      </c>
      <c r="T137" s="59">
        <v>214</v>
      </c>
      <c r="U137" s="59">
        <v>4.1799999999999997E-2</v>
      </c>
      <c r="V137" s="59">
        <v>29</v>
      </c>
      <c r="W137" s="59" t="s">
        <v>450</v>
      </c>
    </row>
    <row r="138" spans="11:23" x14ac:dyDescent="0.25">
      <c r="K138" s="59">
        <v>10</v>
      </c>
      <c r="L138" s="59">
        <v>36</v>
      </c>
      <c r="M138" s="59">
        <v>37</v>
      </c>
      <c r="N138" s="59">
        <v>4.7600000000000003E-2</v>
      </c>
      <c r="O138" s="59">
        <v>33</v>
      </c>
      <c r="P138" s="59" t="s">
        <v>450</v>
      </c>
      <c r="R138" s="59">
        <v>10</v>
      </c>
      <c r="S138" s="59">
        <v>212</v>
      </c>
      <c r="T138" s="59">
        <v>213</v>
      </c>
      <c r="U138" s="59">
        <v>4.7600000000000003E-2</v>
      </c>
      <c r="V138" s="59">
        <v>33</v>
      </c>
      <c r="W138" s="59" t="s">
        <v>450</v>
      </c>
    </row>
    <row r="139" spans="11:23" x14ac:dyDescent="0.25">
      <c r="K139" s="59">
        <v>11</v>
      </c>
      <c r="L139" s="59">
        <v>39</v>
      </c>
      <c r="M139" s="59">
        <v>48</v>
      </c>
      <c r="N139" s="59">
        <v>5.1900000000000002E-2</v>
      </c>
      <c r="O139" s="59">
        <v>36</v>
      </c>
      <c r="P139" s="59" t="s">
        <v>450</v>
      </c>
      <c r="R139" s="59">
        <v>11</v>
      </c>
      <c r="S139" s="59">
        <v>215</v>
      </c>
      <c r="T139" s="59">
        <v>224</v>
      </c>
      <c r="U139" s="59">
        <v>5.1900000000000002E-2</v>
      </c>
      <c r="V139" s="59">
        <v>36</v>
      </c>
      <c r="W139" s="59" t="s">
        <v>450</v>
      </c>
    </row>
    <row r="140" spans="11:23" x14ac:dyDescent="0.25">
      <c r="K140" s="59">
        <v>12</v>
      </c>
      <c r="L140" s="59">
        <v>60</v>
      </c>
      <c r="M140" s="59">
        <v>71</v>
      </c>
      <c r="N140" s="59">
        <v>9.6600000000000005E-2</v>
      </c>
      <c r="O140" s="59">
        <v>67</v>
      </c>
      <c r="P140" s="59" t="s">
        <v>450</v>
      </c>
      <c r="R140" s="59">
        <v>12</v>
      </c>
      <c r="S140" s="59">
        <v>312</v>
      </c>
      <c r="T140" s="59">
        <v>323</v>
      </c>
      <c r="U140" s="59">
        <v>9.6600000000000005E-2</v>
      </c>
      <c r="V140" s="59">
        <v>67</v>
      </c>
      <c r="W140" s="59" t="s">
        <v>450</v>
      </c>
    </row>
    <row r="141" spans="11:23" x14ac:dyDescent="0.25">
      <c r="K141" s="59">
        <v>13</v>
      </c>
      <c r="L141" s="59">
        <v>63</v>
      </c>
      <c r="M141" s="59">
        <v>72</v>
      </c>
      <c r="N141" s="59">
        <v>5.1900000000000002E-2</v>
      </c>
      <c r="O141" s="59">
        <v>36</v>
      </c>
      <c r="P141" s="59" t="s">
        <v>450</v>
      </c>
      <c r="R141" s="59">
        <v>13</v>
      </c>
      <c r="S141" s="59">
        <v>315</v>
      </c>
      <c r="T141" s="59">
        <v>324</v>
      </c>
      <c r="U141" s="59">
        <v>5.1900000000000002E-2</v>
      </c>
      <c r="V141" s="59">
        <v>36</v>
      </c>
      <c r="W141" s="59" t="s">
        <v>450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0439-3A65-462E-9C31-E96FD91EEFE4}">
  <sheetPr>
    <tabColor theme="9" tint="0.79998168889431442"/>
  </sheetPr>
  <dimension ref="A1:L128"/>
  <sheetViews>
    <sheetView workbookViewId="0">
      <selection activeCell="G2" sqref="G2"/>
    </sheetView>
  </sheetViews>
  <sheetFormatPr defaultColWidth="8.88671875" defaultRowHeight="13.8" x14ac:dyDescent="0.25"/>
  <cols>
    <col min="1" max="1" width="8.88671875" style="1"/>
    <col min="2" max="2" width="6.77734375" style="1" bestFit="1" customWidth="1"/>
    <col min="3" max="3" width="9.44140625" style="1" bestFit="1" customWidth="1"/>
    <col min="4" max="4" width="10.88671875" style="1" bestFit="1" customWidth="1"/>
    <col min="5" max="6" width="8.88671875" style="1"/>
    <col min="7" max="7" width="11.33203125" style="1" bestFit="1" customWidth="1"/>
    <col min="8" max="8" width="22.21875" style="1" customWidth="1"/>
    <col min="9" max="9" width="8.33203125" style="1" bestFit="1" customWidth="1"/>
    <col min="10" max="16384" width="8.88671875" style="1"/>
  </cols>
  <sheetData>
    <row r="1" spans="1:12" x14ac:dyDescent="0.25">
      <c r="A1" s="60" t="s">
        <v>14</v>
      </c>
      <c r="B1" s="60" t="s">
        <v>15</v>
      </c>
      <c r="C1" s="60" t="s">
        <v>16</v>
      </c>
      <c r="D1" s="60" t="s">
        <v>17</v>
      </c>
      <c r="E1" s="60" t="s">
        <v>18</v>
      </c>
      <c r="F1" s="60" t="s">
        <v>19</v>
      </c>
      <c r="G1" s="60" t="s">
        <v>441</v>
      </c>
      <c r="H1" s="60" t="s">
        <v>85</v>
      </c>
      <c r="I1" s="60" t="s">
        <v>72</v>
      </c>
    </row>
    <row r="2" spans="1:12" x14ac:dyDescent="0.25">
      <c r="A2" s="61">
        <v>1</v>
      </c>
      <c r="B2" s="61">
        <v>1</v>
      </c>
      <c r="C2" s="62">
        <v>3</v>
      </c>
      <c r="D2" s="61">
        <v>101</v>
      </c>
      <c r="E2" s="61">
        <v>102</v>
      </c>
      <c r="F2" s="61">
        <v>1.46E-2</v>
      </c>
      <c r="G2" s="1">
        <v>1.05</v>
      </c>
      <c r="H2" s="61">
        <v>2850.0000000000005</v>
      </c>
      <c r="I2" s="61">
        <v>40</v>
      </c>
    </row>
    <row r="3" spans="1:12" x14ac:dyDescent="0.25">
      <c r="A3" s="61">
        <v>2</v>
      </c>
      <c r="B3" s="61">
        <v>1</v>
      </c>
      <c r="C3" s="62">
        <v>3</v>
      </c>
      <c r="D3" s="61">
        <v>101</v>
      </c>
      <c r="E3" s="61">
        <v>103</v>
      </c>
      <c r="F3" s="61">
        <v>0.2253</v>
      </c>
      <c r="G3" s="1">
        <v>1.05</v>
      </c>
      <c r="H3" s="61">
        <v>52250</v>
      </c>
      <c r="I3" s="61">
        <v>40</v>
      </c>
    </row>
    <row r="4" spans="1:12" x14ac:dyDescent="0.25">
      <c r="A4" s="73">
        <v>3</v>
      </c>
      <c r="B4" s="73">
        <v>0</v>
      </c>
      <c r="C4" s="74">
        <v>3</v>
      </c>
      <c r="D4" s="73">
        <v>101</v>
      </c>
      <c r="E4" s="73">
        <v>105</v>
      </c>
      <c r="F4" s="73">
        <v>9.0700000000000003E-2</v>
      </c>
      <c r="G4" s="75">
        <v>1.5</v>
      </c>
      <c r="H4" s="73">
        <v>20900</v>
      </c>
      <c r="I4" s="73">
        <v>40</v>
      </c>
    </row>
    <row r="5" spans="1:12" s="61" customFormat="1" x14ac:dyDescent="0.25">
      <c r="A5" s="61">
        <v>4</v>
      </c>
      <c r="B5" s="61">
        <v>1</v>
      </c>
      <c r="C5" s="62">
        <v>3</v>
      </c>
      <c r="D5" s="61">
        <v>102</v>
      </c>
      <c r="E5" s="61">
        <v>104</v>
      </c>
      <c r="F5" s="61">
        <v>0.1356</v>
      </c>
      <c r="G5" s="61">
        <v>1.05</v>
      </c>
      <c r="H5" s="61">
        <v>31350.000000000004</v>
      </c>
      <c r="I5" s="61">
        <v>40</v>
      </c>
    </row>
    <row r="6" spans="1:12" x14ac:dyDescent="0.25">
      <c r="A6" s="61">
        <v>5</v>
      </c>
      <c r="B6" s="61">
        <v>1</v>
      </c>
      <c r="C6" s="62">
        <v>3</v>
      </c>
      <c r="D6" s="61">
        <v>102</v>
      </c>
      <c r="E6" s="61">
        <v>106</v>
      </c>
      <c r="F6" s="61">
        <v>0.20499999999999999</v>
      </c>
      <c r="G6" s="1">
        <v>1.05</v>
      </c>
      <c r="H6" s="61">
        <v>47500</v>
      </c>
      <c r="I6" s="61">
        <v>40</v>
      </c>
    </row>
    <row r="7" spans="1:12" x14ac:dyDescent="0.25">
      <c r="A7" s="61">
        <v>6</v>
      </c>
      <c r="B7" s="61">
        <v>1</v>
      </c>
      <c r="C7" s="62">
        <v>3</v>
      </c>
      <c r="D7" s="61">
        <v>103</v>
      </c>
      <c r="E7" s="61">
        <v>109</v>
      </c>
      <c r="F7" s="61">
        <v>0.12709999999999999</v>
      </c>
      <c r="G7" s="1">
        <v>1.05</v>
      </c>
      <c r="H7" s="61">
        <v>29450</v>
      </c>
      <c r="I7" s="61">
        <v>40</v>
      </c>
    </row>
    <row r="8" spans="1:12" x14ac:dyDescent="0.25">
      <c r="A8" s="61">
        <v>7</v>
      </c>
      <c r="B8" s="61">
        <v>1</v>
      </c>
      <c r="C8" s="62">
        <v>3</v>
      </c>
      <c r="D8" s="61">
        <v>103</v>
      </c>
      <c r="E8" s="61">
        <v>124</v>
      </c>
      <c r="F8" s="61">
        <v>8.4000000000000005E-2</v>
      </c>
      <c r="G8" s="1">
        <v>2.4</v>
      </c>
      <c r="H8" s="61">
        <v>47500</v>
      </c>
      <c r="I8" s="61">
        <v>40</v>
      </c>
    </row>
    <row r="9" spans="1:12" s="61" customFormat="1" x14ac:dyDescent="0.25">
      <c r="A9" s="61">
        <v>8</v>
      </c>
      <c r="B9" s="61">
        <v>1</v>
      </c>
      <c r="C9" s="62">
        <v>3</v>
      </c>
      <c r="D9" s="61">
        <v>104</v>
      </c>
      <c r="E9" s="61">
        <v>109</v>
      </c>
      <c r="F9" s="61">
        <v>0.111</v>
      </c>
      <c r="G9" s="61">
        <v>1.05</v>
      </c>
      <c r="H9" s="61">
        <v>25650</v>
      </c>
      <c r="I9" s="61">
        <v>40</v>
      </c>
    </row>
    <row r="10" spans="1:12" x14ac:dyDescent="0.25">
      <c r="A10" s="73">
        <v>9</v>
      </c>
      <c r="B10" s="73">
        <v>0</v>
      </c>
      <c r="C10" s="74">
        <v>3</v>
      </c>
      <c r="D10" s="73">
        <v>105</v>
      </c>
      <c r="E10" s="73">
        <v>110</v>
      </c>
      <c r="F10" s="73">
        <v>9.4E-2</v>
      </c>
      <c r="G10" s="75">
        <v>1.5</v>
      </c>
      <c r="H10" s="73">
        <v>21850</v>
      </c>
      <c r="I10" s="73">
        <v>40</v>
      </c>
    </row>
    <row r="11" spans="1:12" x14ac:dyDescent="0.25">
      <c r="A11" s="61">
        <v>10</v>
      </c>
      <c r="B11" s="61">
        <v>1</v>
      </c>
      <c r="C11" s="62">
        <v>3</v>
      </c>
      <c r="D11" s="61">
        <v>106</v>
      </c>
      <c r="E11" s="61">
        <v>110</v>
      </c>
      <c r="F11" s="61">
        <v>6.4199999999999993E-2</v>
      </c>
      <c r="G11" s="1">
        <v>1.05</v>
      </c>
      <c r="H11" s="61">
        <v>15200</v>
      </c>
      <c r="I11" s="61">
        <v>40</v>
      </c>
    </row>
    <row r="12" spans="1:12" s="49" customFormat="1" x14ac:dyDescent="0.25">
      <c r="A12" s="61">
        <v>11</v>
      </c>
      <c r="B12" s="63">
        <v>1</v>
      </c>
      <c r="C12" s="63">
        <v>3</v>
      </c>
      <c r="D12" s="63">
        <v>107</v>
      </c>
      <c r="E12" s="63">
        <v>108</v>
      </c>
      <c r="F12" s="64">
        <v>6.5199999999999994E-2</v>
      </c>
      <c r="G12" s="1">
        <v>2.1</v>
      </c>
      <c r="H12" s="65">
        <v>30400</v>
      </c>
      <c r="I12" s="63">
        <v>40</v>
      </c>
      <c r="K12" s="1"/>
      <c r="L12" s="1"/>
    </row>
    <row r="13" spans="1:12" x14ac:dyDescent="0.25">
      <c r="A13" s="61">
        <v>12</v>
      </c>
      <c r="B13" s="61">
        <v>1</v>
      </c>
      <c r="C13" s="62">
        <v>3</v>
      </c>
      <c r="D13" s="61">
        <v>108</v>
      </c>
      <c r="E13" s="61">
        <v>109</v>
      </c>
      <c r="F13" s="61">
        <v>0.1762</v>
      </c>
      <c r="G13" s="1">
        <v>1.05</v>
      </c>
      <c r="H13" s="61">
        <v>40850</v>
      </c>
      <c r="I13" s="61">
        <v>40</v>
      </c>
    </row>
    <row r="14" spans="1:12" x14ac:dyDescent="0.25">
      <c r="A14" s="61">
        <v>13</v>
      </c>
      <c r="B14" s="61">
        <v>1</v>
      </c>
      <c r="C14" s="62">
        <v>3</v>
      </c>
      <c r="D14" s="61">
        <v>108</v>
      </c>
      <c r="E14" s="61">
        <v>110</v>
      </c>
      <c r="F14" s="61">
        <v>0.1762</v>
      </c>
      <c r="G14" s="1">
        <v>1.05</v>
      </c>
      <c r="H14" s="61">
        <v>40850</v>
      </c>
      <c r="I14" s="61">
        <v>40</v>
      </c>
    </row>
    <row r="15" spans="1:12" x14ac:dyDescent="0.25">
      <c r="A15" s="61">
        <v>14</v>
      </c>
      <c r="B15" s="61">
        <v>1</v>
      </c>
      <c r="C15" s="62">
        <v>3</v>
      </c>
      <c r="D15" s="61">
        <v>109</v>
      </c>
      <c r="E15" s="61">
        <v>111</v>
      </c>
      <c r="F15" s="61">
        <v>8.4000000000000005E-2</v>
      </c>
      <c r="G15" s="1">
        <v>2.4</v>
      </c>
      <c r="H15" s="61">
        <v>47500</v>
      </c>
      <c r="I15" s="61">
        <v>40</v>
      </c>
    </row>
    <row r="16" spans="1:12" x14ac:dyDescent="0.25">
      <c r="A16" s="61">
        <v>15</v>
      </c>
      <c r="B16" s="61">
        <v>1</v>
      </c>
      <c r="C16" s="62">
        <v>3</v>
      </c>
      <c r="D16" s="61">
        <v>109</v>
      </c>
      <c r="E16" s="61">
        <v>112</v>
      </c>
      <c r="F16" s="61">
        <v>8.4000000000000005E-2</v>
      </c>
      <c r="G16" s="1">
        <v>2.4</v>
      </c>
      <c r="H16" s="61">
        <v>47500</v>
      </c>
      <c r="I16" s="61">
        <v>40</v>
      </c>
    </row>
    <row r="17" spans="1:9" x14ac:dyDescent="0.25">
      <c r="A17" s="61">
        <v>16</v>
      </c>
      <c r="B17" s="61">
        <v>1</v>
      </c>
      <c r="C17" s="62">
        <v>3</v>
      </c>
      <c r="D17" s="61">
        <v>110</v>
      </c>
      <c r="E17" s="61">
        <v>111</v>
      </c>
      <c r="F17" s="61">
        <v>8.4000000000000005E-2</v>
      </c>
      <c r="G17" s="1">
        <v>2.4</v>
      </c>
      <c r="H17" s="61">
        <v>47500</v>
      </c>
      <c r="I17" s="61">
        <v>40</v>
      </c>
    </row>
    <row r="18" spans="1:9" x14ac:dyDescent="0.25">
      <c r="A18" s="61">
        <v>17</v>
      </c>
      <c r="B18" s="61">
        <v>1</v>
      </c>
      <c r="C18" s="62">
        <v>3</v>
      </c>
      <c r="D18" s="61">
        <v>110</v>
      </c>
      <c r="E18" s="61">
        <v>112</v>
      </c>
      <c r="F18" s="61">
        <v>8.4000000000000005E-2</v>
      </c>
      <c r="G18" s="1">
        <v>2.4</v>
      </c>
      <c r="H18" s="61">
        <v>47500</v>
      </c>
      <c r="I18" s="61">
        <v>40</v>
      </c>
    </row>
    <row r="19" spans="1:9" x14ac:dyDescent="0.25">
      <c r="A19" s="61">
        <v>18</v>
      </c>
      <c r="B19" s="61">
        <v>1</v>
      </c>
      <c r="C19" s="62">
        <v>3</v>
      </c>
      <c r="D19" s="61">
        <v>111</v>
      </c>
      <c r="E19" s="61">
        <v>113</v>
      </c>
      <c r="F19" s="61">
        <v>4.8800000000000003E-2</v>
      </c>
      <c r="G19" s="1">
        <v>3</v>
      </c>
      <c r="H19" s="61">
        <v>31350.000000000004</v>
      </c>
      <c r="I19" s="61">
        <v>40</v>
      </c>
    </row>
    <row r="20" spans="1:9" x14ac:dyDescent="0.25">
      <c r="A20" s="61">
        <v>19</v>
      </c>
      <c r="B20" s="61">
        <v>1</v>
      </c>
      <c r="C20" s="62">
        <v>3</v>
      </c>
      <c r="D20" s="61">
        <v>111</v>
      </c>
      <c r="E20" s="61">
        <v>114</v>
      </c>
      <c r="F20" s="61">
        <v>4.2599999999999999E-2</v>
      </c>
      <c r="G20" s="1">
        <v>3</v>
      </c>
      <c r="H20" s="61">
        <v>27550</v>
      </c>
      <c r="I20" s="61">
        <v>40</v>
      </c>
    </row>
    <row r="21" spans="1:9" x14ac:dyDescent="0.25">
      <c r="A21" s="61">
        <v>20</v>
      </c>
      <c r="B21" s="61">
        <v>1</v>
      </c>
      <c r="C21" s="62">
        <v>3</v>
      </c>
      <c r="D21" s="61">
        <v>112</v>
      </c>
      <c r="E21" s="61">
        <v>113</v>
      </c>
      <c r="F21" s="61">
        <v>4.8800000000000003E-2</v>
      </c>
      <c r="G21" s="1">
        <v>3</v>
      </c>
      <c r="H21" s="61">
        <v>31350.000000000004</v>
      </c>
      <c r="I21" s="61">
        <v>40</v>
      </c>
    </row>
    <row r="22" spans="1:9" x14ac:dyDescent="0.25">
      <c r="A22" s="61">
        <v>21</v>
      </c>
      <c r="B22" s="61">
        <v>1</v>
      </c>
      <c r="C22" s="62">
        <v>3</v>
      </c>
      <c r="D22" s="61">
        <v>112</v>
      </c>
      <c r="E22" s="61">
        <v>123</v>
      </c>
      <c r="F22" s="61">
        <v>9.8500000000000004E-2</v>
      </c>
      <c r="G22" s="1">
        <v>3</v>
      </c>
      <c r="H22" s="61">
        <v>63650</v>
      </c>
      <c r="I22" s="61">
        <v>40</v>
      </c>
    </row>
    <row r="23" spans="1:9" x14ac:dyDescent="0.25">
      <c r="A23" s="61">
        <v>22</v>
      </c>
      <c r="B23" s="61">
        <v>1</v>
      </c>
      <c r="C23" s="62">
        <v>3</v>
      </c>
      <c r="D23" s="61">
        <v>113</v>
      </c>
      <c r="E23" s="61">
        <v>123</v>
      </c>
      <c r="F23" s="61">
        <v>8.8400000000000006E-2</v>
      </c>
      <c r="G23" s="1">
        <v>1.5</v>
      </c>
      <c r="H23" s="61">
        <v>57000</v>
      </c>
      <c r="I23" s="61">
        <v>40</v>
      </c>
    </row>
    <row r="24" spans="1:9" x14ac:dyDescent="0.25">
      <c r="A24" s="61">
        <v>23</v>
      </c>
      <c r="B24" s="61">
        <v>1</v>
      </c>
      <c r="C24" s="62">
        <v>3</v>
      </c>
      <c r="D24" s="61">
        <v>114</v>
      </c>
      <c r="E24" s="61">
        <v>116</v>
      </c>
      <c r="F24" s="61">
        <v>5.9400000000000001E-2</v>
      </c>
      <c r="G24" s="1">
        <v>1.5</v>
      </c>
      <c r="H24" s="61">
        <v>25650</v>
      </c>
      <c r="I24" s="61">
        <v>40</v>
      </c>
    </row>
    <row r="25" spans="1:9" x14ac:dyDescent="0.25">
      <c r="A25" s="61">
        <v>24</v>
      </c>
      <c r="B25" s="61">
        <v>1</v>
      </c>
      <c r="C25" s="62">
        <v>3</v>
      </c>
      <c r="D25" s="61">
        <v>115</v>
      </c>
      <c r="E25" s="61">
        <v>116</v>
      </c>
      <c r="F25" s="61">
        <v>1.72E-2</v>
      </c>
      <c r="G25" s="1">
        <v>3</v>
      </c>
      <c r="H25" s="61">
        <v>11400.000000000002</v>
      </c>
      <c r="I25" s="61">
        <v>40</v>
      </c>
    </row>
    <row r="26" spans="1:9" x14ac:dyDescent="0.25">
      <c r="A26" s="61">
        <v>25</v>
      </c>
      <c r="B26" s="61">
        <v>1</v>
      </c>
      <c r="C26" s="62">
        <v>3</v>
      </c>
      <c r="D26" s="61">
        <v>115</v>
      </c>
      <c r="E26" s="61">
        <v>121</v>
      </c>
      <c r="F26" s="61">
        <v>2.4899999999999999E-2</v>
      </c>
      <c r="G26" s="1">
        <v>2.4</v>
      </c>
      <c r="H26" s="61">
        <v>32300</v>
      </c>
      <c r="I26" s="61">
        <v>40</v>
      </c>
    </row>
    <row r="27" spans="1:9" x14ac:dyDescent="0.25">
      <c r="A27" s="61">
        <v>26</v>
      </c>
      <c r="B27" s="61">
        <v>1</v>
      </c>
      <c r="C27" s="62">
        <v>3</v>
      </c>
      <c r="D27" s="61">
        <v>115</v>
      </c>
      <c r="E27" s="61">
        <v>124</v>
      </c>
      <c r="F27" s="61">
        <v>5.2900000000000003E-2</v>
      </c>
      <c r="G27" s="1">
        <v>3</v>
      </c>
      <c r="H27" s="61">
        <v>17100</v>
      </c>
      <c r="I27" s="61">
        <v>40</v>
      </c>
    </row>
    <row r="28" spans="1:9" x14ac:dyDescent="0.25">
      <c r="A28" s="61">
        <v>27</v>
      </c>
      <c r="B28" s="61">
        <v>1</v>
      </c>
      <c r="C28" s="62">
        <v>3</v>
      </c>
      <c r="D28" s="61">
        <v>116</v>
      </c>
      <c r="E28" s="61">
        <v>117</v>
      </c>
      <c r="F28" s="61">
        <v>2.63E-2</v>
      </c>
      <c r="G28" s="1">
        <v>3</v>
      </c>
      <c r="H28" s="61">
        <v>15200</v>
      </c>
      <c r="I28" s="61">
        <v>40</v>
      </c>
    </row>
    <row r="29" spans="1:9" x14ac:dyDescent="0.25">
      <c r="A29" s="61">
        <v>28</v>
      </c>
      <c r="B29" s="61">
        <v>1</v>
      </c>
      <c r="C29" s="62">
        <v>3</v>
      </c>
      <c r="D29" s="61">
        <v>116</v>
      </c>
      <c r="E29" s="61">
        <v>119</v>
      </c>
      <c r="F29" s="61">
        <v>2.3400000000000001E-2</v>
      </c>
      <c r="G29" s="1">
        <v>3</v>
      </c>
      <c r="H29" s="61">
        <v>9500</v>
      </c>
      <c r="I29" s="61">
        <v>40</v>
      </c>
    </row>
    <row r="30" spans="1:9" x14ac:dyDescent="0.25">
      <c r="A30" s="61">
        <v>29</v>
      </c>
      <c r="B30" s="61">
        <v>1</v>
      </c>
      <c r="C30" s="62">
        <v>3</v>
      </c>
      <c r="D30" s="61">
        <v>117</v>
      </c>
      <c r="E30" s="61">
        <v>118</v>
      </c>
      <c r="F30" s="61">
        <v>1.43E-2</v>
      </c>
      <c r="G30" s="1">
        <v>3</v>
      </c>
      <c r="H30" s="61">
        <v>69350</v>
      </c>
      <c r="I30" s="61">
        <v>40</v>
      </c>
    </row>
    <row r="31" spans="1:9" x14ac:dyDescent="0.25">
      <c r="A31" s="61">
        <v>30</v>
      </c>
      <c r="B31" s="61">
        <v>1</v>
      </c>
      <c r="C31" s="61">
        <v>3</v>
      </c>
      <c r="D31" s="61">
        <v>117</v>
      </c>
      <c r="E31" s="61">
        <v>122</v>
      </c>
      <c r="F31" s="61">
        <v>0.1069</v>
      </c>
      <c r="G31" s="1">
        <v>3</v>
      </c>
      <c r="H31" s="61">
        <v>17100</v>
      </c>
      <c r="I31" s="61">
        <v>40</v>
      </c>
    </row>
    <row r="32" spans="1:9" x14ac:dyDescent="0.25">
      <c r="A32" s="61">
        <v>31</v>
      </c>
      <c r="B32" s="61">
        <v>1</v>
      </c>
      <c r="C32" s="61">
        <v>3</v>
      </c>
      <c r="D32" s="61">
        <v>118</v>
      </c>
      <c r="E32" s="61">
        <v>121</v>
      </c>
      <c r="F32" s="61">
        <v>1.32E-2</v>
      </c>
      <c r="G32" s="1">
        <v>6</v>
      </c>
      <c r="H32" s="61">
        <v>26125</v>
      </c>
      <c r="I32" s="61">
        <v>40</v>
      </c>
    </row>
    <row r="33" spans="1:12" x14ac:dyDescent="0.25">
      <c r="A33" s="61">
        <v>32</v>
      </c>
      <c r="B33" s="61">
        <v>1</v>
      </c>
      <c r="C33" s="61">
        <v>3</v>
      </c>
      <c r="D33" s="61">
        <v>119</v>
      </c>
      <c r="E33" s="61">
        <v>120</v>
      </c>
      <c r="F33" s="61">
        <v>2.0299999999999999E-2</v>
      </c>
      <c r="G33" s="1">
        <v>6</v>
      </c>
      <c r="H33" s="61">
        <v>44650</v>
      </c>
      <c r="I33" s="61">
        <v>40</v>
      </c>
    </row>
    <row r="34" spans="1:12" x14ac:dyDescent="0.25">
      <c r="A34" s="61">
        <v>33</v>
      </c>
      <c r="B34" s="61">
        <v>1</v>
      </c>
      <c r="C34" s="61">
        <v>3</v>
      </c>
      <c r="D34" s="61">
        <v>120</v>
      </c>
      <c r="E34" s="61">
        <v>123</v>
      </c>
      <c r="F34" s="61">
        <v>1.12E-2</v>
      </c>
      <c r="G34" s="1">
        <v>6</v>
      </c>
      <c r="H34" s="61">
        <v>31349.999999999996</v>
      </c>
      <c r="I34" s="61">
        <v>40</v>
      </c>
    </row>
    <row r="35" spans="1:12" x14ac:dyDescent="0.25">
      <c r="A35" s="61">
        <v>34</v>
      </c>
      <c r="B35" s="61">
        <v>1</v>
      </c>
      <c r="C35" s="61">
        <v>3</v>
      </c>
      <c r="D35" s="61">
        <v>121</v>
      </c>
      <c r="E35" s="61">
        <v>122</v>
      </c>
      <c r="F35" s="61">
        <v>6.9199999999999998E-2</v>
      </c>
      <c r="G35" s="1">
        <v>3</v>
      </c>
      <c r="H35" s="61">
        <v>29450</v>
      </c>
      <c r="I35" s="61">
        <v>40</v>
      </c>
    </row>
    <row r="36" spans="1:12" x14ac:dyDescent="0.25">
      <c r="A36" s="61">
        <v>35</v>
      </c>
      <c r="B36" s="61">
        <v>1</v>
      </c>
      <c r="C36" s="62">
        <v>3</v>
      </c>
      <c r="D36" s="61">
        <v>201</v>
      </c>
      <c r="E36" s="61">
        <v>202</v>
      </c>
      <c r="F36" s="61">
        <v>1.46E-2</v>
      </c>
      <c r="G36" s="1">
        <v>1.05</v>
      </c>
      <c r="H36" s="61">
        <v>2850.0000000000005</v>
      </c>
      <c r="I36" s="61">
        <v>40</v>
      </c>
    </row>
    <row r="37" spans="1:12" x14ac:dyDescent="0.25">
      <c r="A37" s="61">
        <v>36</v>
      </c>
      <c r="B37" s="61">
        <v>1</v>
      </c>
      <c r="C37" s="62">
        <v>3</v>
      </c>
      <c r="D37" s="61">
        <v>201</v>
      </c>
      <c r="E37" s="61">
        <v>203</v>
      </c>
      <c r="F37" s="61">
        <v>0.2253</v>
      </c>
      <c r="G37" s="1">
        <v>1.05</v>
      </c>
      <c r="H37" s="61">
        <v>52250</v>
      </c>
      <c r="I37" s="61">
        <v>40</v>
      </c>
    </row>
    <row r="38" spans="1:12" x14ac:dyDescent="0.25">
      <c r="A38" s="73">
        <v>37</v>
      </c>
      <c r="B38" s="73">
        <v>1</v>
      </c>
      <c r="C38" s="74">
        <v>3</v>
      </c>
      <c r="D38" s="73">
        <v>201</v>
      </c>
      <c r="E38" s="73">
        <v>205</v>
      </c>
      <c r="F38" s="73">
        <v>9.0700000000000003E-2</v>
      </c>
      <c r="G38" s="75">
        <v>1.5</v>
      </c>
      <c r="H38" s="73">
        <v>20900</v>
      </c>
      <c r="I38" s="73">
        <v>40</v>
      </c>
    </row>
    <row r="39" spans="1:12" s="61" customFormat="1" x14ac:dyDescent="0.25">
      <c r="A39" s="61">
        <v>38</v>
      </c>
      <c r="B39" s="61">
        <v>1</v>
      </c>
      <c r="C39" s="62">
        <v>3</v>
      </c>
      <c r="D39" s="61">
        <v>202</v>
      </c>
      <c r="E39" s="61">
        <v>204</v>
      </c>
      <c r="F39" s="61">
        <v>0.1356</v>
      </c>
      <c r="G39" s="61">
        <v>1.05</v>
      </c>
      <c r="H39" s="61">
        <v>31350.000000000004</v>
      </c>
      <c r="I39" s="61">
        <v>40</v>
      </c>
    </row>
    <row r="40" spans="1:12" s="27" customFormat="1" x14ac:dyDescent="0.25">
      <c r="A40" s="61">
        <v>39</v>
      </c>
      <c r="B40" s="61">
        <v>1</v>
      </c>
      <c r="C40" s="62">
        <v>3</v>
      </c>
      <c r="D40" s="61">
        <v>202</v>
      </c>
      <c r="E40" s="61">
        <v>206</v>
      </c>
      <c r="F40" s="61">
        <v>0.20499999999999999</v>
      </c>
      <c r="G40" s="1">
        <v>1.05</v>
      </c>
      <c r="H40" s="61">
        <v>47500</v>
      </c>
      <c r="I40" s="61">
        <v>40</v>
      </c>
      <c r="K40" s="1"/>
      <c r="L40" s="1"/>
    </row>
    <row r="41" spans="1:12" s="27" customFormat="1" x14ac:dyDescent="0.25">
      <c r="A41" s="61">
        <v>40</v>
      </c>
      <c r="B41" s="61">
        <v>1</v>
      </c>
      <c r="C41" s="62">
        <v>3</v>
      </c>
      <c r="D41" s="61">
        <v>203</v>
      </c>
      <c r="E41" s="61">
        <v>209</v>
      </c>
      <c r="F41" s="61">
        <v>0.12709999999999999</v>
      </c>
      <c r="G41" s="1">
        <v>1.05</v>
      </c>
      <c r="H41" s="61">
        <v>29450</v>
      </c>
      <c r="I41" s="61">
        <v>40</v>
      </c>
      <c r="K41" s="1"/>
      <c r="L41" s="1"/>
    </row>
    <row r="42" spans="1:12" s="27" customFormat="1" x14ac:dyDescent="0.25">
      <c r="A42" s="61">
        <v>41</v>
      </c>
      <c r="B42" s="61">
        <v>1</v>
      </c>
      <c r="C42" s="62">
        <v>3</v>
      </c>
      <c r="D42" s="61">
        <v>203</v>
      </c>
      <c r="E42" s="61">
        <v>224</v>
      </c>
      <c r="F42" s="61">
        <v>8.4000000000000005E-2</v>
      </c>
      <c r="G42" s="1">
        <v>2.4</v>
      </c>
      <c r="H42" s="61">
        <v>47500</v>
      </c>
      <c r="I42" s="61">
        <v>40</v>
      </c>
      <c r="K42" s="1"/>
      <c r="L42" s="1"/>
    </row>
    <row r="43" spans="1:12" s="65" customFormat="1" x14ac:dyDescent="0.25">
      <c r="A43" s="61">
        <v>42</v>
      </c>
      <c r="B43" s="61">
        <v>1</v>
      </c>
      <c r="C43" s="62">
        <v>3</v>
      </c>
      <c r="D43" s="61">
        <v>204</v>
      </c>
      <c r="E43" s="61">
        <v>209</v>
      </c>
      <c r="F43" s="61">
        <v>0.111</v>
      </c>
      <c r="G43" s="61">
        <v>1.05</v>
      </c>
      <c r="H43" s="61">
        <v>25650</v>
      </c>
      <c r="I43" s="61">
        <v>40</v>
      </c>
      <c r="K43" s="61"/>
      <c r="L43" s="61"/>
    </row>
    <row r="44" spans="1:12" s="27" customFormat="1" x14ac:dyDescent="0.25">
      <c r="A44" s="73">
        <v>43</v>
      </c>
      <c r="B44" s="73">
        <v>1</v>
      </c>
      <c r="C44" s="74">
        <v>3</v>
      </c>
      <c r="D44" s="73">
        <v>205</v>
      </c>
      <c r="E44" s="73">
        <v>210</v>
      </c>
      <c r="F44" s="73">
        <v>9.4E-2</v>
      </c>
      <c r="G44" s="75">
        <v>1.5</v>
      </c>
      <c r="H44" s="73">
        <v>21850</v>
      </c>
      <c r="I44" s="73">
        <v>40</v>
      </c>
      <c r="K44" s="1"/>
      <c r="L44" s="1"/>
    </row>
    <row r="45" spans="1:12" x14ac:dyDescent="0.25">
      <c r="A45" s="61">
        <v>44</v>
      </c>
      <c r="B45" s="61">
        <v>1</v>
      </c>
      <c r="C45" s="62">
        <v>3</v>
      </c>
      <c r="D45" s="61">
        <v>206</v>
      </c>
      <c r="E45" s="61">
        <v>210</v>
      </c>
      <c r="F45" s="61">
        <v>6.4199999999999993E-2</v>
      </c>
      <c r="G45" s="1">
        <v>1.05</v>
      </c>
      <c r="H45" s="61">
        <v>15200</v>
      </c>
      <c r="I45" s="61">
        <v>40</v>
      </c>
    </row>
    <row r="46" spans="1:12" x14ac:dyDescent="0.25">
      <c r="A46" s="61">
        <v>45</v>
      </c>
      <c r="B46" s="63">
        <v>1</v>
      </c>
      <c r="C46" s="63">
        <v>3</v>
      </c>
      <c r="D46" s="63">
        <v>207</v>
      </c>
      <c r="E46" s="63">
        <v>208</v>
      </c>
      <c r="F46" s="64">
        <v>6.5199999999999994E-2</v>
      </c>
      <c r="G46" s="1">
        <v>2.1</v>
      </c>
      <c r="H46" s="65">
        <v>30400</v>
      </c>
      <c r="I46" s="63">
        <v>40</v>
      </c>
    </row>
    <row r="47" spans="1:12" x14ac:dyDescent="0.25">
      <c r="A47" s="61">
        <v>46</v>
      </c>
      <c r="B47" s="61">
        <v>1</v>
      </c>
      <c r="C47" s="62">
        <v>3</v>
      </c>
      <c r="D47" s="61">
        <v>208</v>
      </c>
      <c r="E47" s="61">
        <v>209</v>
      </c>
      <c r="F47" s="61">
        <v>0.1762</v>
      </c>
      <c r="G47" s="1">
        <v>1.05</v>
      </c>
      <c r="H47" s="61">
        <v>40850</v>
      </c>
      <c r="I47" s="61">
        <v>40</v>
      </c>
    </row>
    <row r="48" spans="1:12" x14ac:dyDescent="0.25">
      <c r="A48" s="61">
        <v>47</v>
      </c>
      <c r="B48" s="61">
        <v>1</v>
      </c>
      <c r="C48" s="62">
        <v>3</v>
      </c>
      <c r="D48" s="61">
        <v>208</v>
      </c>
      <c r="E48" s="61">
        <v>210</v>
      </c>
      <c r="F48" s="61">
        <v>0.1762</v>
      </c>
      <c r="G48" s="1">
        <v>1.05</v>
      </c>
      <c r="H48" s="61">
        <v>40850</v>
      </c>
      <c r="I48" s="61">
        <v>40</v>
      </c>
    </row>
    <row r="49" spans="1:9" x14ac:dyDescent="0.25">
      <c r="A49" s="61">
        <v>48</v>
      </c>
      <c r="B49" s="61">
        <v>1</v>
      </c>
      <c r="C49" s="62">
        <v>3</v>
      </c>
      <c r="D49" s="61">
        <v>209</v>
      </c>
      <c r="E49" s="61">
        <v>211</v>
      </c>
      <c r="F49" s="61">
        <v>8.4000000000000005E-2</v>
      </c>
      <c r="G49" s="1">
        <v>2.4</v>
      </c>
      <c r="H49" s="61">
        <v>47500</v>
      </c>
      <c r="I49" s="61">
        <v>40</v>
      </c>
    </row>
    <row r="50" spans="1:9" x14ac:dyDescent="0.25">
      <c r="A50" s="61">
        <v>49</v>
      </c>
      <c r="B50" s="61">
        <v>1</v>
      </c>
      <c r="C50" s="62">
        <v>3</v>
      </c>
      <c r="D50" s="61">
        <v>209</v>
      </c>
      <c r="E50" s="61">
        <v>212</v>
      </c>
      <c r="F50" s="61">
        <v>8.4000000000000005E-2</v>
      </c>
      <c r="G50" s="1">
        <v>2.4</v>
      </c>
      <c r="H50" s="61">
        <v>47500</v>
      </c>
      <c r="I50" s="61">
        <v>40</v>
      </c>
    </row>
    <row r="51" spans="1:9" x14ac:dyDescent="0.25">
      <c r="A51" s="61">
        <v>50</v>
      </c>
      <c r="B51" s="61">
        <v>1</v>
      </c>
      <c r="C51" s="62">
        <v>3</v>
      </c>
      <c r="D51" s="61">
        <v>210</v>
      </c>
      <c r="E51" s="61">
        <v>211</v>
      </c>
      <c r="F51" s="61">
        <v>8.4000000000000005E-2</v>
      </c>
      <c r="G51" s="1">
        <v>2.4</v>
      </c>
      <c r="H51" s="61">
        <v>47500</v>
      </c>
      <c r="I51" s="61">
        <v>40</v>
      </c>
    </row>
    <row r="52" spans="1:9" x14ac:dyDescent="0.25">
      <c r="A52" s="61">
        <v>51</v>
      </c>
      <c r="B52" s="61">
        <v>1</v>
      </c>
      <c r="C52" s="62">
        <v>3</v>
      </c>
      <c r="D52" s="61">
        <v>210</v>
      </c>
      <c r="E52" s="61">
        <v>212</v>
      </c>
      <c r="F52" s="61">
        <v>8.4000000000000005E-2</v>
      </c>
      <c r="G52" s="1">
        <v>2.4</v>
      </c>
      <c r="H52" s="61">
        <v>47500</v>
      </c>
      <c r="I52" s="61">
        <v>40</v>
      </c>
    </row>
    <row r="53" spans="1:9" x14ac:dyDescent="0.25">
      <c r="A53" s="61">
        <v>52</v>
      </c>
      <c r="B53" s="61">
        <v>1</v>
      </c>
      <c r="C53" s="62">
        <v>3</v>
      </c>
      <c r="D53" s="61">
        <v>211</v>
      </c>
      <c r="E53" s="61">
        <v>213</v>
      </c>
      <c r="F53" s="61">
        <v>4.8800000000000003E-2</v>
      </c>
      <c r="G53" s="1">
        <v>3</v>
      </c>
      <c r="H53" s="61">
        <v>31350.000000000004</v>
      </c>
      <c r="I53" s="61">
        <v>40</v>
      </c>
    </row>
    <row r="54" spans="1:9" x14ac:dyDescent="0.25">
      <c r="A54" s="61">
        <v>53</v>
      </c>
      <c r="B54" s="61">
        <v>1</v>
      </c>
      <c r="C54" s="62">
        <v>3</v>
      </c>
      <c r="D54" s="61">
        <v>211</v>
      </c>
      <c r="E54" s="61">
        <v>214</v>
      </c>
      <c r="F54" s="61">
        <v>4.2599999999999999E-2</v>
      </c>
      <c r="G54" s="1">
        <v>3</v>
      </c>
      <c r="H54" s="61">
        <v>27550</v>
      </c>
      <c r="I54" s="61">
        <v>40</v>
      </c>
    </row>
    <row r="55" spans="1:9" x14ac:dyDescent="0.25">
      <c r="A55" s="61">
        <v>54</v>
      </c>
      <c r="B55" s="61">
        <v>1</v>
      </c>
      <c r="C55" s="62">
        <v>3</v>
      </c>
      <c r="D55" s="61">
        <v>212</v>
      </c>
      <c r="E55" s="61">
        <v>213</v>
      </c>
      <c r="F55" s="61">
        <v>4.8800000000000003E-2</v>
      </c>
      <c r="G55" s="1">
        <v>3</v>
      </c>
      <c r="H55" s="61">
        <v>31350.000000000004</v>
      </c>
      <c r="I55" s="61">
        <v>40</v>
      </c>
    </row>
    <row r="56" spans="1:9" x14ac:dyDescent="0.25">
      <c r="A56" s="61">
        <v>55</v>
      </c>
      <c r="B56" s="61">
        <v>1</v>
      </c>
      <c r="C56" s="62">
        <v>3</v>
      </c>
      <c r="D56" s="61">
        <v>212</v>
      </c>
      <c r="E56" s="61">
        <v>223</v>
      </c>
      <c r="F56" s="61">
        <v>9.8500000000000004E-2</v>
      </c>
      <c r="G56" s="1">
        <v>3</v>
      </c>
      <c r="H56" s="61">
        <v>63650</v>
      </c>
      <c r="I56" s="61">
        <v>40</v>
      </c>
    </row>
    <row r="57" spans="1:9" x14ac:dyDescent="0.25">
      <c r="A57" s="61">
        <v>56</v>
      </c>
      <c r="B57" s="61">
        <v>1</v>
      </c>
      <c r="C57" s="62">
        <v>3</v>
      </c>
      <c r="D57" s="61">
        <v>213</v>
      </c>
      <c r="E57" s="61">
        <v>223</v>
      </c>
      <c r="F57" s="61">
        <v>8.8400000000000006E-2</v>
      </c>
      <c r="G57" s="1">
        <v>1.5</v>
      </c>
      <c r="H57" s="61">
        <v>57000</v>
      </c>
      <c r="I57" s="61">
        <v>40</v>
      </c>
    </row>
    <row r="58" spans="1:9" x14ac:dyDescent="0.25">
      <c r="A58" s="61">
        <v>57</v>
      </c>
      <c r="B58" s="61">
        <v>1</v>
      </c>
      <c r="C58" s="62">
        <v>3</v>
      </c>
      <c r="D58" s="61">
        <v>214</v>
      </c>
      <c r="E58" s="61">
        <v>216</v>
      </c>
      <c r="F58" s="61">
        <v>5.9400000000000001E-2</v>
      </c>
      <c r="G58" s="1">
        <v>1.5</v>
      </c>
      <c r="H58" s="61">
        <v>25650</v>
      </c>
      <c r="I58" s="61">
        <v>40</v>
      </c>
    </row>
    <row r="59" spans="1:9" x14ac:dyDescent="0.25">
      <c r="A59" s="61">
        <v>58</v>
      </c>
      <c r="B59" s="61">
        <v>1</v>
      </c>
      <c r="C59" s="62">
        <v>3</v>
      </c>
      <c r="D59" s="61">
        <v>215</v>
      </c>
      <c r="E59" s="61">
        <v>216</v>
      </c>
      <c r="F59" s="61">
        <v>1.72E-2</v>
      </c>
      <c r="G59" s="1">
        <v>3</v>
      </c>
      <c r="H59" s="61">
        <v>11400.000000000002</v>
      </c>
      <c r="I59" s="61">
        <v>40</v>
      </c>
    </row>
    <row r="60" spans="1:9" x14ac:dyDescent="0.25">
      <c r="A60" s="61">
        <v>59</v>
      </c>
      <c r="B60" s="61">
        <v>1</v>
      </c>
      <c r="C60" s="62">
        <v>3</v>
      </c>
      <c r="D60" s="61">
        <v>215</v>
      </c>
      <c r="E60" s="61">
        <v>221</v>
      </c>
      <c r="F60" s="61">
        <v>2.4899999999999999E-2</v>
      </c>
      <c r="G60" s="1">
        <v>2.4</v>
      </c>
      <c r="H60" s="61">
        <v>32300</v>
      </c>
      <c r="I60" s="61">
        <v>40</v>
      </c>
    </row>
    <row r="61" spans="1:9" x14ac:dyDescent="0.25">
      <c r="A61" s="61">
        <v>60</v>
      </c>
      <c r="B61" s="61">
        <v>1</v>
      </c>
      <c r="C61" s="62">
        <v>3</v>
      </c>
      <c r="D61" s="61">
        <v>215</v>
      </c>
      <c r="E61" s="61">
        <v>224</v>
      </c>
      <c r="F61" s="61">
        <v>5.2900000000000003E-2</v>
      </c>
      <c r="G61" s="1">
        <v>3</v>
      </c>
      <c r="H61" s="61">
        <v>17100</v>
      </c>
      <c r="I61" s="61">
        <v>40</v>
      </c>
    </row>
    <row r="62" spans="1:9" x14ac:dyDescent="0.25">
      <c r="A62" s="61">
        <v>61</v>
      </c>
      <c r="B62" s="61">
        <v>1</v>
      </c>
      <c r="C62" s="62">
        <v>3</v>
      </c>
      <c r="D62" s="61">
        <v>216</v>
      </c>
      <c r="E62" s="61">
        <v>217</v>
      </c>
      <c r="F62" s="61">
        <v>2.63E-2</v>
      </c>
      <c r="G62" s="1">
        <v>3</v>
      </c>
      <c r="H62" s="61">
        <v>15200</v>
      </c>
      <c r="I62" s="61">
        <v>40</v>
      </c>
    </row>
    <row r="63" spans="1:9" x14ac:dyDescent="0.25">
      <c r="A63" s="61">
        <v>62</v>
      </c>
      <c r="B63" s="61">
        <v>1</v>
      </c>
      <c r="C63" s="62">
        <v>3</v>
      </c>
      <c r="D63" s="61">
        <v>216</v>
      </c>
      <c r="E63" s="61">
        <v>219</v>
      </c>
      <c r="F63" s="61">
        <v>2.3400000000000001E-2</v>
      </c>
      <c r="G63" s="1">
        <v>3</v>
      </c>
      <c r="H63" s="61">
        <v>9500</v>
      </c>
      <c r="I63" s="61">
        <v>40</v>
      </c>
    </row>
    <row r="64" spans="1:9" x14ac:dyDescent="0.25">
      <c r="A64" s="61">
        <v>63</v>
      </c>
      <c r="B64" s="61">
        <v>1</v>
      </c>
      <c r="C64" s="62">
        <v>3</v>
      </c>
      <c r="D64" s="61">
        <v>217</v>
      </c>
      <c r="E64" s="61">
        <v>218</v>
      </c>
      <c r="F64" s="61">
        <v>1.43E-2</v>
      </c>
      <c r="G64" s="1">
        <v>3</v>
      </c>
      <c r="H64" s="61">
        <v>69350</v>
      </c>
      <c r="I64" s="61">
        <v>40</v>
      </c>
    </row>
    <row r="65" spans="1:9" x14ac:dyDescent="0.25">
      <c r="A65" s="61">
        <v>64</v>
      </c>
      <c r="B65" s="61">
        <v>1</v>
      </c>
      <c r="C65" s="61">
        <v>3</v>
      </c>
      <c r="D65" s="61">
        <v>217</v>
      </c>
      <c r="E65" s="61">
        <v>222</v>
      </c>
      <c r="F65" s="61">
        <v>0.1069</v>
      </c>
      <c r="G65" s="1">
        <v>3</v>
      </c>
      <c r="H65" s="61">
        <v>17100</v>
      </c>
      <c r="I65" s="61">
        <v>40</v>
      </c>
    </row>
    <row r="66" spans="1:9" x14ac:dyDescent="0.25">
      <c r="A66" s="61">
        <v>65</v>
      </c>
      <c r="B66" s="61">
        <v>1</v>
      </c>
      <c r="C66" s="61">
        <v>3</v>
      </c>
      <c r="D66" s="61">
        <v>218</v>
      </c>
      <c r="E66" s="61">
        <v>221</v>
      </c>
      <c r="F66" s="61">
        <v>1.32E-2</v>
      </c>
      <c r="G66" s="1">
        <v>6</v>
      </c>
      <c r="H66" s="61">
        <v>26125</v>
      </c>
      <c r="I66" s="61">
        <v>40</v>
      </c>
    </row>
    <row r="67" spans="1:9" x14ac:dyDescent="0.25">
      <c r="A67" s="61">
        <v>66</v>
      </c>
      <c r="B67" s="61">
        <v>1</v>
      </c>
      <c r="C67" s="61">
        <v>3</v>
      </c>
      <c r="D67" s="61">
        <v>219</v>
      </c>
      <c r="E67" s="61">
        <v>220</v>
      </c>
      <c r="F67" s="61">
        <v>2.0299999999999999E-2</v>
      </c>
      <c r="G67" s="1">
        <v>6</v>
      </c>
      <c r="H67" s="61">
        <v>44650</v>
      </c>
      <c r="I67" s="61">
        <v>40</v>
      </c>
    </row>
    <row r="68" spans="1:9" x14ac:dyDescent="0.25">
      <c r="A68" s="61">
        <v>67</v>
      </c>
      <c r="B68" s="61">
        <v>1</v>
      </c>
      <c r="C68" s="61">
        <v>3</v>
      </c>
      <c r="D68" s="61">
        <v>220</v>
      </c>
      <c r="E68" s="61">
        <v>223</v>
      </c>
      <c r="F68" s="61">
        <v>1.12E-2</v>
      </c>
      <c r="G68" s="1">
        <v>6</v>
      </c>
      <c r="H68" s="61">
        <v>31349.999999999996</v>
      </c>
      <c r="I68" s="61">
        <v>40</v>
      </c>
    </row>
    <row r="69" spans="1:9" x14ac:dyDescent="0.25">
      <c r="A69" s="61">
        <v>68</v>
      </c>
      <c r="B69" s="61">
        <v>1</v>
      </c>
      <c r="C69" s="61">
        <v>3</v>
      </c>
      <c r="D69" s="61">
        <v>221</v>
      </c>
      <c r="E69" s="61">
        <v>222</v>
      </c>
      <c r="F69" s="61">
        <v>6.9199999999999998E-2</v>
      </c>
      <c r="G69" s="1">
        <v>3</v>
      </c>
      <c r="H69" s="61">
        <v>29450</v>
      </c>
      <c r="I69" s="61">
        <v>40</v>
      </c>
    </row>
    <row r="70" spans="1:9" x14ac:dyDescent="0.25">
      <c r="A70" s="61">
        <v>69</v>
      </c>
      <c r="B70" s="61">
        <v>1</v>
      </c>
      <c r="C70" s="62">
        <v>3</v>
      </c>
      <c r="D70" s="61">
        <v>301</v>
      </c>
      <c r="E70" s="61">
        <v>302</v>
      </c>
      <c r="F70" s="61">
        <v>1.46E-2</v>
      </c>
      <c r="G70" s="1">
        <v>1.05</v>
      </c>
      <c r="H70" s="61">
        <v>2850.0000000000005</v>
      </c>
      <c r="I70" s="61">
        <v>40</v>
      </c>
    </row>
    <row r="71" spans="1:9" x14ac:dyDescent="0.25">
      <c r="A71" s="61">
        <v>70</v>
      </c>
      <c r="B71" s="61">
        <v>1</v>
      </c>
      <c r="C71" s="62">
        <v>3</v>
      </c>
      <c r="D71" s="61">
        <v>301</v>
      </c>
      <c r="E71" s="61">
        <v>303</v>
      </c>
      <c r="F71" s="61">
        <v>0.2253</v>
      </c>
      <c r="G71" s="1">
        <v>1.05</v>
      </c>
      <c r="H71" s="61">
        <v>52250</v>
      </c>
      <c r="I71" s="61">
        <v>40</v>
      </c>
    </row>
    <row r="72" spans="1:9" x14ac:dyDescent="0.25">
      <c r="A72" s="73">
        <v>71</v>
      </c>
      <c r="B72" s="73">
        <v>1</v>
      </c>
      <c r="C72" s="74">
        <v>3</v>
      </c>
      <c r="D72" s="73">
        <v>301</v>
      </c>
      <c r="E72" s="73">
        <v>305</v>
      </c>
      <c r="F72" s="73">
        <v>9.0700000000000003E-2</v>
      </c>
      <c r="G72" s="75">
        <v>1.5</v>
      </c>
      <c r="H72" s="73">
        <v>20900</v>
      </c>
      <c r="I72" s="73">
        <v>40</v>
      </c>
    </row>
    <row r="73" spans="1:9" s="61" customFormat="1" x14ac:dyDescent="0.25">
      <c r="A73" s="61">
        <v>72</v>
      </c>
      <c r="B73" s="61">
        <v>1</v>
      </c>
      <c r="C73" s="62">
        <v>3</v>
      </c>
      <c r="D73" s="61">
        <v>302</v>
      </c>
      <c r="E73" s="61">
        <v>304</v>
      </c>
      <c r="F73" s="61">
        <v>0.1356</v>
      </c>
      <c r="G73" s="61">
        <v>1.05</v>
      </c>
      <c r="H73" s="61">
        <v>31350.000000000004</v>
      </c>
      <c r="I73" s="61">
        <v>40</v>
      </c>
    </row>
    <row r="74" spans="1:9" x14ac:dyDescent="0.25">
      <c r="A74" s="61">
        <v>73</v>
      </c>
      <c r="B74" s="61">
        <v>1</v>
      </c>
      <c r="C74" s="62">
        <v>3</v>
      </c>
      <c r="D74" s="61">
        <v>302</v>
      </c>
      <c r="E74" s="61">
        <v>306</v>
      </c>
      <c r="F74" s="61">
        <v>0.20499999999999999</v>
      </c>
      <c r="G74" s="1">
        <v>1.05</v>
      </c>
      <c r="H74" s="61">
        <v>47500</v>
      </c>
      <c r="I74" s="61">
        <v>40</v>
      </c>
    </row>
    <row r="75" spans="1:9" x14ac:dyDescent="0.25">
      <c r="A75" s="61">
        <v>74</v>
      </c>
      <c r="B75" s="61">
        <v>1</v>
      </c>
      <c r="C75" s="62">
        <v>3</v>
      </c>
      <c r="D75" s="61">
        <v>303</v>
      </c>
      <c r="E75" s="61">
        <v>309</v>
      </c>
      <c r="F75" s="61">
        <v>0.12709999999999999</v>
      </c>
      <c r="G75" s="1">
        <v>1.05</v>
      </c>
      <c r="H75" s="61">
        <v>29450</v>
      </c>
      <c r="I75" s="61">
        <v>40</v>
      </c>
    </row>
    <row r="76" spans="1:9" x14ac:dyDescent="0.25">
      <c r="A76" s="61">
        <v>75</v>
      </c>
      <c r="B76" s="61">
        <v>1</v>
      </c>
      <c r="C76" s="62">
        <v>3</v>
      </c>
      <c r="D76" s="61">
        <v>303</v>
      </c>
      <c r="E76" s="61">
        <v>324</v>
      </c>
      <c r="F76" s="61">
        <v>8.4000000000000005E-2</v>
      </c>
      <c r="G76" s="1">
        <v>2.4</v>
      </c>
      <c r="H76" s="61">
        <v>47500</v>
      </c>
      <c r="I76" s="61">
        <v>40</v>
      </c>
    </row>
    <row r="77" spans="1:9" s="61" customFormat="1" x14ac:dyDescent="0.25">
      <c r="A77" s="61">
        <v>76</v>
      </c>
      <c r="B77" s="61">
        <v>1</v>
      </c>
      <c r="C77" s="62">
        <v>3</v>
      </c>
      <c r="D77" s="61">
        <v>304</v>
      </c>
      <c r="E77" s="61">
        <v>309</v>
      </c>
      <c r="F77" s="61">
        <v>0.111</v>
      </c>
      <c r="G77" s="61">
        <v>1.05</v>
      </c>
      <c r="H77" s="61">
        <v>25650</v>
      </c>
      <c r="I77" s="61">
        <v>40</v>
      </c>
    </row>
    <row r="78" spans="1:9" x14ac:dyDescent="0.25">
      <c r="A78" s="73">
        <v>77</v>
      </c>
      <c r="B78" s="73">
        <v>1</v>
      </c>
      <c r="C78" s="74">
        <v>3</v>
      </c>
      <c r="D78" s="73">
        <v>305</v>
      </c>
      <c r="E78" s="73">
        <v>310</v>
      </c>
      <c r="F78" s="73">
        <v>9.4E-2</v>
      </c>
      <c r="G78" s="75">
        <v>1.5</v>
      </c>
      <c r="H78" s="73">
        <v>21850</v>
      </c>
      <c r="I78" s="73">
        <v>40</v>
      </c>
    </row>
    <row r="79" spans="1:9" x14ac:dyDescent="0.25">
      <c r="A79" s="61">
        <v>78</v>
      </c>
      <c r="B79" s="61">
        <v>1</v>
      </c>
      <c r="C79" s="62">
        <v>3</v>
      </c>
      <c r="D79" s="61">
        <v>306</v>
      </c>
      <c r="E79" s="61">
        <v>310</v>
      </c>
      <c r="F79" s="61">
        <v>6.4199999999999993E-2</v>
      </c>
      <c r="G79" s="1">
        <v>1.05</v>
      </c>
      <c r="H79" s="61">
        <v>15200</v>
      </c>
      <c r="I79" s="61">
        <v>40</v>
      </c>
    </row>
    <row r="80" spans="1:9" x14ac:dyDescent="0.25">
      <c r="A80" s="61">
        <v>79</v>
      </c>
      <c r="B80" s="63">
        <v>1</v>
      </c>
      <c r="C80" s="63">
        <v>3</v>
      </c>
      <c r="D80" s="63">
        <v>307</v>
      </c>
      <c r="E80" s="63">
        <v>308</v>
      </c>
      <c r="F80" s="64">
        <v>6.5199999999999994E-2</v>
      </c>
      <c r="G80" s="1">
        <v>2.1</v>
      </c>
      <c r="H80" s="65">
        <v>30400</v>
      </c>
      <c r="I80" s="63">
        <v>40</v>
      </c>
    </row>
    <row r="81" spans="1:12" x14ac:dyDescent="0.25">
      <c r="A81" s="61">
        <v>80</v>
      </c>
      <c r="B81" s="61">
        <v>1</v>
      </c>
      <c r="C81" s="62">
        <v>3</v>
      </c>
      <c r="D81" s="61">
        <v>308</v>
      </c>
      <c r="E81" s="61">
        <v>309</v>
      </c>
      <c r="F81" s="61">
        <v>0.1762</v>
      </c>
      <c r="G81" s="1">
        <v>1.05</v>
      </c>
      <c r="H81" s="61">
        <v>40850</v>
      </c>
      <c r="I81" s="61">
        <v>40</v>
      </c>
    </row>
    <row r="82" spans="1:12" x14ac:dyDescent="0.25">
      <c r="A82" s="61">
        <v>81</v>
      </c>
      <c r="B82" s="61">
        <v>1</v>
      </c>
      <c r="C82" s="62">
        <v>3</v>
      </c>
      <c r="D82" s="61">
        <v>308</v>
      </c>
      <c r="E82" s="61">
        <v>310</v>
      </c>
      <c r="F82" s="61">
        <v>0.1762</v>
      </c>
      <c r="G82" s="1">
        <v>1.05</v>
      </c>
      <c r="H82" s="61">
        <v>40850</v>
      </c>
      <c r="I82" s="61">
        <v>40</v>
      </c>
    </row>
    <row r="83" spans="1:12" s="27" customFormat="1" x14ac:dyDescent="0.25">
      <c r="A83" s="61">
        <v>82</v>
      </c>
      <c r="B83" s="61">
        <v>1</v>
      </c>
      <c r="C83" s="62">
        <v>3</v>
      </c>
      <c r="D83" s="61">
        <v>309</v>
      </c>
      <c r="E83" s="61">
        <v>311</v>
      </c>
      <c r="F83" s="61">
        <v>8.4000000000000005E-2</v>
      </c>
      <c r="G83" s="1">
        <v>2.4</v>
      </c>
      <c r="H83" s="61">
        <v>47500</v>
      </c>
      <c r="I83" s="61">
        <v>40</v>
      </c>
      <c r="K83" s="1"/>
      <c r="L83" s="1"/>
    </row>
    <row r="84" spans="1:12" s="27" customFormat="1" x14ac:dyDescent="0.25">
      <c r="A84" s="61">
        <v>83</v>
      </c>
      <c r="B84" s="61">
        <v>1</v>
      </c>
      <c r="C84" s="62">
        <v>3</v>
      </c>
      <c r="D84" s="61">
        <v>309</v>
      </c>
      <c r="E84" s="61">
        <v>312</v>
      </c>
      <c r="F84" s="61">
        <v>8.4000000000000005E-2</v>
      </c>
      <c r="G84" s="1">
        <v>2.4</v>
      </c>
      <c r="H84" s="61">
        <v>47500</v>
      </c>
      <c r="I84" s="61">
        <v>40</v>
      </c>
      <c r="K84" s="1"/>
      <c r="L84" s="1"/>
    </row>
    <row r="85" spans="1:12" s="27" customFormat="1" x14ac:dyDescent="0.25">
      <c r="A85" s="61">
        <v>84</v>
      </c>
      <c r="B85" s="61">
        <v>1</v>
      </c>
      <c r="C85" s="62">
        <v>3</v>
      </c>
      <c r="D85" s="61">
        <v>310</v>
      </c>
      <c r="E85" s="61">
        <v>311</v>
      </c>
      <c r="F85" s="61">
        <v>8.4000000000000005E-2</v>
      </c>
      <c r="G85" s="1">
        <v>2.4</v>
      </c>
      <c r="H85" s="61">
        <v>47500</v>
      </c>
      <c r="I85" s="61">
        <v>40</v>
      </c>
      <c r="K85" s="1"/>
      <c r="L85" s="1"/>
    </row>
    <row r="86" spans="1:12" s="27" customFormat="1" x14ac:dyDescent="0.25">
      <c r="A86" s="61">
        <v>85</v>
      </c>
      <c r="B86" s="61">
        <v>1</v>
      </c>
      <c r="C86" s="62">
        <v>3</v>
      </c>
      <c r="D86" s="61">
        <v>310</v>
      </c>
      <c r="E86" s="61">
        <v>312</v>
      </c>
      <c r="F86" s="61">
        <v>8.4000000000000005E-2</v>
      </c>
      <c r="G86" s="1">
        <v>2.4</v>
      </c>
      <c r="H86" s="61">
        <v>47500</v>
      </c>
      <c r="I86" s="61">
        <v>40</v>
      </c>
      <c r="K86" s="1"/>
      <c r="L86" s="1"/>
    </row>
    <row r="87" spans="1:12" s="27" customFormat="1" x14ac:dyDescent="0.25">
      <c r="A87" s="61">
        <v>86</v>
      </c>
      <c r="B87" s="61">
        <v>1</v>
      </c>
      <c r="C87" s="62">
        <v>3</v>
      </c>
      <c r="D87" s="61">
        <v>311</v>
      </c>
      <c r="E87" s="61">
        <v>313</v>
      </c>
      <c r="F87" s="61">
        <v>4.8800000000000003E-2</v>
      </c>
      <c r="G87" s="1">
        <v>3</v>
      </c>
      <c r="H87" s="61">
        <v>31350.000000000004</v>
      </c>
      <c r="I87" s="61">
        <v>40</v>
      </c>
      <c r="K87" s="1"/>
      <c r="L87" s="1"/>
    </row>
    <row r="88" spans="1:12" x14ac:dyDescent="0.25">
      <c r="A88" s="61">
        <v>87</v>
      </c>
      <c r="B88" s="61">
        <v>1</v>
      </c>
      <c r="C88" s="62">
        <v>3</v>
      </c>
      <c r="D88" s="61">
        <v>311</v>
      </c>
      <c r="E88" s="61">
        <v>314</v>
      </c>
      <c r="F88" s="61">
        <v>4.2599999999999999E-2</v>
      </c>
      <c r="G88" s="1">
        <v>3</v>
      </c>
      <c r="H88" s="61">
        <v>27550</v>
      </c>
      <c r="I88" s="61">
        <v>40</v>
      </c>
    </row>
    <row r="89" spans="1:12" x14ac:dyDescent="0.25">
      <c r="A89" s="61">
        <v>88</v>
      </c>
      <c r="B89" s="61">
        <v>1</v>
      </c>
      <c r="C89" s="62">
        <v>3</v>
      </c>
      <c r="D89" s="61">
        <v>312</v>
      </c>
      <c r="E89" s="61">
        <v>313</v>
      </c>
      <c r="F89" s="61">
        <v>4.8800000000000003E-2</v>
      </c>
      <c r="G89" s="1">
        <v>3</v>
      </c>
      <c r="H89" s="61">
        <v>31350.000000000004</v>
      </c>
      <c r="I89" s="61">
        <v>40</v>
      </c>
    </row>
    <row r="90" spans="1:12" x14ac:dyDescent="0.25">
      <c r="A90" s="61">
        <v>89</v>
      </c>
      <c r="B90" s="61">
        <v>1</v>
      </c>
      <c r="C90" s="62">
        <v>3</v>
      </c>
      <c r="D90" s="61">
        <v>312</v>
      </c>
      <c r="E90" s="61">
        <v>323</v>
      </c>
      <c r="F90" s="61">
        <v>9.8500000000000004E-2</v>
      </c>
      <c r="G90" s="1">
        <v>3</v>
      </c>
      <c r="H90" s="61">
        <v>63650</v>
      </c>
      <c r="I90" s="61">
        <v>40</v>
      </c>
    </row>
    <row r="91" spans="1:12" x14ac:dyDescent="0.25">
      <c r="A91" s="61">
        <v>90</v>
      </c>
      <c r="B91" s="61">
        <v>1</v>
      </c>
      <c r="C91" s="62">
        <v>3</v>
      </c>
      <c r="D91" s="61">
        <v>313</v>
      </c>
      <c r="E91" s="61">
        <v>323</v>
      </c>
      <c r="F91" s="61">
        <v>8.8400000000000006E-2</v>
      </c>
      <c r="G91" s="1">
        <v>1.5</v>
      </c>
      <c r="H91" s="61">
        <v>57000</v>
      </c>
      <c r="I91" s="61">
        <v>40</v>
      </c>
    </row>
    <row r="92" spans="1:12" x14ac:dyDescent="0.25">
      <c r="A92" s="61">
        <v>91</v>
      </c>
      <c r="B92" s="61">
        <v>1</v>
      </c>
      <c r="C92" s="62">
        <v>3</v>
      </c>
      <c r="D92" s="61">
        <v>314</v>
      </c>
      <c r="E92" s="61">
        <v>316</v>
      </c>
      <c r="F92" s="61">
        <v>5.9400000000000001E-2</v>
      </c>
      <c r="G92" s="1">
        <v>1.5</v>
      </c>
      <c r="H92" s="61">
        <v>25650</v>
      </c>
      <c r="I92" s="61">
        <v>40</v>
      </c>
    </row>
    <row r="93" spans="1:12" x14ac:dyDescent="0.25">
      <c r="A93" s="61">
        <v>92</v>
      </c>
      <c r="B93" s="61">
        <v>1</v>
      </c>
      <c r="C93" s="62">
        <v>3</v>
      </c>
      <c r="D93" s="61">
        <v>315</v>
      </c>
      <c r="E93" s="61">
        <v>316</v>
      </c>
      <c r="F93" s="61">
        <v>1.72E-2</v>
      </c>
      <c r="G93" s="1">
        <v>3</v>
      </c>
      <c r="H93" s="61">
        <v>11400.000000000002</v>
      </c>
      <c r="I93" s="61">
        <v>40</v>
      </c>
    </row>
    <row r="94" spans="1:12" x14ac:dyDescent="0.25">
      <c r="A94" s="61">
        <v>93</v>
      </c>
      <c r="B94" s="61">
        <v>1</v>
      </c>
      <c r="C94" s="62">
        <v>3</v>
      </c>
      <c r="D94" s="61">
        <v>315</v>
      </c>
      <c r="E94" s="61">
        <v>321</v>
      </c>
      <c r="F94" s="61">
        <v>2.4899999999999999E-2</v>
      </c>
      <c r="G94" s="1">
        <v>2.4</v>
      </c>
      <c r="H94" s="61">
        <v>32300</v>
      </c>
      <c r="I94" s="61">
        <v>40</v>
      </c>
    </row>
    <row r="95" spans="1:12" x14ac:dyDescent="0.25">
      <c r="A95" s="61">
        <v>94</v>
      </c>
      <c r="B95" s="61">
        <v>1</v>
      </c>
      <c r="C95" s="62">
        <v>3</v>
      </c>
      <c r="D95" s="61">
        <v>315</v>
      </c>
      <c r="E95" s="61">
        <v>324</v>
      </c>
      <c r="F95" s="61">
        <v>5.2900000000000003E-2</v>
      </c>
      <c r="G95" s="1">
        <v>3</v>
      </c>
      <c r="H95" s="61">
        <v>17100</v>
      </c>
      <c r="I95" s="61">
        <v>40</v>
      </c>
    </row>
    <row r="96" spans="1:12" x14ac:dyDescent="0.25">
      <c r="A96" s="61">
        <v>95</v>
      </c>
      <c r="B96" s="61">
        <v>1</v>
      </c>
      <c r="C96" s="62">
        <v>3</v>
      </c>
      <c r="D96" s="61">
        <v>316</v>
      </c>
      <c r="E96" s="61">
        <v>317</v>
      </c>
      <c r="F96" s="61">
        <v>2.63E-2</v>
      </c>
      <c r="G96" s="1">
        <v>3</v>
      </c>
      <c r="H96" s="61">
        <v>15200</v>
      </c>
      <c r="I96" s="61">
        <v>40</v>
      </c>
    </row>
    <row r="97" spans="1:9" x14ac:dyDescent="0.25">
      <c r="A97" s="61">
        <v>96</v>
      </c>
      <c r="B97" s="61">
        <v>1</v>
      </c>
      <c r="C97" s="62">
        <v>3</v>
      </c>
      <c r="D97" s="61">
        <v>316</v>
      </c>
      <c r="E97" s="61">
        <v>319</v>
      </c>
      <c r="F97" s="61">
        <v>2.3400000000000001E-2</v>
      </c>
      <c r="G97" s="1">
        <v>3</v>
      </c>
      <c r="H97" s="61">
        <v>9500</v>
      </c>
      <c r="I97" s="61">
        <v>40</v>
      </c>
    </row>
    <row r="98" spans="1:9" x14ac:dyDescent="0.25">
      <c r="A98" s="61">
        <v>97</v>
      </c>
      <c r="B98" s="61">
        <v>1</v>
      </c>
      <c r="C98" s="62">
        <v>3</v>
      </c>
      <c r="D98" s="61">
        <v>317</v>
      </c>
      <c r="E98" s="61">
        <v>318</v>
      </c>
      <c r="F98" s="61">
        <v>1.43E-2</v>
      </c>
      <c r="G98" s="1">
        <v>3</v>
      </c>
      <c r="H98" s="61">
        <v>69350</v>
      </c>
      <c r="I98" s="61">
        <v>40</v>
      </c>
    </row>
    <row r="99" spans="1:9" x14ac:dyDescent="0.25">
      <c r="A99" s="61">
        <v>98</v>
      </c>
      <c r="B99" s="61">
        <v>1</v>
      </c>
      <c r="C99" s="61">
        <v>3</v>
      </c>
      <c r="D99" s="61">
        <v>317</v>
      </c>
      <c r="E99" s="61">
        <v>322</v>
      </c>
      <c r="F99" s="61">
        <v>0.1069</v>
      </c>
      <c r="G99" s="1">
        <v>3</v>
      </c>
      <c r="H99" s="61">
        <v>17100</v>
      </c>
      <c r="I99" s="61">
        <v>40</v>
      </c>
    </row>
    <row r="100" spans="1:9" x14ac:dyDescent="0.25">
      <c r="A100" s="61">
        <v>99</v>
      </c>
      <c r="B100" s="61">
        <v>1</v>
      </c>
      <c r="C100" s="61">
        <v>3</v>
      </c>
      <c r="D100" s="61">
        <v>318</v>
      </c>
      <c r="E100" s="61">
        <v>321</v>
      </c>
      <c r="F100" s="61">
        <v>1.32E-2</v>
      </c>
      <c r="G100" s="1">
        <v>6</v>
      </c>
      <c r="H100" s="61">
        <v>26125</v>
      </c>
      <c r="I100" s="61">
        <v>40</v>
      </c>
    </row>
    <row r="101" spans="1:9" x14ac:dyDescent="0.25">
      <c r="A101" s="61">
        <v>100</v>
      </c>
      <c r="B101" s="61">
        <v>1</v>
      </c>
      <c r="C101" s="61">
        <v>3</v>
      </c>
      <c r="D101" s="61">
        <v>319</v>
      </c>
      <c r="E101" s="61">
        <v>320</v>
      </c>
      <c r="F101" s="61">
        <v>2.0299999999999999E-2</v>
      </c>
      <c r="G101" s="1">
        <v>6</v>
      </c>
      <c r="H101" s="61">
        <v>44650</v>
      </c>
      <c r="I101" s="61">
        <v>40</v>
      </c>
    </row>
    <row r="102" spans="1:9" x14ac:dyDescent="0.25">
      <c r="A102" s="61">
        <v>101</v>
      </c>
      <c r="B102" s="61">
        <v>1</v>
      </c>
      <c r="C102" s="61">
        <v>3</v>
      </c>
      <c r="D102" s="61">
        <v>320</v>
      </c>
      <c r="E102" s="61">
        <v>323</v>
      </c>
      <c r="F102" s="61">
        <v>1.12E-2</v>
      </c>
      <c r="G102" s="1">
        <v>6</v>
      </c>
      <c r="H102" s="61">
        <v>31349.999999999996</v>
      </c>
      <c r="I102" s="61">
        <v>40</v>
      </c>
    </row>
    <row r="103" spans="1:9" x14ac:dyDescent="0.25">
      <c r="A103" s="61">
        <v>102</v>
      </c>
      <c r="B103" s="61">
        <v>1</v>
      </c>
      <c r="C103" s="61">
        <v>3</v>
      </c>
      <c r="D103" s="61">
        <v>321</v>
      </c>
      <c r="E103" s="61">
        <v>322</v>
      </c>
      <c r="F103" s="61">
        <v>6.9199999999999998E-2</v>
      </c>
      <c r="G103" s="1">
        <v>3</v>
      </c>
      <c r="H103" s="61">
        <v>29450</v>
      </c>
      <c r="I103" s="61">
        <v>40</v>
      </c>
    </row>
    <row r="104" spans="1:9" x14ac:dyDescent="0.25">
      <c r="A104" s="61">
        <v>103</v>
      </c>
      <c r="B104" s="61">
        <v>1</v>
      </c>
      <c r="C104" s="61">
        <v>3</v>
      </c>
      <c r="D104" s="26">
        <v>107</v>
      </c>
      <c r="E104" s="26">
        <v>203</v>
      </c>
      <c r="F104" s="61">
        <v>6.9199999999999998E-2</v>
      </c>
      <c r="G104" s="1">
        <v>3</v>
      </c>
      <c r="H104" s="61">
        <v>29450</v>
      </c>
      <c r="I104" s="61">
        <v>40</v>
      </c>
    </row>
    <row r="105" spans="1:9" x14ac:dyDescent="0.25">
      <c r="A105" s="61">
        <v>104</v>
      </c>
      <c r="B105" s="61">
        <v>1</v>
      </c>
      <c r="C105" s="61">
        <v>3</v>
      </c>
      <c r="D105" s="26">
        <v>113</v>
      </c>
      <c r="E105" s="26">
        <v>215</v>
      </c>
      <c r="F105" s="61">
        <v>6.9199999999999998E-2</v>
      </c>
      <c r="G105" s="1">
        <v>3</v>
      </c>
      <c r="H105" s="61">
        <v>29450</v>
      </c>
      <c r="I105" s="61">
        <v>40</v>
      </c>
    </row>
    <row r="106" spans="1:9" x14ac:dyDescent="0.25">
      <c r="A106" s="61">
        <v>105</v>
      </c>
      <c r="B106" s="61">
        <v>1</v>
      </c>
      <c r="C106" s="61">
        <v>3</v>
      </c>
      <c r="D106" s="26">
        <v>123</v>
      </c>
      <c r="E106" s="26">
        <v>217</v>
      </c>
      <c r="F106" s="61">
        <v>6.9199999999999998E-2</v>
      </c>
      <c r="G106" s="1">
        <v>3</v>
      </c>
      <c r="H106" s="61">
        <v>29450</v>
      </c>
      <c r="I106" s="61">
        <v>40</v>
      </c>
    </row>
    <row r="107" spans="1:9" x14ac:dyDescent="0.25">
      <c r="A107" s="61">
        <v>106</v>
      </c>
      <c r="B107" s="61">
        <v>1</v>
      </c>
      <c r="C107" s="61">
        <v>3</v>
      </c>
      <c r="D107" s="26">
        <v>223</v>
      </c>
      <c r="E107" s="26">
        <v>318</v>
      </c>
      <c r="F107" s="61">
        <v>6.9199999999999998E-2</v>
      </c>
      <c r="G107" s="1">
        <v>3</v>
      </c>
      <c r="H107" s="61">
        <v>29450</v>
      </c>
      <c r="I107" s="61">
        <v>40</v>
      </c>
    </row>
    <row r="108" spans="1:9" x14ac:dyDescent="0.25">
      <c r="A108" s="61">
        <v>107</v>
      </c>
      <c r="B108" s="61">
        <v>1</v>
      </c>
      <c r="C108" s="61">
        <v>3</v>
      </c>
      <c r="D108" s="26">
        <v>323</v>
      </c>
      <c r="E108" s="26">
        <v>325</v>
      </c>
      <c r="F108" s="61">
        <v>6.9199999999999998E-2</v>
      </c>
      <c r="G108" s="1">
        <v>3</v>
      </c>
      <c r="H108" s="61">
        <v>29450</v>
      </c>
      <c r="I108" s="61">
        <v>40</v>
      </c>
    </row>
    <row r="109" spans="1:9" x14ac:dyDescent="0.25">
      <c r="A109" s="61">
        <v>108</v>
      </c>
      <c r="B109" s="61">
        <v>1</v>
      </c>
      <c r="C109" s="61">
        <v>3</v>
      </c>
      <c r="D109" s="26">
        <v>325</v>
      </c>
      <c r="E109" s="26">
        <v>121</v>
      </c>
      <c r="F109" s="61">
        <v>6.9199999999999998E-2</v>
      </c>
      <c r="G109" s="1">
        <v>3</v>
      </c>
      <c r="H109" s="61">
        <v>29450</v>
      </c>
      <c r="I109" s="61">
        <v>40</v>
      </c>
    </row>
    <row r="110" spans="1:9" x14ac:dyDescent="0.25">
      <c r="A110" s="73">
        <v>3</v>
      </c>
      <c r="B110" s="73">
        <v>0</v>
      </c>
      <c r="C110" s="74">
        <v>3</v>
      </c>
      <c r="D110" s="73">
        <v>101</v>
      </c>
      <c r="E110" s="73">
        <v>105</v>
      </c>
      <c r="F110" s="73">
        <v>9.0700000000000003E-2</v>
      </c>
      <c r="G110" s="75">
        <v>1.5</v>
      </c>
      <c r="H110" s="73">
        <v>20900</v>
      </c>
      <c r="I110" s="73">
        <v>40</v>
      </c>
    </row>
    <row r="111" spans="1:9" x14ac:dyDescent="0.25">
      <c r="A111" s="73">
        <v>9</v>
      </c>
      <c r="B111" s="73">
        <v>0</v>
      </c>
      <c r="C111" s="74">
        <v>3</v>
      </c>
      <c r="D111" s="73">
        <v>105</v>
      </c>
      <c r="E111" s="73">
        <v>110</v>
      </c>
      <c r="F111" s="73">
        <v>9.4E-2</v>
      </c>
      <c r="G111" s="75">
        <v>1.5</v>
      </c>
      <c r="H111" s="73">
        <v>21850</v>
      </c>
      <c r="I111" s="73">
        <v>40</v>
      </c>
    </row>
    <row r="112" spans="1:9" x14ac:dyDescent="0.25">
      <c r="A112" s="27">
        <v>40</v>
      </c>
      <c r="B112" s="67">
        <v>0</v>
      </c>
      <c r="C112" s="27">
        <v>3</v>
      </c>
      <c r="D112" s="27">
        <v>113</v>
      </c>
      <c r="E112" s="27">
        <v>123</v>
      </c>
      <c r="F112" s="27">
        <v>8.8400000000000006E-2</v>
      </c>
      <c r="G112" s="27">
        <v>1.5</v>
      </c>
      <c r="H112" s="27">
        <v>31350.000000000004</v>
      </c>
      <c r="I112" s="68">
        <v>40</v>
      </c>
    </row>
    <row r="113" spans="1:9" x14ac:dyDescent="0.25">
      <c r="A113" s="27">
        <v>41</v>
      </c>
      <c r="B113" s="67">
        <v>0</v>
      </c>
      <c r="C113" s="27">
        <v>3</v>
      </c>
      <c r="D113" s="27">
        <v>114</v>
      </c>
      <c r="E113" s="27">
        <v>116</v>
      </c>
      <c r="F113" s="27">
        <v>5.9400000000000001E-2</v>
      </c>
      <c r="G113" s="27">
        <v>1.5</v>
      </c>
      <c r="H113" s="27">
        <v>25650</v>
      </c>
      <c r="I113" s="68">
        <v>40</v>
      </c>
    </row>
    <row r="114" spans="1:9" x14ac:dyDescent="0.25">
      <c r="A114" s="27">
        <v>40</v>
      </c>
      <c r="B114" s="67">
        <v>0</v>
      </c>
      <c r="C114" s="27">
        <v>3</v>
      </c>
      <c r="D114" s="27">
        <v>213</v>
      </c>
      <c r="E114" s="27">
        <v>223</v>
      </c>
      <c r="F114" s="27">
        <v>8.8400000000000006E-2</v>
      </c>
      <c r="G114" s="27">
        <v>1.5</v>
      </c>
      <c r="H114" s="27">
        <v>31350.000000000004</v>
      </c>
      <c r="I114" s="68">
        <v>40</v>
      </c>
    </row>
    <row r="115" spans="1:9" x14ac:dyDescent="0.25">
      <c r="A115" s="27">
        <v>41</v>
      </c>
      <c r="B115" s="67">
        <v>0</v>
      </c>
      <c r="C115" s="27">
        <v>3</v>
      </c>
      <c r="D115" s="27">
        <v>214</v>
      </c>
      <c r="E115" s="27">
        <v>216</v>
      </c>
      <c r="F115" s="27">
        <v>5.9400000000000001E-2</v>
      </c>
      <c r="G115" s="27">
        <v>1.5</v>
      </c>
      <c r="H115" s="27">
        <v>25650</v>
      </c>
      <c r="I115" s="68">
        <v>40</v>
      </c>
    </row>
    <row r="116" spans="1:9" x14ac:dyDescent="0.25">
      <c r="A116" s="27">
        <v>40</v>
      </c>
      <c r="B116" s="67">
        <v>0</v>
      </c>
      <c r="C116" s="27">
        <v>3</v>
      </c>
      <c r="D116" s="27">
        <v>313</v>
      </c>
      <c r="E116" s="27">
        <v>323</v>
      </c>
      <c r="F116" s="27">
        <v>8.8400000000000006E-2</v>
      </c>
      <c r="G116" s="27">
        <v>1.5</v>
      </c>
      <c r="H116" s="27">
        <v>31350.000000000004</v>
      </c>
      <c r="I116" s="68">
        <v>40</v>
      </c>
    </row>
    <row r="117" spans="1:9" x14ac:dyDescent="0.25">
      <c r="A117" s="27">
        <v>41</v>
      </c>
      <c r="B117" s="67">
        <v>0</v>
      </c>
      <c r="C117" s="27">
        <v>3</v>
      </c>
      <c r="D117" s="27">
        <v>314</v>
      </c>
      <c r="E117" s="27">
        <v>316</v>
      </c>
      <c r="F117" s="27">
        <v>5.9400000000000001E-2</v>
      </c>
      <c r="G117" s="27">
        <v>1.5</v>
      </c>
      <c r="H117" s="27">
        <v>25650</v>
      </c>
      <c r="I117" s="68">
        <v>40</v>
      </c>
    </row>
    <row r="118" spans="1:9" x14ac:dyDescent="0.25">
      <c r="A118" s="27"/>
      <c r="B118" s="27"/>
      <c r="C118" s="27"/>
      <c r="D118" s="27"/>
      <c r="E118" s="27"/>
      <c r="F118" s="27"/>
      <c r="G118" s="27"/>
      <c r="H118" s="27"/>
      <c r="I118" s="27"/>
    </row>
    <row r="119" spans="1:9" x14ac:dyDescent="0.25">
      <c r="A119" s="27"/>
      <c r="B119" s="27"/>
      <c r="C119" s="27"/>
      <c r="D119" s="27"/>
      <c r="E119" s="27"/>
      <c r="F119" s="27"/>
      <c r="G119" s="27"/>
      <c r="H119" s="27"/>
      <c r="I119" s="27"/>
    </row>
    <row r="120" spans="1:9" x14ac:dyDescent="0.25">
      <c r="A120" s="66" t="s">
        <v>456</v>
      </c>
    </row>
    <row r="121" spans="1:9" x14ac:dyDescent="0.25">
      <c r="A121" s="66" t="s">
        <v>457</v>
      </c>
    </row>
    <row r="124" spans="1:9" s="27" customFormat="1" x14ac:dyDescent="0.25"/>
    <row r="125" spans="1:9" s="27" customFormat="1" x14ac:dyDescent="0.25"/>
    <row r="126" spans="1:9" s="27" customFormat="1" x14ac:dyDescent="0.25"/>
    <row r="127" spans="1:9" s="27" customFormat="1" x14ac:dyDescent="0.25"/>
    <row r="128" spans="1:9" s="27" customFormat="1" x14ac:dyDescent="0.25"/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>
              <from>
                <xdr:col>14</xdr:col>
                <xdr:colOff>30480</xdr:colOff>
                <xdr:row>1</xdr:row>
                <xdr:rowOff>30480</xdr:rowOff>
              </from>
              <to>
                <xdr:col>20</xdr:col>
                <xdr:colOff>22860</xdr:colOff>
                <xdr:row>29</xdr:row>
                <xdr:rowOff>0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1:A74"/>
  <sheetViews>
    <sheetView workbookViewId="0">
      <selection activeCell="L75" sqref="L75"/>
    </sheetView>
  </sheetViews>
  <sheetFormatPr defaultColWidth="9" defaultRowHeight="13.8" x14ac:dyDescent="0.25"/>
  <cols>
    <col min="1" max="16384" width="9" style="1"/>
  </cols>
  <sheetData>
    <row r="1" spans="1:1" x14ac:dyDescent="0.25">
      <c r="A1" s="1" t="s">
        <v>419</v>
      </c>
    </row>
    <row r="2" spans="1:1" x14ac:dyDescent="0.25">
      <c r="A2" s="1">
        <v>101</v>
      </c>
    </row>
    <row r="3" spans="1:1" x14ac:dyDescent="0.25">
      <c r="A3" s="1">
        <v>102</v>
      </c>
    </row>
    <row r="4" spans="1:1" x14ac:dyDescent="0.25">
      <c r="A4" s="1">
        <v>103</v>
      </c>
    </row>
    <row r="5" spans="1:1" x14ac:dyDescent="0.25">
      <c r="A5" s="1">
        <v>104</v>
      </c>
    </row>
    <row r="6" spans="1:1" x14ac:dyDescent="0.25">
      <c r="A6" s="1">
        <v>105</v>
      </c>
    </row>
    <row r="7" spans="1:1" x14ac:dyDescent="0.25">
      <c r="A7" s="1">
        <v>106</v>
      </c>
    </row>
    <row r="8" spans="1:1" x14ac:dyDescent="0.25">
      <c r="A8" s="1">
        <v>107</v>
      </c>
    </row>
    <row r="9" spans="1:1" x14ac:dyDescent="0.25">
      <c r="A9" s="1">
        <v>108</v>
      </c>
    </row>
    <row r="10" spans="1:1" x14ac:dyDescent="0.25">
      <c r="A10" s="1">
        <v>109</v>
      </c>
    </row>
    <row r="11" spans="1:1" x14ac:dyDescent="0.25">
      <c r="A11" s="1">
        <v>110</v>
      </c>
    </row>
    <row r="12" spans="1:1" x14ac:dyDescent="0.25">
      <c r="A12" s="1">
        <v>111</v>
      </c>
    </row>
    <row r="13" spans="1:1" x14ac:dyDescent="0.25">
      <c r="A13" s="1">
        <v>112</v>
      </c>
    </row>
    <row r="14" spans="1:1" x14ac:dyDescent="0.25">
      <c r="A14" s="1">
        <v>113</v>
      </c>
    </row>
    <row r="15" spans="1:1" x14ac:dyDescent="0.25">
      <c r="A15" s="1">
        <v>114</v>
      </c>
    </row>
    <row r="16" spans="1:1" x14ac:dyDescent="0.25">
      <c r="A16" s="1">
        <v>115</v>
      </c>
    </row>
    <row r="17" spans="1:1" x14ac:dyDescent="0.25">
      <c r="A17" s="1">
        <v>116</v>
      </c>
    </row>
    <row r="18" spans="1:1" x14ac:dyDescent="0.25">
      <c r="A18" s="1">
        <v>117</v>
      </c>
    </row>
    <row r="19" spans="1:1" x14ac:dyDescent="0.25">
      <c r="A19" s="1">
        <v>118</v>
      </c>
    </row>
    <row r="20" spans="1:1" x14ac:dyDescent="0.25">
      <c r="A20" s="1">
        <v>119</v>
      </c>
    </row>
    <row r="21" spans="1:1" x14ac:dyDescent="0.25">
      <c r="A21" s="1">
        <v>120</v>
      </c>
    </row>
    <row r="22" spans="1:1" x14ac:dyDescent="0.25">
      <c r="A22" s="1">
        <v>121</v>
      </c>
    </row>
    <row r="23" spans="1:1" x14ac:dyDescent="0.25">
      <c r="A23" s="1">
        <v>122</v>
      </c>
    </row>
    <row r="24" spans="1:1" x14ac:dyDescent="0.25">
      <c r="A24" s="1">
        <v>123</v>
      </c>
    </row>
    <row r="25" spans="1:1" x14ac:dyDescent="0.25">
      <c r="A25" s="1">
        <v>124</v>
      </c>
    </row>
    <row r="26" spans="1:1" x14ac:dyDescent="0.25">
      <c r="A26" s="1">
        <v>201</v>
      </c>
    </row>
    <row r="27" spans="1:1" x14ac:dyDescent="0.25">
      <c r="A27" s="1">
        <v>202</v>
      </c>
    </row>
    <row r="28" spans="1:1" x14ac:dyDescent="0.25">
      <c r="A28" s="1">
        <v>203</v>
      </c>
    </row>
    <row r="29" spans="1:1" x14ac:dyDescent="0.25">
      <c r="A29" s="1">
        <v>204</v>
      </c>
    </row>
    <row r="30" spans="1:1" x14ac:dyDescent="0.25">
      <c r="A30" s="1">
        <v>205</v>
      </c>
    </row>
    <row r="31" spans="1:1" x14ac:dyDescent="0.25">
      <c r="A31" s="1">
        <v>206</v>
      </c>
    </row>
    <row r="32" spans="1:1" x14ac:dyDescent="0.25">
      <c r="A32" s="1">
        <v>207</v>
      </c>
    </row>
    <row r="33" spans="1:1" x14ac:dyDescent="0.25">
      <c r="A33" s="1">
        <v>208</v>
      </c>
    </row>
    <row r="34" spans="1:1" x14ac:dyDescent="0.25">
      <c r="A34" s="1">
        <v>209</v>
      </c>
    </row>
    <row r="35" spans="1:1" x14ac:dyDescent="0.25">
      <c r="A35" s="1">
        <v>210</v>
      </c>
    </row>
    <row r="36" spans="1:1" x14ac:dyDescent="0.25">
      <c r="A36" s="1">
        <v>211</v>
      </c>
    </row>
    <row r="37" spans="1:1" x14ac:dyDescent="0.25">
      <c r="A37" s="1">
        <v>212</v>
      </c>
    </row>
    <row r="38" spans="1:1" x14ac:dyDescent="0.25">
      <c r="A38" s="1">
        <v>213</v>
      </c>
    </row>
    <row r="39" spans="1:1" x14ac:dyDescent="0.25">
      <c r="A39" s="1">
        <v>214</v>
      </c>
    </row>
    <row r="40" spans="1:1" x14ac:dyDescent="0.25">
      <c r="A40" s="1">
        <v>215</v>
      </c>
    </row>
    <row r="41" spans="1:1" x14ac:dyDescent="0.25">
      <c r="A41" s="1">
        <v>216</v>
      </c>
    </row>
    <row r="42" spans="1:1" x14ac:dyDescent="0.25">
      <c r="A42" s="1">
        <v>217</v>
      </c>
    </row>
    <row r="43" spans="1:1" x14ac:dyDescent="0.25">
      <c r="A43" s="1">
        <v>218</v>
      </c>
    </row>
    <row r="44" spans="1:1" x14ac:dyDescent="0.25">
      <c r="A44" s="1">
        <v>219</v>
      </c>
    </row>
    <row r="45" spans="1:1" x14ac:dyDescent="0.25">
      <c r="A45" s="1">
        <v>220</v>
      </c>
    </row>
    <row r="46" spans="1:1" x14ac:dyDescent="0.25">
      <c r="A46" s="1">
        <v>221</v>
      </c>
    </row>
    <row r="47" spans="1:1" x14ac:dyDescent="0.25">
      <c r="A47" s="1">
        <v>222</v>
      </c>
    </row>
    <row r="48" spans="1:1" x14ac:dyDescent="0.25">
      <c r="A48" s="1">
        <v>223</v>
      </c>
    </row>
    <row r="49" spans="1:1" x14ac:dyDescent="0.25">
      <c r="A49" s="1">
        <v>224</v>
      </c>
    </row>
    <row r="50" spans="1:1" x14ac:dyDescent="0.25">
      <c r="A50" s="1">
        <v>301</v>
      </c>
    </row>
    <row r="51" spans="1:1" x14ac:dyDescent="0.25">
      <c r="A51" s="1">
        <v>302</v>
      </c>
    </row>
    <row r="52" spans="1:1" x14ac:dyDescent="0.25">
      <c r="A52" s="1">
        <v>303</v>
      </c>
    </row>
    <row r="53" spans="1:1" x14ac:dyDescent="0.25">
      <c r="A53" s="1">
        <v>304</v>
      </c>
    </row>
    <row r="54" spans="1:1" x14ac:dyDescent="0.25">
      <c r="A54" s="1">
        <v>305</v>
      </c>
    </row>
    <row r="55" spans="1:1" x14ac:dyDescent="0.25">
      <c r="A55" s="1">
        <v>306</v>
      </c>
    </row>
    <row r="56" spans="1:1" x14ac:dyDescent="0.25">
      <c r="A56" s="1">
        <v>307</v>
      </c>
    </row>
    <row r="57" spans="1:1" x14ac:dyDescent="0.25">
      <c r="A57" s="1">
        <v>308</v>
      </c>
    </row>
    <row r="58" spans="1:1" x14ac:dyDescent="0.25">
      <c r="A58" s="1">
        <v>309</v>
      </c>
    </row>
    <row r="59" spans="1:1" x14ac:dyDescent="0.25">
      <c r="A59" s="1">
        <v>310</v>
      </c>
    </row>
    <row r="60" spans="1:1" x14ac:dyDescent="0.25">
      <c r="A60" s="1">
        <v>311</v>
      </c>
    </row>
    <row r="61" spans="1:1" x14ac:dyDescent="0.25">
      <c r="A61" s="1">
        <v>312</v>
      </c>
    </row>
    <row r="62" spans="1:1" x14ac:dyDescent="0.25">
      <c r="A62" s="1">
        <v>313</v>
      </c>
    </row>
    <row r="63" spans="1:1" x14ac:dyDescent="0.25">
      <c r="A63" s="1">
        <v>314</v>
      </c>
    </row>
    <row r="64" spans="1:1" x14ac:dyDescent="0.25">
      <c r="A64" s="1">
        <v>315</v>
      </c>
    </row>
    <row r="65" spans="1:1" x14ac:dyDescent="0.25">
      <c r="A65" s="1">
        <v>316</v>
      </c>
    </row>
    <row r="66" spans="1:1" x14ac:dyDescent="0.25">
      <c r="A66" s="1">
        <v>317</v>
      </c>
    </row>
    <row r="67" spans="1:1" x14ac:dyDescent="0.25">
      <c r="A67" s="1">
        <v>318</v>
      </c>
    </row>
    <row r="68" spans="1:1" x14ac:dyDescent="0.25">
      <c r="A68" s="1">
        <v>319</v>
      </c>
    </row>
    <row r="69" spans="1:1" x14ac:dyDescent="0.25">
      <c r="A69" s="1">
        <v>320</v>
      </c>
    </row>
    <row r="70" spans="1:1" x14ac:dyDescent="0.25">
      <c r="A70" s="1">
        <v>321</v>
      </c>
    </row>
    <row r="71" spans="1:1" x14ac:dyDescent="0.25">
      <c r="A71" s="1">
        <v>322</v>
      </c>
    </row>
    <row r="72" spans="1:1" x14ac:dyDescent="0.25">
      <c r="A72" s="1">
        <v>323</v>
      </c>
    </row>
    <row r="73" spans="1:1" x14ac:dyDescent="0.25">
      <c r="A73" s="1">
        <v>324</v>
      </c>
    </row>
    <row r="74" spans="1:1" x14ac:dyDescent="0.25">
      <c r="A74" s="1">
        <v>325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79998168889431442"/>
  </sheetPr>
  <dimension ref="A1:AW136"/>
  <sheetViews>
    <sheetView topLeftCell="W16" workbookViewId="0">
      <selection activeCell="AJ25" sqref="AJ25"/>
    </sheetView>
  </sheetViews>
  <sheetFormatPr defaultColWidth="8.88671875" defaultRowHeight="13.8" x14ac:dyDescent="0.25"/>
  <cols>
    <col min="1" max="16384" width="8.88671875" style="4"/>
  </cols>
  <sheetData>
    <row r="1" spans="1:49" x14ac:dyDescent="0.25">
      <c r="B1" s="4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92</v>
      </c>
      <c r="I1" s="4" t="s">
        <v>93</v>
      </c>
      <c r="J1" s="4" t="s">
        <v>94</v>
      </c>
      <c r="K1" s="4" t="s">
        <v>95</v>
      </c>
      <c r="L1" s="4" t="s">
        <v>96</v>
      </c>
      <c r="M1" s="4" t="s">
        <v>97</v>
      </c>
      <c r="N1" s="4" t="s">
        <v>98</v>
      </c>
      <c r="O1" s="4" t="s">
        <v>99</v>
      </c>
      <c r="P1" s="4" t="s">
        <v>100</v>
      </c>
      <c r="Q1" s="4" t="s">
        <v>101</v>
      </c>
      <c r="R1" s="4" t="s">
        <v>102</v>
      </c>
      <c r="S1" s="4" t="s">
        <v>103</v>
      </c>
      <c r="T1" s="4" t="s">
        <v>104</v>
      </c>
      <c r="U1" s="4" t="s">
        <v>105</v>
      </c>
      <c r="V1" s="4" t="s">
        <v>106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111</v>
      </c>
      <c r="AB1" s="4" t="s">
        <v>112</v>
      </c>
      <c r="AC1" s="4" t="s">
        <v>113</v>
      </c>
      <c r="AD1" s="4" t="s">
        <v>114</v>
      </c>
      <c r="AE1" s="4" t="s">
        <v>115</v>
      </c>
      <c r="AF1" s="4" t="s">
        <v>116</v>
      </c>
      <c r="AG1" s="4" t="s">
        <v>117</v>
      </c>
      <c r="AH1" s="4" t="s">
        <v>118</v>
      </c>
      <c r="AI1" s="4" t="s">
        <v>119</v>
      </c>
      <c r="AJ1" s="4" t="s">
        <v>120</v>
      </c>
      <c r="AK1" s="4" t="s">
        <v>121</v>
      </c>
      <c r="AL1" s="4" t="s">
        <v>122</v>
      </c>
      <c r="AM1" s="4" t="s">
        <v>123</v>
      </c>
      <c r="AN1" s="4" t="s">
        <v>124</v>
      </c>
      <c r="AO1" s="4" t="s">
        <v>125</v>
      </c>
      <c r="AP1" s="4" t="s">
        <v>126</v>
      </c>
      <c r="AQ1" s="4" t="s">
        <v>127</v>
      </c>
      <c r="AR1" s="4" t="s">
        <v>128</v>
      </c>
      <c r="AS1" s="4" t="s">
        <v>129</v>
      </c>
      <c r="AT1" s="4" t="s">
        <v>130</v>
      </c>
      <c r="AU1" s="4" t="s">
        <v>131</v>
      </c>
      <c r="AV1" s="4" t="s">
        <v>132</v>
      </c>
      <c r="AW1" s="4" t="s">
        <v>133</v>
      </c>
    </row>
    <row r="2" spans="1:49" x14ac:dyDescent="0.25">
      <c r="A2" s="4" t="s">
        <v>134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f>(1.86400295635555*(0.9/0.95))*(0.85/0.9)</f>
        <v>1.6677921188444396</v>
      </c>
      <c r="AA2" s="4">
        <f>(1.73939963254815*(0.9/0.95))*(0.85/0.9)</f>
        <v>1.5563049343851869</v>
      </c>
      <c r="AB2" s="4">
        <f>(1.75086108980741*(0.9/0.95))*(0.85/0.9)</f>
        <v>1.5665599224592615</v>
      </c>
      <c r="AC2" s="4">
        <f>(1.748663518*(0.9/0.95))*(0.85/0.9)</f>
        <v>1.5645936740000002</v>
      </c>
      <c r="AD2" s="4">
        <f>(1.6879350066963*(0.9/0.95))*(0.85/0.9)</f>
        <v>1.5102576375703738</v>
      </c>
      <c r="AE2" s="4">
        <f>(1.73446365182222*(0.9/0.95))*(0.85/0.9)</f>
        <v>1.5518885305777759</v>
      </c>
      <c r="AF2" s="4">
        <f>(2.07752549511111*(0.9/0.95))*(0.85/0.9)</f>
        <v>1.858838600888888</v>
      </c>
      <c r="AG2" s="4">
        <f>(2.57849633305185*(0.9/0.95))*(0.85/0.9)</f>
        <v>2.3070756664148133</v>
      </c>
      <c r="AH2" s="4">
        <f>(2.68757694903704*(0.9/0.95))*(0.85/0.9)</f>
        <v>2.4046741122962989</v>
      </c>
      <c r="AI2" s="4">
        <f>(2.72804642942222*(0.9/0.95))*(0.85/0.9)</f>
        <v>2.4408836473777757</v>
      </c>
      <c r="AJ2" s="4">
        <f>(2.89504791685926*(0.9/0.95))*(0.85/0.9)</f>
        <v>2.5903060308740748</v>
      </c>
      <c r="AK2" s="4">
        <f>(2.63051149023704*(0.9/0.95))*(0.85/0.9)</f>
        <v>2.3536155438962991</v>
      </c>
      <c r="AL2" s="4">
        <f>(2.64920168468148*(0.9/0.95))*(0.85/0.9)</f>
        <v>2.3703383494518508</v>
      </c>
      <c r="AM2" s="4">
        <f>(2.70029354798519*(0.9/0.95))*(0.85/0.9)</f>
        <v>2.4160521218814859</v>
      </c>
      <c r="AN2" s="4">
        <f>(2.7423656034963*(0.9/0.95))*(0.85/0.9)</f>
        <v>2.4536955399703739</v>
      </c>
      <c r="AO2" s="4">
        <f>(2.6728766678963*(0.9/0.95))*(0.85/0.9)</f>
        <v>2.3915212291703738</v>
      </c>
      <c r="AP2" s="4">
        <f>(2.9062381152*(0.9/0.95))*(0.85/0.9)</f>
        <v>2.6003183135999999</v>
      </c>
      <c r="AQ2" s="4">
        <f>(2.74388034148149*(0.9/0.95))*(0.85/0.9)</f>
        <v>2.4550508318518598</v>
      </c>
      <c r="AR2" s="4">
        <f>(2.7813815653037*(0.9/0.95))*(0.85/0.9)</f>
        <v>2.4886045584296266</v>
      </c>
      <c r="AS2" s="4">
        <f>(2.71623893965926*(0.9/0.95))*(0.85/0.9)</f>
        <v>2.4303190512740747</v>
      </c>
      <c r="AT2" s="4">
        <f>(2.63396683614815*(0.9/0.95))*(0.85/0.9)</f>
        <v>2.3567071691851869</v>
      </c>
      <c r="AU2" s="4">
        <f>(2.41318705288889*(0.9/0.95))*(0.85/0.9)</f>
        <v>2.1591673631111119</v>
      </c>
      <c r="AV2" s="4">
        <f>(2.05985200192593*(0.9/0.95))*(0.85/0.9)</f>
        <v>1.8430254754074109</v>
      </c>
      <c r="AW2" s="4">
        <f>(1.78847174602963*(0.9/0.95))*(0.85/0.9)</f>
        <v>1.6002115622370374</v>
      </c>
    </row>
    <row r="3" spans="1:49" x14ac:dyDescent="0.25">
      <c r="A3" s="4" t="s">
        <v>135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f>(1.64834007717037*(0.9/0.95))*(0.85/0.9)</f>
        <v>1.4748305953629628</v>
      </c>
      <c r="AA3" s="4">
        <f>(1.62826629456296*(0.9/0.95))*(0.85/0.9)</f>
        <v>1.4568698425037012</v>
      </c>
      <c r="AB3" s="4">
        <f>(1.5939867524*(0.9/0.95))*(0.85/0.9)</f>
        <v>1.4261986732</v>
      </c>
      <c r="AC3" s="4">
        <f>(1.50227055927407*(0.9/0.95))*(0.85/0.9)</f>
        <v>1.3441368161925891</v>
      </c>
      <c r="AD3" s="4">
        <f>(1.4659500266963*(0.9/0.95))*(0.85/0.9)</f>
        <v>1.3116394975703736</v>
      </c>
      <c r="AE3" s="4">
        <f>(1.55683997062222*(0.9/0.95))*(0.85/0.9)</f>
        <v>1.3929620789777759</v>
      </c>
      <c r="AF3" s="4">
        <f>(1.82296503988148*(0.9/0.95))*(0.85/0.9)</f>
        <v>1.6310739830518506</v>
      </c>
      <c r="AG3" s="4">
        <f>(2.31317220555555*(0.9/0.95))*(0.85/0.9)</f>
        <v>2.0696803944444397</v>
      </c>
      <c r="AH3" s="4">
        <f>(2.52451248425185*(0.9/0.95))*(0.85/0.9)</f>
        <v>2.2587743280148129</v>
      </c>
      <c r="AI3" s="4">
        <f>(2.47521736228149*(0.9/0.95))*(0.85/0.9)</f>
        <v>2.2146681662518595</v>
      </c>
      <c r="AJ3" s="4">
        <f>(2.54250578037037*(0.9/0.95))*(0.85/0.9)</f>
        <v>2.2748735929629627</v>
      </c>
      <c r="AK3" s="4">
        <f>(2.41474413019259*(0.9/0.95))*(0.85/0.9)</f>
        <v>2.1605605375407384</v>
      </c>
      <c r="AL3" s="4">
        <f>(2.40980182457778*(0.9/0.95))*(0.85/0.9)</f>
        <v>2.1561384746222245</v>
      </c>
      <c r="AM3" s="4">
        <f>(2.46546872237037*(0.9/0.95))*(0.85/0.9)</f>
        <v>2.2059456989629629</v>
      </c>
      <c r="AN3" s="4">
        <f>(2.28211077868148*(0.9/0.95))*(0.85/0.9)</f>
        <v>2.0418885914518508</v>
      </c>
      <c r="AO3" s="4">
        <f>(2.49945015537778*(0.9/0.95))*(0.85/0.9)</f>
        <v>2.2363501390222242</v>
      </c>
      <c r="AP3" s="4">
        <f>(2.63613769367407*(0.9/0.95))*(0.85/0.9)</f>
        <v>2.3586495153925888</v>
      </c>
      <c r="AQ3" s="4">
        <f>(2.60441014368889*(0.9/0.95))*(0.85/0.9)</f>
        <v>2.3302617075111121</v>
      </c>
      <c r="AR3" s="4">
        <f>(2.6640585018963*(0.9/0.95))*(0.85/0.9)</f>
        <v>2.3836312911703739</v>
      </c>
      <c r="AS3" s="4">
        <f>(2.5560289858963*(0.9/0.95))*(0.85/0.9)</f>
        <v>2.2869733031703738</v>
      </c>
      <c r="AT3" s="4">
        <f>(2.38672226955555*(0.9/0.95))*(0.85/0.9)</f>
        <v>2.1354883464444399</v>
      </c>
      <c r="AU3" s="4">
        <f>(2.0363304948*(0.9/0.95))*(0.85/0.9)</f>
        <v>1.8219799164000001</v>
      </c>
      <c r="AV3" s="4">
        <f>(1.97006947511111*(0.9/0.95))*(0.85/0.9)</f>
        <v>1.7626937408888881</v>
      </c>
      <c r="AW3" s="4">
        <f>(1.61604377386666*(0.9/0.95))*(0.85/0.9)</f>
        <v>1.4459339029333274</v>
      </c>
    </row>
    <row r="4" spans="1:49" x14ac:dyDescent="0.25">
      <c r="A4" s="4" t="s">
        <v>136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f>(3.2437254358963*(0.9/0.95))*(0.85/0.9)</f>
        <v>2.9022806531703735</v>
      </c>
      <c r="AA4" s="4">
        <f>(3.12640192324445*(0.9/0.95))*(0.85/0.9)</f>
        <v>2.7973069839555609</v>
      </c>
      <c r="AB4" s="4">
        <f>(2.97691006117037*(0.9/0.95))*(0.85/0.9)</f>
        <v>2.6635511073629625</v>
      </c>
      <c r="AC4" s="4">
        <f>(2.6807031189037*(0.9/0.95))*(0.85/0.9)</f>
        <v>2.3985238432296265</v>
      </c>
      <c r="AD4" s="4">
        <f>(2.73896801702222*(0.9/0.95))*(0.85/0.9)</f>
        <v>2.4506555941777757</v>
      </c>
      <c r="AE4" s="4">
        <f>(2.96526699881481*(0.9/0.95))*(0.85/0.9)</f>
        <v>2.6531336305185143</v>
      </c>
      <c r="AF4" s="4">
        <f>(3.60271827927407*(0.9/0.95))*(0.85/0.9)</f>
        <v>3.2234847761925889</v>
      </c>
      <c r="AG4" s="4">
        <f>(3.91838373038519*(0.9/0.95))*(0.85/0.9)</f>
        <v>3.505922285081486</v>
      </c>
      <c r="AH4" s="4">
        <f>(4.39889396260741*(0.9/0.95))*(0.85/0.9)</f>
        <v>3.9358524928592615</v>
      </c>
      <c r="AI4" s="4">
        <f>(4.56952913614815*(0.9/0.95))*(0.85/0.9)</f>
        <v>4.0885260691851872</v>
      </c>
      <c r="AJ4" s="4">
        <f>(4.59974652531851*(0.9/0.95))*(0.85/0.9)</f>
        <v>4.1155626805481411</v>
      </c>
      <c r="AK4" s="4">
        <f>(4.76180263533334*(0.9/0.95))*(0.85/0.9)</f>
        <v>4.2605602526666724</v>
      </c>
      <c r="AL4" s="4">
        <f>(4.55883098854815*(0.9/0.95))*(0.85/0.9)</f>
        <v>4.0789540423851873</v>
      </c>
      <c r="AM4" s="4">
        <f>(4.65650615308148*(0.9/0.95))*(0.85/0.9)</f>
        <v>4.1663476106518509</v>
      </c>
      <c r="AN4" s="4">
        <f>(4.60141506056296*(0.9/0.95))*(0.85/0.9)</f>
        <v>4.1170555805037017</v>
      </c>
      <c r="AO4" s="4">
        <f>(4.60554654497778*(0.9/0.95))*(0.85/0.9)</f>
        <v>4.1207521718222244</v>
      </c>
      <c r="AP4" s="4">
        <f>(4.62814095146666*(0.9/0.95))*(0.85/0.9)</f>
        <v>4.1409682197333275</v>
      </c>
      <c r="AQ4" s="4">
        <f>(4.73925668616296*(0.9/0.95))*(0.85/0.9)</f>
        <v>4.2403875613037014</v>
      </c>
      <c r="AR4" s="4">
        <f>(4.95231920057778*(0.9/0.95))*(0.85/0.9)</f>
        <v>4.4310224426222247</v>
      </c>
      <c r="AS4" s="4">
        <f>(4.56391658540741*(0.9/0.95))*(0.85/0.9)</f>
        <v>4.0835043132592617</v>
      </c>
      <c r="AT4" s="4">
        <f>(4.41018907725926*(0.9/0.95))*(0.85/0.9)</f>
        <v>3.9459586480740754</v>
      </c>
      <c r="AU4" s="4">
        <f>(3.85336422136296*(0.9/0.95))*(0.85/0.9)</f>
        <v>3.4477469349037011</v>
      </c>
      <c r="AV4" s="4">
        <f>(3.54493622435555*(0.9/0.95))*(0.85/0.9)</f>
        <v>3.1717850428444394</v>
      </c>
      <c r="AW4" s="4">
        <f>(3.15740179377778*(0.9/0.95))*(0.85/0.9)</f>
        <v>2.8250437102222246</v>
      </c>
    </row>
    <row r="5" spans="1:49" x14ac:dyDescent="0.25">
      <c r="A5" s="4" t="s">
        <v>137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f>(1.27664121573334*(0.9/0.95))*(0.85/0.9)</f>
        <v>1.1422579298666726</v>
      </c>
      <c r="AA5" s="4">
        <f>(1.21025762718519*(0.9/0.95))*(0.85/0.9)</f>
        <v>1.0828620874814858</v>
      </c>
      <c r="AB5" s="4">
        <f>(1.20412475482963*(0.9/0.95))*(0.85/0.9)</f>
        <v>1.0773747806370375</v>
      </c>
      <c r="AC5" s="4">
        <f>(1.10639658536296*(0.9/0.95))*(0.85/0.9)</f>
        <v>0.98993378690370104</v>
      </c>
      <c r="AD5" s="4">
        <f>(1.11729709197037*(0.9/0.95))*(0.85/0.9)</f>
        <v>0.99968687176296256</v>
      </c>
      <c r="AE5" s="4">
        <f>(1.23028657598519*(0.9/0.95))*(0.85/0.9)</f>
        <v>1.1007827258814857</v>
      </c>
      <c r="AF5" s="4">
        <f>(1.44395027798519*(0.9/0.95))*(0.85/0.9)</f>
        <v>1.2919555118814858</v>
      </c>
      <c r="AG5" s="4">
        <f>(1.66664000035555*(0.9/0.95))*(0.85/0.9)</f>
        <v>1.4912042108444394</v>
      </c>
      <c r="AH5" s="4">
        <f>(1.82746842579259*(0.9/0.95))*(0.85/0.9)</f>
        <v>1.6351033283407386</v>
      </c>
      <c r="AI5" s="4">
        <f>(1.85017603005926*(0.9/0.95))*(0.85/0.9)</f>
        <v>1.6554206584740747</v>
      </c>
      <c r="AJ5" s="4">
        <f>(1.93764140525926*(0.9/0.95))*(0.85/0.9)</f>
        <v>1.7336791520740749</v>
      </c>
      <c r="AK5" s="4">
        <f>(1.84149870416296*(0.9/0.95))*(0.85/0.9)</f>
        <v>1.6476567353037013</v>
      </c>
      <c r="AL5" s="4">
        <f>(1.82764968607407*(0.9/0.95))*(0.85/0.9)</f>
        <v>1.6352655085925891</v>
      </c>
      <c r="AM5" s="4">
        <f>(1.84926182155555*(0.9/0.95))*(0.85/0.9)</f>
        <v>1.6546026824444395</v>
      </c>
      <c r="AN5" s="4">
        <f>(1.75785650361481*(0.9/0.95))*(0.85/0.9)</f>
        <v>1.5728189769185144</v>
      </c>
      <c r="AO5" s="4">
        <f>(1.77998621204445*(0.9/0.95))*(0.85/0.9)</f>
        <v>1.5926192423555607</v>
      </c>
      <c r="AP5" s="4">
        <f>(2.03493768136296*(0.9/0.95))*(0.85/0.9)</f>
        <v>1.8207337149037011</v>
      </c>
      <c r="AQ5" s="4">
        <f>(1.94290998647407*(0.9/0.95))*(0.85/0.9)</f>
        <v>1.738393145792589</v>
      </c>
      <c r="AR5" s="4">
        <f>(1.91246066106666*(0.9/0.95))*(0.85/0.9)</f>
        <v>1.7111490125333273</v>
      </c>
      <c r="AS5" s="4">
        <f>(1.96673477497778*(0.9/0.95))*(0.85/0.9)</f>
        <v>1.7597100618222241</v>
      </c>
      <c r="AT5" s="4">
        <f>(1.88081284802963*(0.9/0.95))*(0.85/0.9)</f>
        <v>1.6828325482370374</v>
      </c>
      <c r="AU5" s="4">
        <f>(1.6864255630963*(0.9/0.95))*(0.85/0.9)</f>
        <v>1.5089070827703739</v>
      </c>
      <c r="AV5" s="4">
        <f>(1.40071377102222*(0.9/0.95))*(0.85/0.9)</f>
        <v>1.2532702161777758</v>
      </c>
      <c r="AW5" s="4">
        <f>(1.27148312106666*(0.9/0.95))*(0.85/0.9)</f>
        <v>1.1376427925333275</v>
      </c>
    </row>
    <row r="6" spans="1:49" x14ac:dyDescent="0.25">
      <c r="A6" s="4" t="s">
        <v>138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f>(1.21588425622222*(0.9/0.95))*(0.85/0.9)</f>
        <v>1.0878964397777759</v>
      </c>
      <c r="AA6" s="4">
        <f>(1.19162927084445*(0.9/0.95))*(0.85/0.9)</f>
        <v>1.0661946107555607</v>
      </c>
      <c r="AB6" s="4">
        <f>(1.08674815448889*(0.9/0.95))*(0.85/0.9)</f>
        <v>0.97235361191111214</v>
      </c>
      <c r="AC6" s="4">
        <f>(1.10959981844445*(0.9/0.95))*(0.85/0.9)</f>
        <v>0.99279983755556045</v>
      </c>
      <c r="AD6" s="4">
        <f>(1.09853565681481*(0.9/0.95))*(0.85/0.9)</f>
        <v>0.98290032451851428</v>
      </c>
      <c r="AE6" s="4">
        <f>(1.1169443405037*(0.9/0.95))*(0.85/0.9)</f>
        <v>0.9993712520296264</v>
      </c>
      <c r="AF6" s="4">
        <f>(1.46375099484445*(0.9/0.95))*(0.85/0.9)</f>
        <v>1.3096719427555605</v>
      </c>
      <c r="AG6" s="4">
        <f>(1.64734511894815*(0.9/0.95))*(0.85/0.9)</f>
        <v>1.4739403695851869</v>
      </c>
      <c r="AH6" s="4">
        <f>(1.76511264865185*(0.9/0.95))*(0.85/0.9)</f>
        <v>1.5793113172148132</v>
      </c>
      <c r="AI6" s="4">
        <f>(1.87489075013334*(0.9/0.95))*(0.85/0.9)</f>
        <v>1.6775338290666728</v>
      </c>
      <c r="AJ6" s="4">
        <f>(1.74048879811852*(0.9/0.95))*(0.85/0.9)</f>
        <v>1.5572794509481496</v>
      </c>
      <c r="AK6" s="4">
        <f>(1.7183646816*(0.9/0.95))*(0.85/0.9)</f>
        <v>1.5374841888000002</v>
      </c>
      <c r="AL6" s="4">
        <f>(1.75492011582222*(0.9/0.95))*(0.85/0.9)</f>
        <v>1.570191682577776</v>
      </c>
      <c r="AM6" s="4">
        <f>(1.78176932432593*(0.9/0.95))*(0.85/0.9)</f>
        <v>1.5942146586074113</v>
      </c>
      <c r="AN6" s="4">
        <f>(1.74434250957037*(0.9/0.95))*(0.85/0.9)</f>
        <v>1.5607275085629626</v>
      </c>
      <c r="AO6" s="4">
        <f>(1.85721291228148*(0.9/0.95))*(0.85/0.9)</f>
        <v>1.6617168162518505</v>
      </c>
      <c r="AP6" s="4">
        <f>(1.92146214047408*(0.9/0.95))*(0.85/0.9)</f>
        <v>1.719202967792598</v>
      </c>
      <c r="AQ6" s="4">
        <f>(1.80409671607407*(0.9/0.95))*(0.85/0.9)</f>
        <v>1.6141917985925889</v>
      </c>
      <c r="AR6" s="4">
        <f>(1.93548836973334*(0.9/0.95))*(0.85/0.9)</f>
        <v>1.7317527518666727</v>
      </c>
      <c r="AS6" s="4">
        <f>(1.73116619365926*(0.9/0.95))*(0.85/0.9)</f>
        <v>1.5489381732740748</v>
      </c>
      <c r="AT6" s="4">
        <f>(1.80743914794074*(0.9/0.95))*(0.85/0.9)</f>
        <v>1.6171823955259252</v>
      </c>
      <c r="AU6" s="4">
        <f>(1.61637453008889*(0.9/0.95))*(0.85/0.9)</f>
        <v>1.4462298427111122</v>
      </c>
      <c r="AV6" s="4">
        <f>(1.33893815958519*(0.9/0.95))*(0.85/0.9)</f>
        <v>1.1979973006814857</v>
      </c>
      <c r="AW6" s="4">
        <f>(1.14675749834074*(0.9/0.95))*(0.85/0.9)</f>
        <v>1.0260461827259253</v>
      </c>
    </row>
    <row r="7" spans="1:49" x14ac:dyDescent="0.25">
      <c r="A7" s="4" t="s">
        <v>139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f>(2.39192401383704*(0.9/0.95))*(0.85/0.9)</f>
        <v>2.1401425386962991</v>
      </c>
      <c r="AA7" s="4">
        <f>(2.37861689094815*(0.9/0.95))*(0.85/0.9)</f>
        <v>2.1282361655851867</v>
      </c>
      <c r="AB7" s="4">
        <f>(2.14223856228148*(0.9/0.95))*(0.85/0.9)</f>
        <v>1.9167397662518506</v>
      </c>
      <c r="AC7" s="4">
        <f>(2.2205465072*(0.9/0.95))*(0.85/0.9)</f>
        <v>1.9868047696</v>
      </c>
      <c r="AD7" s="4">
        <f>(2.16730435900741*(0.9/0.95))*(0.85/0.9)</f>
        <v>1.9391670580592617</v>
      </c>
      <c r="AE7" s="4">
        <f>(2.2599582710963*(0.9/0.95))*(0.85/0.9)</f>
        <v>2.0220679267703741</v>
      </c>
      <c r="AF7" s="4">
        <f>(2.7530867729037*(0.9/0.95))*(0.85/0.9)</f>
        <v>2.4632881652296263</v>
      </c>
      <c r="AG7" s="4">
        <f>(3.28310335277037*(0.9/0.95))*(0.85/0.9)</f>
        <v>2.9375135261629626</v>
      </c>
      <c r="AH7" s="4">
        <f>(3.53360963697777*(0.9/0.95))*(0.85/0.9)</f>
        <v>3.1616507278222152</v>
      </c>
      <c r="AI7" s="4">
        <f>(3.4552082768*(0.9/0.95))*(0.85/0.9)</f>
        <v>3.0915021424000004</v>
      </c>
      <c r="AJ7" s="4">
        <f>(3.31983311551111*(0.9/0.95))*(0.85/0.9)</f>
        <v>2.9703769980888879</v>
      </c>
      <c r="AK7" s="4">
        <f>(3.307840872*(0.9/0.95))*(0.85/0.9)</f>
        <v>2.9596470959999999</v>
      </c>
      <c r="AL7" s="4">
        <f>(3.6013439952*(0.9/0.95))*(0.85/0.9)</f>
        <v>3.2222551536000004</v>
      </c>
      <c r="AM7" s="4">
        <f>(3.58687702758519*(0.9/0.95))*(0.85/0.9)</f>
        <v>3.2093110246814858</v>
      </c>
      <c r="AN7" s="4">
        <f>(3.53638988671111*(0.9/0.95))*(0.85/0.9)</f>
        <v>3.1641383196888881</v>
      </c>
      <c r="AO7" s="4">
        <f>(3.46182917048889*(0.9/0.95))*(0.85/0.9)</f>
        <v>3.0974260999111123</v>
      </c>
      <c r="AP7" s="4">
        <f>(3.67501033075555*(0.9/0.95))*(0.85/0.9)</f>
        <v>3.2881671380444395</v>
      </c>
      <c r="AQ7" s="4">
        <f>(3.59751934474074*(0.9/0.95))*(0.85/0.9)</f>
        <v>3.2188330979259256</v>
      </c>
      <c r="AR7" s="4">
        <f>(3.80410059773334*(0.9/0.95))*(0.85/0.9)</f>
        <v>3.4036689558666731</v>
      </c>
      <c r="AS7" s="4">
        <f>(3.53594869517037*(0.9/0.95))*(0.85/0.9)</f>
        <v>3.1637435693629627</v>
      </c>
      <c r="AT7" s="4">
        <f>(3.28608151241481*(0.9/0.95))*(0.85/0.9)</f>
        <v>2.9401781953185142</v>
      </c>
      <c r="AU7" s="4">
        <f>(2.98287848838519*(0.9/0.95))*(0.85/0.9)</f>
        <v>2.6688912790814858</v>
      </c>
      <c r="AV7" s="4">
        <f>(2.77075636475555*(0.9/0.95))*(0.85/0.9)</f>
        <v>2.4790978000444399</v>
      </c>
      <c r="AW7" s="4">
        <f>(2.33656989657778*(0.9/0.95))*(0.85/0.9)</f>
        <v>2.090615170622224</v>
      </c>
    </row>
    <row r="8" spans="1:49" x14ac:dyDescent="0.25">
      <c r="A8" s="4" t="s">
        <v>140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f>(2.28442660620741*(0.9/0.95))*(0.85/0.9)</f>
        <v>2.0439606476592616</v>
      </c>
      <c r="AA8" s="4">
        <f>(2.12797305715555*(0.9/0.95))*(0.85/0.9)</f>
        <v>1.9039758932444395</v>
      </c>
      <c r="AB8" s="4">
        <f>(1.95313613579259*(0.9/0.95))*(0.85/0.9)</f>
        <v>1.7475428583407386</v>
      </c>
      <c r="AC8" s="4">
        <f>(1.92714168577778*(0.9/0.95))*(0.85/0.9)</f>
        <v>1.7242846662222242</v>
      </c>
      <c r="AD8" s="4">
        <f>(1.97972495*(0.9/0.95))*(0.85/0.9)</f>
        <v>1.7713328500000001</v>
      </c>
      <c r="AE8" s="4">
        <f>(2.09408201488889*(0.9/0.95))*(0.85/0.9)</f>
        <v>1.8736523291111122</v>
      </c>
      <c r="AF8" s="4">
        <f>(2.46732637573334*(0.9/0.95))*(0.85/0.9)</f>
        <v>2.2076078098666727</v>
      </c>
      <c r="AG8" s="4">
        <f>(2.94369837108149*(0.9/0.95))*(0.85/0.9)</f>
        <v>2.6338353846518596</v>
      </c>
      <c r="AH8" s="4">
        <f>(3.18385888478519*(0.9/0.95))*(0.85/0.9)</f>
        <v>2.8487158442814855</v>
      </c>
      <c r="AI8" s="4">
        <f>(3.23640026484445*(0.9/0.95))*(0.85/0.9)</f>
        <v>2.8957265527555607</v>
      </c>
      <c r="AJ8" s="4">
        <f>(3.25563420860741*(0.9/0.95))*(0.85/0.9)</f>
        <v>2.9129358708592616</v>
      </c>
      <c r="AK8" s="4">
        <f>(3.02374400336296*(0.9/0.95))*(0.85/0.9)</f>
        <v>2.7054551609037012</v>
      </c>
      <c r="AL8" s="4">
        <f>(3.0498629334963*(0.9/0.95))*(0.85/0.9)</f>
        <v>2.7288247299703738</v>
      </c>
      <c r="AM8" s="4">
        <f>(3.12443168291852*(0.9/0.95))*(0.85/0.9)</f>
        <v>2.7955441373481493</v>
      </c>
      <c r="AN8" s="4">
        <f>(3.03729307*(0.9/0.95))*(0.85/0.9)</f>
        <v>2.71757801</v>
      </c>
      <c r="AO8" s="4">
        <f>(3.28926278965926*(0.9/0.95))*(0.85/0.9)</f>
        <v>2.9430246012740748</v>
      </c>
      <c r="AP8" s="4">
        <f>(3.15522945059259*(0.9/0.95))*(0.85/0.9)</f>
        <v>2.8231000347407389</v>
      </c>
      <c r="AQ8" s="4">
        <f>(3.50079790842963*(0.9/0.95))*(0.85/0.9)</f>
        <v>3.1322928654370377</v>
      </c>
      <c r="AR8" s="4">
        <f>(3.31907854247407*(0.9/0.95))*(0.85/0.9)</f>
        <v>2.9697018537925888</v>
      </c>
      <c r="AS8" s="4">
        <f>(3.15441012921481*(0.9/0.95))*(0.85/0.9)</f>
        <v>2.8223669577185144</v>
      </c>
      <c r="AT8" s="4">
        <f>(3.09057619795555*(0.9/0.95))*(0.85/0.9)</f>
        <v>2.7652523876444399</v>
      </c>
      <c r="AU8" s="4">
        <f>(2.77796561103704*(0.9/0.95))*(0.85/0.9)</f>
        <v>2.4855481782962991</v>
      </c>
      <c r="AV8" s="4">
        <f>(2.41117648696296*(0.9/0.95))*(0.85/0.9)</f>
        <v>2.1573684357037011</v>
      </c>
      <c r="AW8" s="4">
        <f>(2.1688574738963*(0.9/0.95))*(0.85/0.9)</f>
        <v>1.9405566871703737</v>
      </c>
    </row>
    <row r="9" spans="1:49" x14ac:dyDescent="0.25">
      <c r="A9" s="4" t="s">
        <v>141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f>(3.1207303008*(0.9/0.95))*(0.85/0.9)</f>
        <v>2.7922323744000002</v>
      </c>
      <c r="AA9" s="4">
        <f>(2.85872769757037*(0.9/0.95))*(0.85/0.9)</f>
        <v>2.5578089925629626</v>
      </c>
      <c r="AB9" s="4">
        <f>(2.68864432822222*(0.9/0.95))*(0.85/0.9)</f>
        <v>2.4056291357777759</v>
      </c>
      <c r="AC9" s="4">
        <f>(2.65551393758519*(0.9/0.95))*(0.85/0.9)</f>
        <v>2.375986154681486</v>
      </c>
      <c r="AD9" s="4">
        <f>(2.67481393998519*(0.9/0.95))*(0.85/0.9)</f>
        <v>2.393254577881486</v>
      </c>
      <c r="AE9" s="4">
        <f>(2.71295733903704*(0.9/0.95))*(0.85/0.9)</f>
        <v>2.4273828822962993</v>
      </c>
      <c r="AF9" s="4">
        <f>(3.33474574740741*(0.9/0.95))*(0.85/0.9)</f>
        <v>2.9837198792592616</v>
      </c>
      <c r="AG9" s="4">
        <f>(4.09816323321481*(0.9/0.95))*(0.85/0.9)</f>
        <v>3.666777629718514</v>
      </c>
      <c r="AH9" s="4">
        <f>(4.16506388438519*(0.9/0.95))*(0.85/0.9)</f>
        <v>3.726636107081486</v>
      </c>
      <c r="AI9" s="4">
        <f>(4.4001615393037*(0.9/0.95))*(0.85/0.9)</f>
        <v>3.9369866404296268</v>
      </c>
      <c r="AJ9" s="4">
        <f>(4.43608914456296*(0.9/0.95))*(0.85/0.9)</f>
        <v>3.9691323925037008</v>
      </c>
      <c r="AK9" s="4">
        <f>(4.13964972420741*(0.9/0.95))*(0.85/0.9)</f>
        <v>3.7038971216592618</v>
      </c>
      <c r="AL9" s="4">
        <f>(4.25759437838519*(0.9/0.95))*(0.85/0.9)</f>
        <v>3.8094265490814854</v>
      </c>
      <c r="AM9" s="4">
        <f>(4.30139021044445*(0.9/0.95))*(0.85/0.9)</f>
        <v>3.8486122935555604</v>
      </c>
      <c r="AN9" s="4">
        <f>(4.07839034192592*(0.9/0.95))*(0.85/0.9)</f>
        <v>3.6490860954074025</v>
      </c>
      <c r="AO9" s="4">
        <f>(4.44738036379259*(0.9/0.95))*(0.85/0.9)</f>
        <v>3.979235062340738</v>
      </c>
      <c r="AP9" s="4">
        <f>(4.34091331405926*(0.9/0.95))*(0.85/0.9)</f>
        <v>3.8839750704740745</v>
      </c>
      <c r="AQ9" s="4">
        <f>(4.55040357851852*(0.9/0.95))*(0.85/0.9)</f>
        <v>4.0714137281481504</v>
      </c>
      <c r="AR9" s="4">
        <f>(4.50550026826666*(0.9/0.95))*(0.85/0.9)</f>
        <v>4.0312370821333277</v>
      </c>
      <c r="AS9" s="4">
        <f>(4.32112119195555*(0.9/0.95))*(0.85/0.9)</f>
        <v>3.8662663296444393</v>
      </c>
      <c r="AT9" s="4">
        <f>(4.33941889453334*(0.9/0.95))*(0.85/0.9)</f>
        <v>3.882637958266673</v>
      </c>
      <c r="AU9" s="4">
        <f>(3.76931787223704*(0.9/0.95))*(0.85/0.9)</f>
        <v>3.372547569896299</v>
      </c>
      <c r="AV9" s="4">
        <f>(3.39949077398519*(0.9/0.95))*(0.85/0.9)</f>
        <v>3.0416496398814856</v>
      </c>
      <c r="AW9" s="4">
        <f>(2.79119949525926*(0.9/0.95))*(0.85/0.9)</f>
        <v>2.4973890220740746</v>
      </c>
    </row>
    <row r="10" spans="1:49" x14ac:dyDescent="0.25">
      <c r="A10" s="4" t="s">
        <v>142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f>(2.99296098588148*(0.9/0.95))*(0.85/0.9)</f>
        <v>2.6779124610518505</v>
      </c>
      <c r="AA10" s="4">
        <f>(2.96758337213334*(0.9/0.95))*(0.85/0.9)</f>
        <v>2.6552061750666729</v>
      </c>
      <c r="AB10" s="4">
        <f>(2.73721355392592*(0.9/0.95))*(0.85/0.9)</f>
        <v>2.4490858114074023</v>
      </c>
      <c r="AC10" s="4">
        <f>(2.83486258543704*(0.9/0.95))*(0.85/0.9)</f>
        <v>2.536455997496299</v>
      </c>
      <c r="AD10" s="4">
        <f>(2.69073860139259*(0.9/0.95))*(0.85/0.9)</f>
        <v>2.4075029591407384</v>
      </c>
      <c r="AE10" s="4">
        <f>(2.82429332567407*(0.9/0.95))*(0.85/0.9)</f>
        <v>2.5269992913925887</v>
      </c>
      <c r="AF10" s="4">
        <f>(3.52760306339259*(0.9/0.95))*(0.85/0.9)</f>
        <v>3.1562764251407383</v>
      </c>
      <c r="AG10" s="4">
        <f>(4.04131209948148*(0.9/0.95))*(0.85/0.9)</f>
        <v>3.6159108258518509</v>
      </c>
      <c r="AH10" s="4">
        <f>(4.57980678503704*(0.9/0.95))*(0.85/0.9)</f>
        <v>4.097721860296299</v>
      </c>
      <c r="AI10" s="4">
        <f>(4.26908769062222*(0.9/0.95))*(0.85/0.9)</f>
        <v>3.8197100389777758</v>
      </c>
      <c r="AJ10" s="4">
        <f>(4.33530254453334*(0.9/0.95))*(0.85/0.9)</f>
        <v>3.8789549082666723</v>
      </c>
      <c r="AK10" s="4">
        <f>(4.50728721882963*(0.9/0.95))*(0.85/0.9)</f>
        <v>4.0328359326370373</v>
      </c>
      <c r="AL10" s="4">
        <f>(4.41342391508148*(0.9/0.95))*(0.85/0.9)</f>
        <v>3.9488529766518505</v>
      </c>
      <c r="AM10" s="4">
        <f>(4.1913044041037*(0.9/0.95))*(0.85/0.9)</f>
        <v>3.7501144668296269</v>
      </c>
      <c r="AN10" s="4">
        <f>(4.40746015764445*(0.9/0.95))*(0.85/0.9)</f>
        <v>3.9435169831555603</v>
      </c>
      <c r="AO10" s="4">
        <f>(4.17078215140741*(0.9/0.95))*(0.85/0.9)</f>
        <v>3.7317524512592617</v>
      </c>
      <c r="AP10" s="4">
        <f>(4.56974331540741*(0.9/0.95))*(0.85/0.9)</f>
        <v>4.0887177032592623</v>
      </c>
      <c r="AQ10" s="4">
        <f>(4.78437309197037*(0.9/0.95))*(0.85/0.9)</f>
        <v>4.2807548717629631</v>
      </c>
      <c r="AR10" s="4">
        <f>(4.68606049882963*(0.9/0.95))*(0.85/0.9)</f>
        <v>4.192790972637038</v>
      </c>
      <c r="AS10" s="4">
        <f>(4.41985919594074*(0.9/0.95))*(0.85/0.9)</f>
        <v>3.9546108595259248</v>
      </c>
      <c r="AT10" s="4">
        <f>(4.28145551825185*(0.9/0.95))*(0.85/0.9)</f>
        <v>3.8307759900148133</v>
      </c>
      <c r="AU10" s="4">
        <f>(3.86401939715555*(0.9/0.95))*(0.85/0.9)</f>
        <v>3.4572805132444397</v>
      </c>
      <c r="AV10" s="4">
        <f>(3.26655062398519*(0.9/0.95))*(0.85/0.9)</f>
        <v>2.9227031898814859</v>
      </c>
      <c r="AW10" s="4">
        <f>(2.89831834548148*(0.9/0.95))*(0.85/0.9)</f>
        <v>2.5932322038518505</v>
      </c>
    </row>
    <row r="11" spans="1:49" x14ac:dyDescent="0.25">
      <c r="A11" s="4" t="s">
        <v>143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f>(3.54919662419259*(0.9/0.95))*(0.85/0.9)</f>
        <v>3.1755969795407384</v>
      </c>
      <c r="AA11" s="4">
        <f>(3.1092036498963*(0.9/0.95))*(0.85/0.9)</f>
        <v>2.7819190551703734</v>
      </c>
      <c r="AB11" s="4">
        <f>(3.03990441761481*(0.9/0.95))*(0.85/0.9)</f>
        <v>2.7199144789185139</v>
      </c>
      <c r="AC11" s="4">
        <f>(2.97593508644445*(0.9/0.95))*(0.85/0.9)</f>
        <v>2.6626787615555605</v>
      </c>
      <c r="AD11" s="4">
        <f>(3.11086803751111*(0.9/0.95))*(0.85/0.9)</f>
        <v>2.7834082440888883</v>
      </c>
      <c r="AE11" s="4">
        <f>(2.95501414900741*(0.9/0.95))*(0.85/0.9)</f>
        <v>2.6439600280592619</v>
      </c>
      <c r="AF11" s="4">
        <f>(3.78412710303704*(0.9/0.95))*(0.85/0.9)</f>
        <v>3.3857979342962992</v>
      </c>
      <c r="AG11" s="4">
        <f>(4.34800889558519*(0.9/0.95))*(0.85/0.9)</f>
        <v>3.8903237486814861</v>
      </c>
      <c r="AH11" s="4">
        <f>(4.80339935278519*(0.9/0.95))*(0.85/0.9)</f>
        <v>4.2977783682814863</v>
      </c>
      <c r="AI11" s="4">
        <f>(5.17868238688889*(0.9/0.95))*(0.85/0.9)</f>
        <v>4.6335579251111119</v>
      </c>
      <c r="AJ11" s="4">
        <f>(4.75256499127407*(0.9/0.95))*(0.85/0.9)</f>
        <v>4.2522949921925894</v>
      </c>
      <c r="AK11" s="4">
        <f>(5.13574113204445*(0.9/0.95))*(0.85/0.9)</f>
        <v>4.5951368023555608</v>
      </c>
      <c r="AL11" s="4">
        <f>(4.73833864331851*(0.9/0.95))*(0.85/0.9)</f>
        <v>4.2395661545481405</v>
      </c>
      <c r="AM11" s="4">
        <f>(4.86933638447407*(0.9/0.95))*(0.85/0.9)</f>
        <v>4.3567746597925892</v>
      </c>
      <c r="AN11" s="4">
        <f>(4.63636897774815*(0.9/0.95))*(0.85/0.9)</f>
        <v>4.1483301379851873</v>
      </c>
      <c r="AO11" s="4">
        <f>(4.812856636*(0.9/0.95))*(0.85/0.9)</f>
        <v>4.3062401480000005</v>
      </c>
      <c r="AP11" s="4">
        <f>(4.97319683715555*(0.9/0.95))*(0.85/0.9)</f>
        <v>4.4497024332444397</v>
      </c>
      <c r="AQ11" s="4">
        <f>(5.30522854317037*(0.9/0.95))*(0.85/0.9)</f>
        <v>4.7467834333629622</v>
      </c>
      <c r="AR11" s="4">
        <f>(4.93863246022222*(0.9/0.95))*(0.85/0.9)</f>
        <v>4.4187764117777757</v>
      </c>
      <c r="AS11" s="4">
        <f>(5.15785410808889*(0.9/0.95))*(0.85/0.9)</f>
        <v>4.6149220967111129</v>
      </c>
      <c r="AT11" s="4">
        <f>(4.86434978887407*(0.9/0.95))*(0.85/0.9)</f>
        <v>4.3523129689925888</v>
      </c>
      <c r="AU11" s="4">
        <f>(4.32656896456296*(0.9/0.95))*(0.85/0.9)</f>
        <v>3.8711406525037018</v>
      </c>
      <c r="AV11" s="4">
        <f>(3.80588871081481*(0.9/0.95))*(0.85/0.9)</f>
        <v>3.4052688465185144</v>
      </c>
      <c r="AW11" s="4">
        <f>(3.23760330008889*(0.9/0.95))*(0.85/0.9)</f>
        <v>2.8968029527111123</v>
      </c>
    </row>
    <row r="12" spans="1:49" x14ac:dyDescent="0.25">
      <c r="A12" s="4" t="s">
        <v>144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f t="shared" ref="Z12:AI13" si="0">(0*(0.9/0.95))*(0.85/0.9)</f>
        <v>0</v>
      </c>
      <c r="AA12" s="4">
        <f t="shared" si="0"/>
        <v>0</v>
      </c>
      <c r="AB12" s="4">
        <f t="shared" si="0"/>
        <v>0</v>
      </c>
      <c r="AC12" s="4">
        <f t="shared" si="0"/>
        <v>0</v>
      </c>
      <c r="AD12" s="4">
        <f t="shared" si="0"/>
        <v>0</v>
      </c>
      <c r="AE12" s="4">
        <f t="shared" si="0"/>
        <v>0</v>
      </c>
      <c r="AF12" s="4">
        <f t="shared" si="0"/>
        <v>0</v>
      </c>
      <c r="AG12" s="4">
        <f t="shared" si="0"/>
        <v>0</v>
      </c>
      <c r="AH12" s="4">
        <f t="shared" si="0"/>
        <v>0</v>
      </c>
      <c r="AI12" s="4">
        <f t="shared" si="0"/>
        <v>0</v>
      </c>
      <c r="AJ12" s="4">
        <f t="shared" ref="AJ12:AW13" si="1">(0*(0.9/0.95))*(0.85/0.9)</f>
        <v>0</v>
      </c>
      <c r="AK12" s="4">
        <f t="shared" si="1"/>
        <v>0</v>
      </c>
      <c r="AL12" s="4">
        <f t="shared" si="1"/>
        <v>0</v>
      </c>
      <c r="AM12" s="4">
        <f t="shared" si="1"/>
        <v>0</v>
      </c>
      <c r="AN12" s="4">
        <f t="shared" si="1"/>
        <v>0</v>
      </c>
      <c r="AO12" s="4">
        <f t="shared" si="1"/>
        <v>0</v>
      </c>
      <c r="AP12" s="4">
        <f t="shared" si="1"/>
        <v>0</v>
      </c>
      <c r="AQ12" s="4">
        <f t="shared" si="1"/>
        <v>0</v>
      </c>
      <c r="AR12" s="4">
        <f t="shared" si="1"/>
        <v>0</v>
      </c>
      <c r="AS12" s="4">
        <f t="shared" si="1"/>
        <v>0</v>
      </c>
      <c r="AT12" s="4">
        <f t="shared" si="1"/>
        <v>0</v>
      </c>
      <c r="AU12" s="4">
        <f t="shared" si="1"/>
        <v>0</v>
      </c>
      <c r="AV12" s="4">
        <f t="shared" si="1"/>
        <v>0</v>
      </c>
      <c r="AW12" s="4">
        <f t="shared" si="1"/>
        <v>0</v>
      </c>
    </row>
    <row r="13" spans="1:49" x14ac:dyDescent="0.25">
      <c r="A13" s="4" t="s">
        <v>145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f t="shared" si="0"/>
        <v>0</v>
      </c>
      <c r="AA13" s="4">
        <f t="shared" si="0"/>
        <v>0</v>
      </c>
      <c r="AB13" s="4">
        <f t="shared" si="0"/>
        <v>0</v>
      </c>
      <c r="AC13" s="4">
        <f t="shared" si="0"/>
        <v>0</v>
      </c>
      <c r="AD13" s="4">
        <f t="shared" si="0"/>
        <v>0</v>
      </c>
      <c r="AE13" s="4">
        <f t="shared" si="0"/>
        <v>0</v>
      </c>
      <c r="AF13" s="4">
        <f t="shared" si="0"/>
        <v>0</v>
      </c>
      <c r="AG13" s="4">
        <f t="shared" si="0"/>
        <v>0</v>
      </c>
      <c r="AH13" s="4">
        <f t="shared" si="0"/>
        <v>0</v>
      </c>
      <c r="AI13" s="4">
        <f t="shared" si="0"/>
        <v>0</v>
      </c>
      <c r="AJ13" s="4">
        <f t="shared" si="1"/>
        <v>0</v>
      </c>
      <c r="AK13" s="4">
        <f t="shared" si="1"/>
        <v>0</v>
      </c>
      <c r="AL13" s="4">
        <f t="shared" si="1"/>
        <v>0</v>
      </c>
      <c r="AM13" s="4">
        <f t="shared" si="1"/>
        <v>0</v>
      </c>
      <c r="AN13" s="4">
        <f t="shared" si="1"/>
        <v>0</v>
      </c>
      <c r="AO13" s="4">
        <f t="shared" si="1"/>
        <v>0</v>
      </c>
      <c r="AP13" s="4">
        <f t="shared" si="1"/>
        <v>0</v>
      </c>
      <c r="AQ13" s="4">
        <f t="shared" si="1"/>
        <v>0</v>
      </c>
      <c r="AR13" s="4">
        <f t="shared" si="1"/>
        <v>0</v>
      </c>
      <c r="AS13" s="4">
        <f t="shared" si="1"/>
        <v>0</v>
      </c>
      <c r="AT13" s="4">
        <f t="shared" si="1"/>
        <v>0</v>
      </c>
      <c r="AU13" s="4">
        <f t="shared" si="1"/>
        <v>0</v>
      </c>
      <c r="AV13" s="4">
        <f t="shared" si="1"/>
        <v>0</v>
      </c>
      <c r="AW13" s="4">
        <f t="shared" si="1"/>
        <v>0</v>
      </c>
    </row>
    <row r="14" spans="1:49" x14ac:dyDescent="0.25">
      <c r="A14" s="4" t="s">
        <v>146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f>(4.60359250700741*(0.9/0.95))*(0.85/0.9)</f>
        <v>4.1190038220592617</v>
      </c>
      <c r="AA14" s="4">
        <f>(4.38613809023704*(0.9/0.95))*(0.85/0.9)</f>
        <v>3.924439343896299</v>
      </c>
      <c r="AB14" s="4">
        <f>(4.06614416496296*(0.9/0.95))*(0.85/0.9)</f>
        <v>3.6381289897037012</v>
      </c>
      <c r="AC14" s="4">
        <f>(4.29356541257777*(0.9/0.95))*(0.85/0.9)</f>
        <v>3.8416111586222157</v>
      </c>
      <c r="AD14" s="4">
        <f>(4.16440694517037*(0.9/0.95))*(0.85/0.9)</f>
        <v>3.7260483193629628</v>
      </c>
      <c r="AE14" s="4">
        <f>(4.30042919185185*(0.9/0.95))*(0.85/0.9)</f>
        <v>3.8477524348148138</v>
      </c>
      <c r="AF14" s="4">
        <f>(5.05404321613334*(0.9/0.95))*(0.85/0.9)</f>
        <v>4.5220386670666723</v>
      </c>
      <c r="AG14" s="4">
        <f>(5.89188919448889*(0.9/0.95))*(0.85/0.9)</f>
        <v>5.2716903319111124</v>
      </c>
      <c r="AH14" s="4">
        <f>(6.98120409134815*(0.9/0.95))*(0.85/0.9)</f>
        <v>6.2463405027851868</v>
      </c>
      <c r="AI14" s="4">
        <f>(6.74825508591111*(0.9/0.95))*(0.85/0.9)</f>
        <v>6.0379124452888879</v>
      </c>
      <c r="AJ14" s="4">
        <f>(6.68079327522963*(0.9/0.95))*(0.85/0.9)</f>
        <v>5.9775518778370369</v>
      </c>
      <c r="AK14" s="4">
        <f>(6.8892328790963*(0.9/0.95))*(0.85/0.9)</f>
        <v>6.1640504707703743</v>
      </c>
      <c r="AL14" s="4">
        <f>(6.51785672294815*(0.9/0.95))*(0.85/0.9)</f>
        <v>5.8317665415851874</v>
      </c>
      <c r="AM14" s="4">
        <f>(6.66036773816296*(0.9/0.95))*(0.85/0.9)</f>
        <v>5.9592763973037011</v>
      </c>
      <c r="AN14" s="4">
        <f>(6.65285003434074*(0.9/0.95))*(0.85/0.9)</f>
        <v>5.9525500307259254</v>
      </c>
      <c r="AO14" s="4">
        <f>(6.4104381656*(0.9/0.95))*(0.85/0.9)</f>
        <v>5.7356552008000001</v>
      </c>
      <c r="AP14" s="4">
        <f>(7.22639820186666*(0.9/0.95))*(0.85/0.9)</f>
        <v>6.4657247069333277</v>
      </c>
      <c r="AQ14" s="4">
        <f>(7.14878166188148*(0.9/0.95))*(0.85/0.9)</f>
        <v>6.3962783290518512</v>
      </c>
      <c r="AR14" s="4">
        <f>(6.90695332226666*(0.9/0.95))*(0.85/0.9)</f>
        <v>6.179905604133328</v>
      </c>
      <c r="AS14" s="4">
        <f>(6.86345991841481*(0.9/0.95))*(0.85/0.9)</f>
        <v>6.1409904533185147</v>
      </c>
      <c r="AT14" s="4">
        <f>(6.68787541291851*(0.9/0.95))*(0.85/0.9)</f>
        <v>5.9838885273481406</v>
      </c>
      <c r="AU14" s="4">
        <f>(5.96370128148148*(0.9/0.95))*(0.85/0.9)</f>
        <v>5.3359432518518508</v>
      </c>
      <c r="AV14" s="4">
        <f>(5.18810183899259*(0.9/0.95))*(0.85/0.9)</f>
        <v>4.6419858559407379</v>
      </c>
      <c r="AW14" s="4">
        <f>(4.48475245151111*(0.9/0.95))*(0.85/0.9)</f>
        <v>4.0126732460888874</v>
      </c>
    </row>
    <row r="15" spans="1:49" x14ac:dyDescent="0.25">
      <c r="A15" s="4" t="s">
        <v>147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f>(3.58763692456296*(0.9/0.95))*(0.85/0.9)</f>
        <v>3.2099909325037013</v>
      </c>
      <c r="AA15" s="4">
        <f>(3.24757937985185*(0.9/0.95))*(0.85/0.9)</f>
        <v>2.9057289188148134</v>
      </c>
      <c r="AB15" s="4">
        <f>(2.97910167851851*(0.9/0.95))*(0.85/0.9)</f>
        <v>2.6655120281481404</v>
      </c>
      <c r="AC15" s="4">
        <f>(3.08337350118519*(0.9/0.95))*(0.85/0.9)</f>
        <v>2.7588078694814859</v>
      </c>
      <c r="AD15" s="4">
        <f>(3.14242183235555*(0.9/0.95))*(0.85/0.9)</f>
        <v>2.8116405868444394</v>
      </c>
      <c r="AE15" s="4">
        <f>(3.19140347825185*(0.9/0.95))*(0.85/0.9)</f>
        <v>2.855466270014813</v>
      </c>
      <c r="AF15" s="4">
        <f>(3.92439288121481*(0.9/0.95))*(0.85/0.9)</f>
        <v>3.5112988937185143</v>
      </c>
      <c r="AG15" s="4">
        <f>(4.65270269198519*(0.9/0.95))*(0.85/0.9)</f>
        <v>4.1629445138814853</v>
      </c>
      <c r="AH15" s="4">
        <f>(4.88459405383704*(0.9/0.95))*(0.85/0.9)</f>
        <v>4.3704262586962983</v>
      </c>
      <c r="AI15" s="4">
        <f>(5.05613879368889*(0.9/0.95))*(0.85/0.9)</f>
        <v>4.5239136575111125</v>
      </c>
      <c r="AJ15" s="4">
        <f>(4.99512349694815*(0.9/0.95))*(0.85/0.9)</f>
        <v>4.469321023585187</v>
      </c>
      <c r="AK15" s="4">
        <f>(4.80558569939259*(0.9/0.95))*(0.85/0.9)</f>
        <v>4.2997345731407384</v>
      </c>
      <c r="AL15" s="4">
        <f>(5.11149579162963*(0.9/0.95))*(0.85/0.9)</f>
        <v>4.5734436030370373</v>
      </c>
      <c r="AM15" s="4">
        <f>(4.89421783334815*(0.9/0.95))*(0.85/0.9)</f>
        <v>4.3790370087851871</v>
      </c>
      <c r="AN15" s="4">
        <f>(4.86052497093334*(0.9/0.95))*(0.85/0.9)</f>
        <v>4.3488907634666729</v>
      </c>
      <c r="AO15" s="4">
        <f>(4.70689922453334*(0.9/0.95))*(0.85/0.9)</f>
        <v>4.2114361482666727</v>
      </c>
      <c r="AP15" s="4">
        <f>(5.35223938127407*(0.9/0.95))*(0.85/0.9)</f>
        <v>4.7888457621925893</v>
      </c>
      <c r="AQ15" s="4">
        <f>(5.33872108591111*(0.9/0.95))*(0.85/0.9)</f>
        <v>4.7767504452888883</v>
      </c>
      <c r="AR15" s="4">
        <f>(5.2455497722963*(0.9/0.95))*(0.85/0.9)</f>
        <v>4.6933866383703737</v>
      </c>
      <c r="AS15" s="4">
        <f>(5.14493818844444*(0.9/0.95))*(0.85/0.9)</f>
        <v>4.6033657475555518</v>
      </c>
      <c r="AT15" s="4">
        <f>(4.65630013115555*(0.9/0.95))*(0.85/0.9)</f>
        <v>4.1661632752444397</v>
      </c>
      <c r="AU15" s="4">
        <f>(4.38665771434074*(0.9/0.95))*(0.85/0.9)</f>
        <v>3.9249042707259254</v>
      </c>
      <c r="AV15" s="4">
        <f>(3.93402792336296*(0.9/0.95))*(0.85/0.9)</f>
        <v>3.519919720903701</v>
      </c>
      <c r="AW15" s="4">
        <f>(3.09067468297778*(0.9/0.95))*(0.85/0.9)</f>
        <v>2.7653405058222242</v>
      </c>
    </row>
    <row r="16" spans="1:49" x14ac:dyDescent="0.25">
      <c r="A16" s="4" t="s">
        <v>148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f>(5.37513761099259*(0.9/0.95))*(0.85/0.9)</f>
        <v>4.8093336519407393</v>
      </c>
      <c r="AA16" s="4">
        <f>(5.06583931321481*(0.9/0.95))*(0.85/0.9)</f>
        <v>4.5325930697185148</v>
      </c>
      <c r="AB16" s="4">
        <f>(5.22051665022222*(0.9/0.95))*(0.85/0.9)</f>
        <v>4.6709885817777757</v>
      </c>
      <c r="AC16" s="4">
        <f>(5.15816678813334*(0.9/0.95))*(0.85/0.9)</f>
        <v>4.6152018630666731</v>
      </c>
      <c r="AD16" s="4">
        <f>(4.97803351515555*(0.9/0.95))*(0.85/0.9)</f>
        <v>4.4540299872444393</v>
      </c>
      <c r="AE16" s="4">
        <f>(5.17745378608889*(0.9/0.95))*(0.85/0.9)</f>
        <v>4.6324586507111123</v>
      </c>
      <c r="AF16" s="4">
        <f>(6.08817965228149*(0.9/0.95))*(0.85/0.9)</f>
        <v>5.4473186362518602</v>
      </c>
      <c r="AG16" s="4">
        <f>(7.13011526162963*(0.9/0.95))*(0.85/0.9)</f>
        <v>6.3795768130370378</v>
      </c>
      <c r="AH16" s="4">
        <f>(8.06879655348148*(0.9/0.95))*(0.85/0.9)</f>
        <v>7.219449547851851</v>
      </c>
      <c r="AI16" s="4">
        <f>(8.39521091878519*(0.9/0.95))*(0.85/0.9)</f>
        <v>7.5115045062814865</v>
      </c>
      <c r="AJ16" s="4">
        <f>(8.32474620848889*(0.9/0.95))*(0.85/0.9)</f>
        <v>7.4484571339111119</v>
      </c>
      <c r="AK16" s="4">
        <f>(7.96271913463704*(0.9/0.95))*(0.85/0.9)</f>
        <v>7.1245381730962993</v>
      </c>
      <c r="AL16" s="4">
        <f>(7.66843808557037*(0.9/0.95))*(0.85/0.9)</f>
        <v>6.8612340765629627</v>
      </c>
      <c r="AM16" s="4">
        <f>(8.06023715425185*(0.9/0.95))*(0.85/0.9)</f>
        <v>7.2117911380148128</v>
      </c>
      <c r="AN16" s="4">
        <f>(7.54521057287407*(0.9/0.95))*(0.85/0.9)</f>
        <v>6.7509778809925889</v>
      </c>
      <c r="AO16" s="4">
        <f>(7.65804510302222*(0.9/0.95))*(0.85/0.9)</f>
        <v>6.8519350921777757</v>
      </c>
      <c r="AP16" s="4">
        <f>(8.34046437114074*(0.9/0.95))*(0.85/0.9)</f>
        <v>7.4625207531259257</v>
      </c>
      <c r="AQ16" s="4">
        <f>(8.60632248477037*(0.9/0.95))*(0.85/0.9)</f>
        <v>7.7003938021629628</v>
      </c>
      <c r="AR16" s="4">
        <f>(8.66645502602962*(0.9/0.95))*(0.85/0.9)</f>
        <v>7.7541966022370294</v>
      </c>
      <c r="AS16" s="4">
        <f>(8.30982749011851*(0.9/0.95))*(0.85/0.9)</f>
        <v>7.4351088069481408</v>
      </c>
      <c r="AT16" s="4">
        <f>(7.5162882648*(0.9/0.95))*(0.85/0.9)</f>
        <v>6.7251000264000007</v>
      </c>
      <c r="AU16" s="4">
        <f>(6.76213119856296*(0.9/0.95))*(0.85/0.9)</f>
        <v>6.0503279145037014</v>
      </c>
      <c r="AV16" s="4">
        <f>(6.15183919788149*(0.9/0.95))*(0.85/0.9)</f>
        <v>5.5042771770518595</v>
      </c>
      <c r="AW16" s="4">
        <f>(5.060877696*(0.9/0.95))*(0.85/0.9)</f>
        <v>4.5281537280000004</v>
      </c>
    </row>
    <row r="17" spans="1:49" x14ac:dyDescent="0.25">
      <c r="A17" s="4" t="s">
        <v>149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f>(1.83215789939259*(0.9/0.95))*(0.85/0.9)</f>
        <v>1.6392991731407385</v>
      </c>
      <c r="AA17" s="4">
        <f>(1.67986645431111*(0.9/0.95))*(0.85/0.9)</f>
        <v>1.503038406488888</v>
      </c>
      <c r="AB17" s="4">
        <f>(1.6604036874963*(0.9/0.95))*(0.85/0.9)</f>
        <v>1.4856243519703736</v>
      </c>
      <c r="AC17" s="4">
        <f>(1.51608590964445*(0.9/0.95))*(0.85/0.9)</f>
        <v>1.3564979191555604</v>
      </c>
      <c r="AD17" s="4">
        <f>(1.52725619148148*(0.9/0.95))*(0.85/0.9)</f>
        <v>1.3664923818518506</v>
      </c>
      <c r="AE17" s="4">
        <f>(1.66607542028148*(0.9/0.95))*(0.85/0.9)</f>
        <v>1.4906990602518506</v>
      </c>
      <c r="AF17" s="4">
        <f>(1.97032753254815*(0.9/0.95))*(0.85/0.9)</f>
        <v>1.762924634385187</v>
      </c>
      <c r="AG17" s="4">
        <f>(2.33471619577778*(0.9/0.95))*(0.85/0.9)</f>
        <v>2.0889565962222241</v>
      </c>
      <c r="AH17" s="4">
        <f>(2.5036798666963*(0.9/0.95))*(0.85/0.9)</f>
        <v>2.2401346175703738</v>
      </c>
      <c r="AI17" s="4">
        <f>(2.45004057459259*(0.9/0.95))*(0.85/0.9)</f>
        <v>2.1921415667407382</v>
      </c>
      <c r="AJ17" s="4">
        <f>(2.48287623328889*(0.9/0.95))*(0.85/0.9)</f>
        <v>2.2215208403111122</v>
      </c>
      <c r="AK17" s="4">
        <f>(2.40715729986666*(0.9/0.95))*(0.85/0.9)</f>
        <v>2.1537723209333275</v>
      </c>
      <c r="AL17" s="4">
        <f>(2.48798498397037*(0.9/0.95))*(0.85/0.9)</f>
        <v>2.2260918277629629</v>
      </c>
      <c r="AM17" s="4">
        <f>(2.57864624868148*(0.9/0.95))*(0.85/0.9)</f>
        <v>2.3072098014518505</v>
      </c>
      <c r="AN17" s="4">
        <f>(2.40641524656296*(0.9/0.95))*(0.85/0.9)</f>
        <v>2.1531083785037008</v>
      </c>
      <c r="AO17" s="4">
        <f>(2.48558927368889*(0.9/0.95))*(0.85/0.9)</f>
        <v>2.2239482975111122</v>
      </c>
      <c r="AP17" s="4">
        <f>(2.54504588924445*(0.9/0.95))*(0.85/0.9)</f>
        <v>2.2771463219555605</v>
      </c>
      <c r="AQ17" s="4">
        <f>(2.75883535998519*(0.9/0.95))*(0.85/0.9)</f>
        <v>2.4684316378814861</v>
      </c>
      <c r="AR17" s="4">
        <f>(2.70429367371852*(0.9/0.95))*(0.85/0.9)</f>
        <v>2.4196311817481493</v>
      </c>
      <c r="AS17" s="4">
        <f>(2.54011898207407*(0.9/0.95))*(0.85/0.9)</f>
        <v>2.2727380365925893</v>
      </c>
      <c r="AT17" s="4">
        <f>(2.48735200642963*(0.9/0.95))*(0.85/0.9)</f>
        <v>2.2255254794370374</v>
      </c>
      <c r="AU17" s="4">
        <f>(2.21145042637037*(0.9/0.95))*(0.85/0.9)</f>
        <v>1.9786661709629627</v>
      </c>
      <c r="AV17" s="4">
        <f>(2.01961651878519*(0.9/0.95))*(0.85/0.9)</f>
        <v>1.8070253062814858</v>
      </c>
      <c r="AW17" s="4">
        <f>(1.68413942314074*(0.9/0.95))*(0.85/0.9)</f>
        <v>1.5068615891259254</v>
      </c>
    </row>
    <row r="18" spans="1:49" x14ac:dyDescent="0.25">
      <c r="A18" s="4" t="s">
        <v>150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f t="shared" ref="Z18:AW18" si="2">(0*(0.9/0.95))*(0.85/0.9)</f>
        <v>0</v>
      </c>
      <c r="AA18" s="4">
        <f t="shared" si="2"/>
        <v>0</v>
      </c>
      <c r="AB18" s="4">
        <f t="shared" si="2"/>
        <v>0</v>
      </c>
      <c r="AC18" s="4">
        <f t="shared" si="2"/>
        <v>0</v>
      </c>
      <c r="AD18" s="4">
        <f t="shared" si="2"/>
        <v>0</v>
      </c>
      <c r="AE18" s="4">
        <f t="shared" si="2"/>
        <v>0</v>
      </c>
      <c r="AF18" s="4">
        <f t="shared" si="2"/>
        <v>0</v>
      </c>
      <c r="AG18" s="4">
        <f t="shared" si="2"/>
        <v>0</v>
      </c>
      <c r="AH18" s="4">
        <f t="shared" si="2"/>
        <v>0</v>
      </c>
      <c r="AI18" s="4">
        <f t="shared" si="2"/>
        <v>0</v>
      </c>
      <c r="AJ18" s="4">
        <f t="shared" si="2"/>
        <v>0</v>
      </c>
      <c r="AK18" s="4">
        <f t="shared" si="2"/>
        <v>0</v>
      </c>
      <c r="AL18" s="4">
        <f t="shared" si="2"/>
        <v>0</v>
      </c>
      <c r="AM18" s="4">
        <f t="shared" si="2"/>
        <v>0</v>
      </c>
      <c r="AN18" s="4">
        <f t="shared" si="2"/>
        <v>0</v>
      </c>
      <c r="AO18" s="4">
        <f t="shared" si="2"/>
        <v>0</v>
      </c>
      <c r="AP18" s="4">
        <f t="shared" si="2"/>
        <v>0</v>
      </c>
      <c r="AQ18" s="4">
        <f t="shared" si="2"/>
        <v>0</v>
      </c>
      <c r="AR18" s="4">
        <f t="shared" si="2"/>
        <v>0</v>
      </c>
      <c r="AS18" s="4">
        <f t="shared" si="2"/>
        <v>0</v>
      </c>
      <c r="AT18" s="4">
        <f t="shared" si="2"/>
        <v>0</v>
      </c>
      <c r="AU18" s="4">
        <f t="shared" si="2"/>
        <v>0</v>
      </c>
      <c r="AV18" s="4">
        <f t="shared" si="2"/>
        <v>0</v>
      </c>
      <c r="AW18" s="4">
        <f t="shared" si="2"/>
        <v>0</v>
      </c>
    </row>
    <row r="19" spans="1:49" x14ac:dyDescent="0.25">
      <c r="A19" s="4" t="s">
        <v>151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f>(6.01587125657778*(0.9/0.95))*(0.85/0.9)</f>
        <v>5.3826216506222249</v>
      </c>
      <c r="AA19" s="4">
        <f>(5.73242547515555*(0.9/0.95))*(0.85/0.9)</f>
        <v>5.1290122672444394</v>
      </c>
      <c r="AB19" s="4">
        <f>(5.26190376558519*(0.9/0.95))*(0.85/0.9)</f>
        <v>4.7080191586814859</v>
      </c>
      <c r="AC19" s="4">
        <f>(5.35249829779259*(0.9/0.95))*(0.85/0.9)</f>
        <v>4.7890774243407392</v>
      </c>
      <c r="AD19" s="4">
        <f>(5.39208101102222*(0.9/0.95))*(0.85/0.9)</f>
        <v>4.8244935361777754</v>
      </c>
      <c r="AE19" s="4">
        <f>(5.17011029847407*(0.9/0.95))*(0.85/0.9)</f>
        <v>4.6258881617925889</v>
      </c>
      <c r="AF19" s="4">
        <f>(6.63226171906666*(0.9/0.95))*(0.85/0.9)</f>
        <v>5.9341289065333278</v>
      </c>
      <c r="AG19" s="4">
        <f>(7.53760887216296*(0.9/0.95))*(0.85/0.9)</f>
        <v>6.744176359303701</v>
      </c>
      <c r="AH19" s="4">
        <f>(8.43269377284444*(0.9/0.95))*(0.85/0.9)</f>
        <v>7.5450417967555516</v>
      </c>
      <c r="AI19" s="4">
        <f>(8.66260767099259*(0.9/0.95))*(0.85/0.9)</f>
        <v>7.7507542319407401</v>
      </c>
      <c r="AJ19" s="4">
        <f>(8.66495850805926*(0.9/0.95))*(0.85/0.9)</f>
        <v>7.7528576124740765</v>
      </c>
      <c r="AK19" s="4">
        <f>(8.01699501597037*(0.9/0.95))*(0.85/0.9)</f>
        <v>7.1731008037629627</v>
      </c>
      <c r="AL19" s="4">
        <f>(8.56240017266666*(0.9/0.95))*(0.85/0.9)</f>
        <v>7.6610948913333274</v>
      </c>
      <c r="AM19" s="4">
        <f>(8.50470117871111*(0.9/0.95))*(0.85/0.9)</f>
        <v>7.6094694756888881</v>
      </c>
      <c r="AN19" s="4">
        <f>(7.96804151681481*(0.9/0.95))*(0.85/0.9)</f>
        <v>7.1293003045185142</v>
      </c>
      <c r="AO19" s="4">
        <f>(8.12321061688889*(0.9/0.95))*(0.85/0.9)</f>
        <v>7.2681358151111128</v>
      </c>
      <c r="AP19" s="4">
        <f>(8.89790679037037*(0.9/0.95))*(0.85/0.9)</f>
        <v>7.9612850229629641</v>
      </c>
      <c r="AQ19" s="4">
        <f>(8.62809535715555*(0.9/0.95))*(0.85/0.9)</f>
        <v>7.7198747932444398</v>
      </c>
      <c r="AR19" s="4">
        <f>(9.19021079936296*(0.9/0.95))*(0.85/0.9)</f>
        <v>8.222820188903702</v>
      </c>
      <c r="AS19" s="4">
        <f>(8.2150789364*(0.9/0.95))*(0.85/0.9)</f>
        <v>7.3503337851999992</v>
      </c>
      <c r="AT19" s="4">
        <f>(8.41949362727407*(0.9/0.95))*(0.85/0.9)</f>
        <v>7.5332311401925898</v>
      </c>
      <c r="AU19" s="4">
        <f>(7.20866190115555*(0.9/0.95))*(0.85/0.9)</f>
        <v>6.4498553852444402</v>
      </c>
      <c r="AV19" s="4">
        <f>(6.19388117174815*(0.9/0.95))*(0.85/0.9)</f>
        <v>5.5418936799851872</v>
      </c>
      <c r="AW19" s="4">
        <f>(5.80865425176296*(0.9/0.95))*(0.85/0.9)</f>
        <v>5.1972169621037008</v>
      </c>
    </row>
    <row r="20" spans="1:49" x14ac:dyDescent="0.25">
      <c r="A20" s="4" t="s">
        <v>152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f>(3.40225907736296*(0.9/0.95))*(0.85/0.9)</f>
        <v>3.044126542903701</v>
      </c>
      <c r="AA20" s="4">
        <f>(2.96073018162963*(0.9/0.95))*(0.85/0.9)</f>
        <v>2.6490743730370374</v>
      </c>
      <c r="AB20" s="4">
        <f>(2.82047995952593*(0.9/0.95))*(0.85/0.9)</f>
        <v>2.5235873322074109</v>
      </c>
      <c r="AC20" s="4">
        <f>(2.80030104780741*(0.9/0.95))*(0.85/0.9)</f>
        <v>2.5055325164592617</v>
      </c>
      <c r="AD20" s="4">
        <f>(2.87611315807407*(0.9/0.95))*(0.85/0.9)</f>
        <v>2.573364404592589</v>
      </c>
      <c r="AE20" s="4">
        <f>(2.8115765888*(0.9/0.95))*(0.85/0.9)</f>
        <v>2.5156211584000001</v>
      </c>
      <c r="AF20" s="4">
        <f>(3.45213937765926*(0.9/0.95))*(0.85/0.9)</f>
        <v>3.0887562852740751</v>
      </c>
      <c r="AG20" s="4">
        <f>(3.99747983921481*(0.9/0.95))*(0.85/0.9)</f>
        <v>3.5766924877185144</v>
      </c>
      <c r="AH20" s="4">
        <f>(4.51963847564445*(0.9/0.95))*(0.85/0.9)</f>
        <v>4.0438870571555601</v>
      </c>
      <c r="AI20" s="4">
        <f>(4.46305524528889*(0.9/0.95))*(0.85/0.9)</f>
        <v>3.9932599563111122</v>
      </c>
      <c r="AJ20" s="4">
        <f>(4.70709623201481*(0.9/0.95))*(0.85/0.9)</f>
        <v>4.2116124181185146</v>
      </c>
      <c r="AK20" s="4">
        <f>(4.54799099201481*(0.9/0.95))*(0.85/0.9)</f>
        <v>4.0692550981185143</v>
      </c>
      <c r="AL20" s="4">
        <f>(4.73425237102222*(0.9/0.95))*(0.85/0.9)</f>
        <v>4.2359100161777761</v>
      </c>
      <c r="AM20" s="4">
        <f>(4.60418060739259*(0.9/0.95))*(0.85/0.9)</f>
        <v>4.1195300171407387</v>
      </c>
      <c r="AN20" s="4">
        <f>(4.65997826684444*(0.9/0.95))*(0.85/0.9)</f>
        <v>4.1694542387555513</v>
      </c>
      <c r="AO20" s="4">
        <f>(4.63408680020741*(0.9/0.95))*(0.85/0.9)</f>
        <v>4.1462881896592609</v>
      </c>
      <c r="AP20" s="4">
        <f>(4.85863398481481*(0.9/0.95))*(0.85/0.9)</f>
        <v>4.3471988285185148</v>
      </c>
      <c r="AQ20" s="4">
        <f>(4.77559159062222*(0.9/0.95))*(0.85/0.9)</f>
        <v>4.2728977389777762</v>
      </c>
      <c r="AR20" s="4">
        <f>(5.07364782202963*(0.9/0.95))*(0.85/0.9)</f>
        <v>4.5395796302370375</v>
      </c>
      <c r="AS20" s="4">
        <f>(4.81365167059259*(0.9/0.95))*(0.85/0.9)</f>
        <v>4.3069514947407379</v>
      </c>
      <c r="AT20" s="4">
        <f>(4.49799688312593*(0.9/0.95))*(0.85/0.9)</f>
        <v>4.0245235270074113</v>
      </c>
      <c r="AU20" s="4">
        <f>(4.10968407940741*(0.9/0.95))*(0.85/0.9)</f>
        <v>3.6770857552592617</v>
      </c>
      <c r="AV20" s="4">
        <f>(3.51589737281481*(0.9/0.95))*(0.85/0.9)</f>
        <v>3.1458029125185143</v>
      </c>
      <c r="AW20" s="4">
        <f>(2.99482809308148*(0.9/0.95))*(0.85/0.9)</f>
        <v>2.6795830306518504</v>
      </c>
    </row>
    <row r="21" spans="1:49" x14ac:dyDescent="0.25">
      <c r="A21" s="4" t="s">
        <v>153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f>(2.35489718623704*(0.9/0.95))*(0.85/0.9)</f>
        <v>2.1070132718962991</v>
      </c>
      <c r="AA21" s="4">
        <f>(2.1217517466963*(0.9/0.95))*(0.85/0.9)</f>
        <v>1.8984094575703736</v>
      </c>
      <c r="AB21" s="4">
        <f>(1.97037744597037*(0.9/0.95))*(0.85/0.9)</f>
        <v>1.7629692937629626</v>
      </c>
      <c r="AC21" s="4">
        <f>(1.92449908808889*(0.9/0.95))*(0.85/0.9)</f>
        <v>1.7219202367111122</v>
      </c>
      <c r="AD21" s="4">
        <f>(2.01086130217778*(0.9/0.95))*(0.85/0.9)</f>
        <v>1.7991916914222241</v>
      </c>
      <c r="AE21" s="4">
        <f>(2.10391894906666*(0.9/0.95))*(0.85/0.9)</f>
        <v>1.8824537965333275</v>
      </c>
      <c r="AF21" s="4">
        <f>(2.49726133004445*(0.9/0.95))*(0.85/0.9)</f>
        <v>2.2343917163555607</v>
      </c>
      <c r="AG21" s="4">
        <f>(2.90143583592593*(0.9/0.95))*(0.85/0.9)</f>
        <v>2.5960215374074114</v>
      </c>
      <c r="AH21" s="4">
        <f>(3.21612486605926*(0.9/0.95))*(0.85/0.9)</f>
        <v>2.8775854064740747</v>
      </c>
      <c r="AI21" s="4">
        <f>(3.30294707493334*(0.9/0.95))*(0.85/0.9)</f>
        <v>2.9552684354666727</v>
      </c>
      <c r="AJ21" s="4">
        <f>(3.40997595804445*(0.9/0.95))*(0.85/0.9)</f>
        <v>3.0510311203555607</v>
      </c>
      <c r="AK21" s="4">
        <f>(3.39521838641481*(0.9/0.95))*(0.85/0.9)</f>
        <v>3.0378269773185145</v>
      </c>
      <c r="AL21" s="4">
        <f>(3.17454355887407*(0.9/0.95))*(0.85/0.9)</f>
        <v>2.8403810789925892</v>
      </c>
      <c r="AM21" s="4">
        <f>(3.35771618331851*(0.9/0.95))*(0.85/0.9)</f>
        <v>3.0042723745481408</v>
      </c>
      <c r="AN21" s="4">
        <f>(3.06484934788148*(0.9/0.95))*(0.85/0.9)</f>
        <v>2.7422336270518506</v>
      </c>
      <c r="AO21" s="4">
        <f>(3.1706156216*(0.9/0.95))*(0.85/0.9)</f>
        <v>2.8368666088000003</v>
      </c>
      <c r="AP21" s="4">
        <f>(3.45573821579259*(0.9/0.95))*(0.85/0.9)</f>
        <v>3.0919762983407386</v>
      </c>
      <c r="AQ21" s="4">
        <f>(3.43343212768889*(0.9/0.95))*(0.85/0.9)</f>
        <v>3.0720182195111123</v>
      </c>
      <c r="AR21" s="4">
        <f>(3.40756974765926*(0.9/0.95))*(0.85/0.9)</f>
        <v>3.0488781952740749</v>
      </c>
      <c r="AS21" s="4">
        <f>(3.36619073051852*(0.9/0.95))*(0.85/0.9)</f>
        <v>3.0118548641481495</v>
      </c>
      <c r="AT21" s="4">
        <f>(3.04192769637037*(0.9/0.95))*(0.85/0.9)</f>
        <v>2.7217247809629628</v>
      </c>
      <c r="AU21" s="4">
        <f>(2.96778174311111*(0.9/0.95))*(0.85/0.9)</f>
        <v>2.655383664888888</v>
      </c>
      <c r="AV21" s="4">
        <f>(2.3954002772*(0.9/0.95))*(0.85/0.9)</f>
        <v>2.1432528795999999</v>
      </c>
      <c r="AW21" s="4">
        <f>(2.15789027419259*(0.9/0.95))*(0.85/0.9)</f>
        <v>1.9307439295407385</v>
      </c>
    </row>
    <row r="22" spans="1:49" x14ac:dyDescent="0.25">
      <c r="A22" s="4" t="s">
        <v>154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</row>
    <row r="23" spans="1:49" x14ac:dyDescent="0.25">
      <c r="A23" s="4" t="s">
        <v>155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</row>
    <row r="24" spans="1:49" x14ac:dyDescent="0.25">
      <c r="A24" s="4" t="s">
        <v>156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</row>
    <row r="25" spans="1:49" x14ac:dyDescent="0.25">
      <c r="A25" s="4" t="s">
        <v>157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</row>
    <row r="26" spans="1:49" x14ac:dyDescent="0.25">
      <c r="A26" s="4" t="s">
        <v>158</v>
      </c>
      <c r="B26" s="4">
        <v>0.27754882040000001</v>
      </c>
      <c r="C26" s="4">
        <v>0.1867639016</v>
      </c>
      <c r="D26" s="4">
        <v>0.1285078784</v>
      </c>
      <c r="E26" s="4">
        <v>0.1060280224</v>
      </c>
      <c r="F26" s="4">
        <v>7.8114244799999996E-2</v>
      </c>
      <c r="G26" s="4">
        <v>0.1214232032</v>
      </c>
      <c r="H26" s="4">
        <v>7.7202063200000004E-2</v>
      </c>
      <c r="I26" s="4">
        <v>8.6199602E-2</v>
      </c>
      <c r="J26" s="4">
        <v>1.3798683999999999E-3</v>
      </c>
      <c r="K26" s="4">
        <v>6.4525960000000001E-4</v>
      </c>
      <c r="L26" s="4">
        <v>6.6294048800000005E-2</v>
      </c>
      <c r="M26" s="4">
        <v>8.6631063600000002E-2</v>
      </c>
      <c r="N26" s="4">
        <v>0.18682121160000001</v>
      </c>
      <c r="O26" s="4">
        <v>0.36569960639999999</v>
      </c>
      <c r="P26" s="4">
        <v>0.18544745360000001</v>
      </c>
      <c r="Q26" s="4">
        <v>9.1871172000000001E-2</v>
      </c>
      <c r="R26" s="4">
        <v>0.12512026679999999</v>
      </c>
      <c r="S26" s="4">
        <v>8.8147513600000005E-2</v>
      </c>
      <c r="T26" s="4">
        <v>0.1089783216</v>
      </c>
      <c r="U26" s="4">
        <v>0.23088321479999999</v>
      </c>
      <c r="V26" s="4">
        <v>0.30502389200000002</v>
      </c>
      <c r="W26" s="4">
        <v>0.269519756</v>
      </c>
      <c r="X26" s="4">
        <v>0.20269070119999999</v>
      </c>
      <c r="Y26" s="4">
        <v>0.17101641319999999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</row>
    <row r="27" spans="1:49" x14ac:dyDescent="0.25">
      <c r="A27" s="4" t="s">
        <v>159</v>
      </c>
      <c r="B27" s="4">
        <v>0.2492490735</v>
      </c>
      <c r="C27" s="4">
        <v>0.28224150816666699</v>
      </c>
      <c r="D27" s="4">
        <v>0.27767887250000001</v>
      </c>
      <c r="E27" s="4">
        <v>0.25531850833333303</v>
      </c>
      <c r="F27" s="4">
        <v>0.218627737166667</v>
      </c>
      <c r="G27" s="4">
        <v>0.34150666299999999</v>
      </c>
      <c r="H27" s="4">
        <v>0.29340774749999998</v>
      </c>
      <c r="I27" s="4">
        <v>0.18049723216666699</v>
      </c>
      <c r="J27" s="4">
        <v>0.120786596666667</v>
      </c>
      <c r="K27" s="4">
        <v>8.5510940333333299E-2</v>
      </c>
      <c r="L27" s="4">
        <v>0.117573947</v>
      </c>
      <c r="M27" s="4">
        <v>0.138510231833333</v>
      </c>
      <c r="N27" s="4">
        <v>0.18613389333333299</v>
      </c>
      <c r="O27" s="4">
        <v>0.127108899333333</v>
      </c>
      <c r="P27" s="4">
        <v>8.8408464000000006E-2</v>
      </c>
      <c r="Q27" s="4">
        <v>6.5630198666666695E-2</v>
      </c>
      <c r="R27" s="4">
        <v>0.13268818700000001</v>
      </c>
      <c r="S27" s="4">
        <v>8.9280383333333296E-2</v>
      </c>
      <c r="T27" s="4">
        <v>6.7432095999999997E-2</v>
      </c>
      <c r="U27" s="4">
        <v>0.1064942915</v>
      </c>
      <c r="V27" s="4">
        <v>9.39548463333333E-2</v>
      </c>
      <c r="W27" s="4">
        <v>8.0328055499999995E-2</v>
      </c>
      <c r="X27" s="4">
        <v>9.0067847833333298E-2</v>
      </c>
      <c r="Y27" s="4">
        <v>7.5020876666666694E-2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</row>
    <row r="28" spans="1:49" x14ac:dyDescent="0.25">
      <c r="A28" s="4" t="s">
        <v>160</v>
      </c>
      <c r="B28" s="4">
        <v>0.18396319250000001</v>
      </c>
      <c r="C28" s="4">
        <v>0.26092059783333299</v>
      </c>
      <c r="D28" s="4">
        <v>0.17744829716666699</v>
      </c>
      <c r="E28" s="4">
        <v>0.217058353166667</v>
      </c>
      <c r="F28" s="4">
        <v>0.159165982166667</v>
      </c>
      <c r="G28" s="4">
        <v>8.7106601000000006E-2</v>
      </c>
      <c r="H28" s="4">
        <v>0.16620674933333299</v>
      </c>
      <c r="I28" s="4">
        <v>0.12810758883333301</v>
      </c>
      <c r="J28" s="4">
        <v>9.6730262666666705E-2</v>
      </c>
      <c r="K28" s="4">
        <v>5.2975323666666699E-2</v>
      </c>
      <c r="L28" s="4">
        <v>5.5047769333333302E-2</v>
      </c>
      <c r="M28" s="4">
        <v>6.0785807499999997E-2</v>
      </c>
      <c r="N28" s="4">
        <v>0.10940227199999999</v>
      </c>
      <c r="O28" s="4">
        <v>0.30189238800000001</v>
      </c>
      <c r="P28" s="4">
        <v>0.35279782250000002</v>
      </c>
      <c r="Q28" s="4">
        <v>0.276898820166667</v>
      </c>
      <c r="R28" s="4">
        <v>0.14667810716666699</v>
      </c>
      <c r="S28" s="4">
        <v>0.1327388545</v>
      </c>
      <c r="T28" s="4">
        <v>0.158570689166667</v>
      </c>
      <c r="U28" s="4">
        <v>9.1871171833333307E-2</v>
      </c>
      <c r="V28" s="4">
        <v>0.14757279433333301</v>
      </c>
      <c r="W28" s="4">
        <v>0.35355806150000002</v>
      </c>
      <c r="X28" s="4">
        <v>0.29618462366666698</v>
      </c>
      <c r="Y28" s="4">
        <v>0.19705995549999999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</row>
    <row r="29" spans="1:49" x14ac:dyDescent="0.25">
      <c r="A29" s="4" t="s">
        <v>161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1.71081690162963</v>
      </c>
      <c r="AA29" s="4">
        <v>1.5668124474074101</v>
      </c>
      <c r="AB29" s="4">
        <v>1.47844142962963</v>
      </c>
      <c r="AC29" s="4">
        <v>1.5702715010370401</v>
      </c>
      <c r="AD29" s="4">
        <v>1.44211722459259</v>
      </c>
      <c r="AE29" s="4">
        <v>1.4703957105185199</v>
      </c>
      <c r="AF29" s="4">
        <v>1.90012017274074</v>
      </c>
      <c r="AG29" s="4">
        <v>2.1842219010370401</v>
      </c>
      <c r="AH29" s="4">
        <v>2.4539234263703702</v>
      </c>
      <c r="AI29" s="4">
        <v>2.5709169774814802</v>
      </c>
      <c r="AJ29" s="4">
        <v>2.3581192112592602</v>
      </c>
      <c r="AK29" s="4">
        <v>2.3982366219259301</v>
      </c>
      <c r="AL29" s="4">
        <v>2.3592917579259298</v>
      </c>
      <c r="AM29" s="4">
        <v>2.38296780503704</v>
      </c>
      <c r="AN29" s="4">
        <v>2.3140252053333299</v>
      </c>
      <c r="AO29" s="4">
        <v>2.4486639457777799</v>
      </c>
      <c r="AP29" s="4">
        <v>2.5547373164444398</v>
      </c>
      <c r="AQ29" s="4">
        <v>2.6649603037037002</v>
      </c>
      <c r="AR29" s="4">
        <v>2.48782622666667</v>
      </c>
      <c r="AS29" s="4">
        <v>2.3900217268148101</v>
      </c>
      <c r="AT29" s="4">
        <v>2.2949175718518502</v>
      </c>
      <c r="AU29" s="4">
        <v>2.0308406159999999</v>
      </c>
      <c r="AV29" s="4">
        <v>1.9445856079999999</v>
      </c>
      <c r="AW29" s="4">
        <v>1.5463565869629601</v>
      </c>
    </row>
    <row r="30" spans="1:49" x14ac:dyDescent="0.25">
      <c r="A30" s="4" t="s">
        <v>162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1.52103026340741</v>
      </c>
      <c r="AA30" s="4">
        <v>1.50194717659259</v>
      </c>
      <c r="AB30" s="4">
        <v>1.3139511570370399</v>
      </c>
      <c r="AC30" s="4">
        <v>1.3559730800000001</v>
      </c>
      <c r="AD30" s="4">
        <v>1.3289179970370399</v>
      </c>
      <c r="AE30" s="4">
        <v>1.43818146162963</v>
      </c>
      <c r="AF30" s="4">
        <v>1.69159383762963</v>
      </c>
      <c r="AG30" s="4">
        <v>1.9520300717037</v>
      </c>
      <c r="AH30" s="4">
        <v>2.1369096767407401</v>
      </c>
      <c r="AI30" s="4">
        <v>2.3020938453333302</v>
      </c>
      <c r="AJ30" s="4">
        <v>2.2311526906666699</v>
      </c>
      <c r="AK30" s="4">
        <v>2.1311280645925899</v>
      </c>
      <c r="AL30" s="4">
        <v>2.1944760071111098</v>
      </c>
      <c r="AM30" s="4">
        <v>2.2273169457777802</v>
      </c>
      <c r="AN30" s="4">
        <v>2.0287461869629602</v>
      </c>
      <c r="AO30" s="4">
        <v>2.2018481063703699</v>
      </c>
      <c r="AP30" s="4">
        <v>2.26609132088889</v>
      </c>
      <c r="AQ30" s="4">
        <v>2.29090188237037</v>
      </c>
      <c r="AR30" s="4">
        <v>2.3070239525925902</v>
      </c>
      <c r="AS30" s="4">
        <v>2.24235890666667</v>
      </c>
      <c r="AT30" s="4">
        <v>2.1199423114074101</v>
      </c>
      <c r="AU30" s="4">
        <v>1.98968984977778</v>
      </c>
      <c r="AV30" s="4">
        <v>1.71702704444444</v>
      </c>
      <c r="AW30" s="4">
        <v>1.4821819599999999</v>
      </c>
    </row>
    <row r="31" spans="1:49" x14ac:dyDescent="0.25">
      <c r="A31" s="4" t="s">
        <v>163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2.8560315591111101</v>
      </c>
      <c r="AA31" s="4">
        <v>2.6919215825185199</v>
      </c>
      <c r="AB31" s="4">
        <v>2.57201422281481</v>
      </c>
      <c r="AC31" s="4">
        <v>2.5843046734814799</v>
      </c>
      <c r="AD31" s="4">
        <v>2.6174501691851901</v>
      </c>
      <c r="AE31" s="4">
        <v>2.4568432912592599</v>
      </c>
      <c r="AF31" s="4">
        <v>3.0581341757036999</v>
      </c>
      <c r="AG31" s="4">
        <v>3.5534391842963</v>
      </c>
      <c r="AH31" s="4">
        <v>3.8442793884444399</v>
      </c>
      <c r="AI31" s="4">
        <v>4.2447480589629603</v>
      </c>
      <c r="AJ31" s="4">
        <v>4.0524846444444398</v>
      </c>
      <c r="AK31" s="4">
        <v>4.2233554077036999</v>
      </c>
      <c r="AL31" s="4">
        <v>4.2195198080000003</v>
      </c>
      <c r="AM31" s="4">
        <v>4.0773048565925896</v>
      </c>
      <c r="AN31" s="4">
        <v>4.0332238426666702</v>
      </c>
      <c r="AO31" s="4">
        <v>4.0109750758518503</v>
      </c>
      <c r="AP31" s="4">
        <v>4.0921371202963002</v>
      </c>
      <c r="AQ31" s="4">
        <v>4.3006565342222203</v>
      </c>
      <c r="AR31" s="4">
        <v>4.4107549629629599</v>
      </c>
      <c r="AS31" s="4">
        <v>4.1297138897777801</v>
      </c>
      <c r="AT31" s="4">
        <v>3.9775963484444401</v>
      </c>
      <c r="AU31" s="4">
        <v>3.3693164026666702</v>
      </c>
      <c r="AV31" s="4">
        <v>3.0656317336296302</v>
      </c>
      <c r="AW31" s="4">
        <v>2.67144053866667</v>
      </c>
    </row>
    <row r="32" spans="1:49" x14ac:dyDescent="0.25">
      <c r="A32" s="4" t="s">
        <v>164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1.2107907051851901</v>
      </c>
      <c r="AA32" s="4">
        <v>1.1181502162963</v>
      </c>
      <c r="AB32" s="4">
        <v>1.0423244574814801</v>
      </c>
      <c r="AC32" s="4">
        <v>1.0063878159999999</v>
      </c>
      <c r="AD32" s="4">
        <v>0.99226419081481498</v>
      </c>
      <c r="AE32" s="4">
        <v>1.0458215807407401</v>
      </c>
      <c r="AF32" s="4">
        <v>1.2506410829629599</v>
      </c>
      <c r="AG32" s="4">
        <v>1.57428716148148</v>
      </c>
      <c r="AH32" s="4">
        <v>1.6185255271111101</v>
      </c>
      <c r="AI32" s="4">
        <v>1.76115606903704</v>
      </c>
      <c r="AJ32" s="4">
        <v>1.6352245611851901</v>
      </c>
      <c r="AK32" s="4">
        <v>1.6358142805925899</v>
      </c>
      <c r="AL32" s="4">
        <v>1.61202413451852</v>
      </c>
      <c r="AM32" s="4">
        <v>1.6851118936296301</v>
      </c>
      <c r="AN32" s="4">
        <v>1.6362753016296301</v>
      </c>
      <c r="AO32" s="4">
        <v>1.61821960740741</v>
      </c>
      <c r="AP32" s="4">
        <v>1.81696655259259</v>
      </c>
      <c r="AQ32" s="4">
        <v>1.73141637303704</v>
      </c>
      <c r="AR32" s="4">
        <v>1.8268561111111099</v>
      </c>
      <c r="AS32" s="4">
        <v>1.6125360512592599</v>
      </c>
      <c r="AT32" s="4">
        <v>1.5977679988148099</v>
      </c>
      <c r="AU32" s="4">
        <v>1.51572616533333</v>
      </c>
      <c r="AV32" s="4">
        <v>1.2290531119999999</v>
      </c>
      <c r="AW32" s="4">
        <v>1.1372219288888901</v>
      </c>
    </row>
    <row r="33" spans="1:49" x14ac:dyDescent="0.25">
      <c r="A33" s="4" t="s">
        <v>165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1.1860285028148101</v>
      </c>
      <c r="AA33" s="4">
        <v>1.0961660162963001</v>
      </c>
      <c r="AB33" s="4">
        <v>1.0012939377777801</v>
      </c>
      <c r="AC33" s="4">
        <v>1.0360077922963</v>
      </c>
      <c r="AD33" s="4">
        <v>1.0418966983703699</v>
      </c>
      <c r="AE33" s="4">
        <v>1.0021449760000001</v>
      </c>
      <c r="AF33" s="4">
        <v>1.29978079881481</v>
      </c>
      <c r="AG33" s="4">
        <v>1.50815668681481</v>
      </c>
      <c r="AH33" s="4">
        <v>1.5690078154074101</v>
      </c>
      <c r="AI33" s="4">
        <v>1.5668157057777801</v>
      </c>
      <c r="AJ33" s="4">
        <v>1.685734176</v>
      </c>
      <c r="AK33" s="4">
        <v>1.6650126287407401</v>
      </c>
      <c r="AL33" s="4">
        <v>1.60499121274074</v>
      </c>
      <c r="AM33" s="4">
        <v>1.6720567650370399</v>
      </c>
      <c r="AN33" s="4">
        <v>1.6259157102222199</v>
      </c>
      <c r="AO33" s="4">
        <v>1.6448132690370401</v>
      </c>
      <c r="AP33" s="4">
        <v>1.6585508882963</v>
      </c>
      <c r="AQ33" s="4">
        <v>1.668039912</v>
      </c>
      <c r="AR33" s="4">
        <v>1.6232536112592599</v>
      </c>
      <c r="AS33" s="4">
        <v>1.5755160026666699</v>
      </c>
      <c r="AT33" s="4">
        <v>1.5578025120000001</v>
      </c>
      <c r="AU33" s="4">
        <v>1.3633008853333299</v>
      </c>
      <c r="AV33" s="4">
        <v>1.18587187703704</v>
      </c>
      <c r="AW33" s="4">
        <v>1.04453808355556</v>
      </c>
    </row>
    <row r="34" spans="1:49" x14ac:dyDescent="0.25">
      <c r="A34" s="4" t="s">
        <v>166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2.20731918814815</v>
      </c>
      <c r="AA34" s="4">
        <v>2.00954195348148</v>
      </c>
      <c r="AB34" s="4">
        <v>1.8588827185185199</v>
      </c>
      <c r="AC34" s="4">
        <v>1.90195864237037</v>
      </c>
      <c r="AD34" s="4">
        <v>1.9157187881481501</v>
      </c>
      <c r="AE34" s="4">
        <v>1.86249869037037</v>
      </c>
      <c r="AF34" s="4">
        <v>2.44136445985185</v>
      </c>
      <c r="AG34" s="4">
        <v>2.8483848545185202</v>
      </c>
      <c r="AH34" s="4">
        <v>3.02022141866667</v>
      </c>
      <c r="AI34" s="4">
        <v>2.99234805333333</v>
      </c>
      <c r="AJ34" s="4">
        <v>3.1583711600000002</v>
      </c>
      <c r="AK34" s="4">
        <v>3.14595932414815</v>
      </c>
      <c r="AL34" s="4">
        <v>3.0533201937777799</v>
      </c>
      <c r="AM34" s="4">
        <v>3.00781730666667</v>
      </c>
      <c r="AN34" s="4">
        <v>3.0930087315555501</v>
      </c>
      <c r="AO34" s="4">
        <v>2.8998634642962999</v>
      </c>
      <c r="AP34" s="4">
        <v>3.1501485099259301</v>
      </c>
      <c r="AQ34" s="4">
        <v>3.3746979445925902</v>
      </c>
      <c r="AR34" s="4">
        <v>3.3425334879999999</v>
      </c>
      <c r="AS34" s="4">
        <v>3.0834744349629601</v>
      </c>
      <c r="AT34" s="4">
        <v>2.82765761807407</v>
      </c>
      <c r="AU34" s="4">
        <v>2.7591404379259301</v>
      </c>
      <c r="AV34" s="4">
        <v>2.3966033300740701</v>
      </c>
      <c r="AW34" s="4">
        <v>2.0763845345185201</v>
      </c>
    </row>
    <row r="35" spans="1:49" x14ac:dyDescent="0.25">
      <c r="A35" s="4" t="s">
        <v>167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1.91257697659259</v>
      </c>
      <c r="AA35" s="4">
        <v>1.7868498645925901</v>
      </c>
      <c r="AB35" s="4">
        <v>1.7875918438518501</v>
      </c>
      <c r="AC35" s="4">
        <v>1.8203013318518499</v>
      </c>
      <c r="AD35" s="4">
        <v>1.69703227555556</v>
      </c>
      <c r="AE35" s="4">
        <v>1.7839804660740699</v>
      </c>
      <c r="AF35" s="4">
        <v>2.2678143828148101</v>
      </c>
      <c r="AG35" s="4">
        <v>2.61312826755556</v>
      </c>
      <c r="AH35" s="4">
        <v>2.8865973297777798</v>
      </c>
      <c r="AI35" s="4">
        <v>2.9151679282963001</v>
      </c>
      <c r="AJ35" s="4">
        <v>2.7909785120000001</v>
      </c>
      <c r="AK35" s="4">
        <v>2.9347042023703702</v>
      </c>
      <c r="AL35" s="4">
        <v>2.9177415306666701</v>
      </c>
      <c r="AM35" s="4">
        <v>2.8451539905185199</v>
      </c>
      <c r="AN35" s="4">
        <v>2.8602768527407401</v>
      </c>
      <c r="AO35" s="4">
        <v>2.77581508711111</v>
      </c>
      <c r="AP35" s="4">
        <v>2.8716094275555601</v>
      </c>
      <c r="AQ35" s="4">
        <v>2.9625066924444399</v>
      </c>
      <c r="AR35" s="4">
        <v>3.0283814130370401</v>
      </c>
      <c r="AS35" s="4">
        <v>2.9195884666666698</v>
      </c>
      <c r="AT35" s="4">
        <v>2.7756006817777799</v>
      </c>
      <c r="AU35" s="4">
        <v>2.48315680355556</v>
      </c>
      <c r="AV35" s="4">
        <v>2.2584759389629601</v>
      </c>
      <c r="AW35" s="4">
        <v>1.8388797342222201</v>
      </c>
    </row>
    <row r="36" spans="1:49" x14ac:dyDescent="0.25">
      <c r="A36" s="4" t="s">
        <v>168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2.8016764450370402</v>
      </c>
      <c r="AA36" s="4">
        <v>2.5864169250370401</v>
      </c>
      <c r="AB36" s="4">
        <v>2.3521586314074101</v>
      </c>
      <c r="AC36" s="4">
        <v>2.2737001777777799</v>
      </c>
      <c r="AD36" s="4">
        <v>2.3091101620740702</v>
      </c>
      <c r="AE36" s="4">
        <v>2.4050121822222201</v>
      </c>
      <c r="AF36" s="4">
        <v>3.0397993774814802</v>
      </c>
      <c r="AG36" s="4">
        <v>3.4567685039999998</v>
      </c>
      <c r="AH36" s="4">
        <v>3.7948429680000002</v>
      </c>
      <c r="AI36" s="4">
        <v>4.0314282047407399</v>
      </c>
      <c r="AJ36" s="4">
        <v>3.7790172290370401</v>
      </c>
      <c r="AK36" s="4">
        <v>3.7154542921481499</v>
      </c>
      <c r="AL36" s="4">
        <v>3.9893563111111101</v>
      </c>
      <c r="AM36" s="4">
        <v>3.9755114518518502</v>
      </c>
      <c r="AN36" s="4">
        <v>3.6048479848888899</v>
      </c>
      <c r="AO36" s="4">
        <v>3.9639853368888902</v>
      </c>
      <c r="AP36" s="4">
        <v>3.8633793810370398</v>
      </c>
      <c r="AQ36" s="4">
        <v>4.0553472586666697</v>
      </c>
      <c r="AR36" s="4">
        <v>4.02501014014815</v>
      </c>
      <c r="AS36" s="4">
        <v>3.71778335911111</v>
      </c>
      <c r="AT36" s="4">
        <v>3.6103086133333302</v>
      </c>
      <c r="AU36" s="4">
        <v>3.3738683045925901</v>
      </c>
      <c r="AV36" s="4">
        <v>3.0484782968888902</v>
      </c>
      <c r="AW36" s="4">
        <v>2.5420877294814801</v>
      </c>
    </row>
    <row r="37" spans="1:49" x14ac:dyDescent="0.25">
      <c r="A37" s="4" t="s">
        <v>169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2.69175897925926</v>
      </c>
      <c r="AA37" s="4">
        <v>2.5102841057777798</v>
      </c>
      <c r="AB37" s="4">
        <v>2.3831184512592598</v>
      </c>
      <c r="AC37" s="4">
        <v>2.5434767493333301</v>
      </c>
      <c r="AD37" s="4">
        <v>2.3825071801481501</v>
      </c>
      <c r="AE37" s="4">
        <v>2.5880501360000001</v>
      </c>
      <c r="AF37" s="4">
        <v>3.0901192000000002</v>
      </c>
      <c r="AG37" s="4">
        <v>3.45874465896296</v>
      </c>
      <c r="AH37" s="4">
        <v>4.0061805922962996</v>
      </c>
      <c r="AI37" s="4">
        <v>3.8495248877037</v>
      </c>
      <c r="AJ37" s="4">
        <v>3.8706312441481501</v>
      </c>
      <c r="AK37" s="4">
        <v>4.1034493277037001</v>
      </c>
      <c r="AL37" s="4">
        <v>4.03437374251852</v>
      </c>
      <c r="AM37" s="4">
        <v>4.08926561244445</v>
      </c>
      <c r="AN37" s="4">
        <v>3.7546605641481499</v>
      </c>
      <c r="AO37" s="4">
        <v>3.87768462459259</v>
      </c>
      <c r="AP37" s="4">
        <v>4.00251594814815</v>
      </c>
      <c r="AQ37" s="4">
        <v>4.1841274471111101</v>
      </c>
      <c r="AR37" s="4">
        <v>4.2317583114074102</v>
      </c>
      <c r="AS37" s="4">
        <v>3.84251337244444</v>
      </c>
      <c r="AT37" s="4">
        <v>3.7468420971851901</v>
      </c>
      <c r="AU37" s="4">
        <v>3.4263574447407401</v>
      </c>
      <c r="AV37" s="4">
        <v>2.8839756731851902</v>
      </c>
      <c r="AW37" s="4">
        <v>2.5438340044444399</v>
      </c>
    </row>
    <row r="38" spans="1:49" x14ac:dyDescent="0.25">
      <c r="A38" s="4" t="s">
        <v>170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3.0434178008888901</v>
      </c>
      <c r="AA38" s="4">
        <v>2.92734902548148</v>
      </c>
      <c r="AB38" s="4">
        <v>2.7865750681481498</v>
      </c>
      <c r="AC38" s="4">
        <v>2.71666479881481</v>
      </c>
      <c r="AD38" s="4">
        <v>2.83965552059259</v>
      </c>
      <c r="AE38" s="4">
        <v>2.6655148820740702</v>
      </c>
      <c r="AF38" s="4">
        <v>3.3630843617777799</v>
      </c>
      <c r="AG38" s="4">
        <v>4.0872224088888904</v>
      </c>
      <c r="AH38" s="4">
        <v>4.3786326453333304</v>
      </c>
      <c r="AI38" s="4">
        <v>4.37014141718518</v>
      </c>
      <c r="AJ38" s="4">
        <v>4.3715340645925904</v>
      </c>
      <c r="AK38" s="4">
        <v>4.2625264515555603</v>
      </c>
      <c r="AL38" s="4">
        <v>4.3113136079999999</v>
      </c>
      <c r="AM38" s="4">
        <v>4.1950287223703704</v>
      </c>
      <c r="AN38" s="4">
        <v>4.16401075377778</v>
      </c>
      <c r="AO38" s="4">
        <v>4.1922037256296303</v>
      </c>
      <c r="AP38" s="4">
        <v>4.6532559546666699</v>
      </c>
      <c r="AQ38" s="4">
        <v>4.5891022364444396</v>
      </c>
      <c r="AR38" s="4">
        <v>4.6152748154074104</v>
      </c>
      <c r="AS38" s="4">
        <v>4.4270661679999996</v>
      </c>
      <c r="AT38" s="4">
        <v>4.07577328562963</v>
      </c>
      <c r="AU38" s="4">
        <v>3.97874270785185</v>
      </c>
      <c r="AV38" s="4">
        <v>3.3054904628148098</v>
      </c>
      <c r="AW38" s="4">
        <v>2.9474363084444399</v>
      </c>
    </row>
    <row r="39" spans="1:49" x14ac:dyDescent="0.25">
      <c r="A39" s="4" t="s">
        <v>171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</row>
    <row r="40" spans="1:49" x14ac:dyDescent="0.25">
      <c r="A40" s="4" t="s">
        <v>172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</row>
    <row r="41" spans="1:49" x14ac:dyDescent="0.25">
      <c r="A41" s="4" t="s">
        <v>173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4.2835855170370403</v>
      </c>
      <c r="AA41" s="4">
        <v>4.0112618933333302</v>
      </c>
      <c r="AB41" s="4">
        <v>3.8995649528888898</v>
      </c>
      <c r="AC41" s="4">
        <v>3.6909879357037001</v>
      </c>
      <c r="AD41" s="4">
        <v>3.6825056530370399</v>
      </c>
      <c r="AE41" s="4">
        <v>3.8105850989629602</v>
      </c>
      <c r="AF41" s="4">
        <v>4.7315389022222201</v>
      </c>
      <c r="AG41" s="4">
        <v>5.6463527161481499</v>
      </c>
      <c r="AH41" s="4">
        <v>6.0720351709629599</v>
      </c>
      <c r="AI41" s="4">
        <v>6.2108397244444404</v>
      </c>
      <c r="AJ41" s="4">
        <v>5.7956019955555496</v>
      </c>
      <c r="AK41" s="4">
        <v>5.7754670171851901</v>
      </c>
      <c r="AL41" s="4">
        <v>5.7895524835555499</v>
      </c>
      <c r="AM41" s="4">
        <v>6.0815414032592603</v>
      </c>
      <c r="AN41" s="4">
        <v>6.0625096746666696</v>
      </c>
      <c r="AO41" s="4">
        <v>5.6185989585185201</v>
      </c>
      <c r="AP41" s="4">
        <v>6.4022193573333297</v>
      </c>
      <c r="AQ41" s="4">
        <v>6.1071864497777799</v>
      </c>
      <c r="AR41" s="4">
        <v>6.1448999318518496</v>
      </c>
      <c r="AS41" s="4">
        <v>6.25914859111111</v>
      </c>
      <c r="AT41" s="4">
        <v>5.4758281490370404</v>
      </c>
      <c r="AU41" s="4">
        <v>5.0601282314074103</v>
      </c>
      <c r="AV41" s="4">
        <v>4.5248860782222202</v>
      </c>
      <c r="AW41" s="4">
        <v>3.9697700394074098</v>
      </c>
    </row>
    <row r="42" spans="1:49" x14ac:dyDescent="0.25">
      <c r="A42" s="4" t="s">
        <v>174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3.0357045309629598</v>
      </c>
      <c r="AA42" s="4">
        <v>2.8599790924444402</v>
      </c>
      <c r="AB42" s="4">
        <v>2.85770698992593</v>
      </c>
      <c r="AC42" s="4">
        <v>2.7764191466666701</v>
      </c>
      <c r="AD42" s="4">
        <v>2.79788550014815</v>
      </c>
      <c r="AE42" s="4">
        <v>2.6636321848888902</v>
      </c>
      <c r="AF42" s="4">
        <v>3.27643839288889</v>
      </c>
      <c r="AG42" s="4">
        <v>4.02235470725926</v>
      </c>
      <c r="AH42" s="4">
        <v>4.27492924444444</v>
      </c>
      <c r="AI42" s="4">
        <v>4.4713168826666703</v>
      </c>
      <c r="AJ42" s="4">
        <v>4.2267235546666697</v>
      </c>
      <c r="AK42" s="4">
        <v>4.3524273105185198</v>
      </c>
      <c r="AL42" s="4">
        <v>4.20161898074074</v>
      </c>
      <c r="AM42" s="4">
        <v>4.4161404456296296</v>
      </c>
      <c r="AN42" s="4">
        <v>4.4137221354074097</v>
      </c>
      <c r="AO42" s="4">
        <v>4.4326916625185202</v>
      </c>
      <c r="AP42" s="4">
        <v>4.7469252050370399</v>
      </c>
      <c r="AQ42" s="4">
        <v>4.4832841054814798</v>
      </c>
      <c r="AR42" s="4">
        <v>4.8149471875555498</v>
      </c>
      <c r="AS42" s="4">
        <v>4.1902916595555597</v>
      </c>
      <c r="AT42" s="4">
        <v>4.3700117668148097</v>
      </c>
      <c r="AU42" s="4">
        <v>3.7587756162963002</v>
      </c>
      <c r="AV42" s="4">
        <v>3.4831395801481499</v>
      </c>
      <c r="AW42" s="4">
        <v>2.7501086293333299</v>
      </c>
    </row>
    <row r="43" spans="1:49" x14ac:dyDescent="0.25">
      <c r="A43" s="4" t="s">
        <v>175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4.7974244868148102</v>
      </c>
      <c r="AA43" s="4">
        <v>4.59820611081481</v>
      </c>
      <c r="AB43" s="4">
        <v>4.4329203125925902</v>
      </c>
      <c r="AC43" s="4">
        <v>4.6084447899259304</v>
      </c>
      <c r="AD43" s="4">
        <v>4.4040724373333298</v>
      </c>
      <c r="AE43" s="4">
        <v>4.3004771828148201</v>
      </c>
      <c r="AF43" s="4">
        <v>5.6199454328888896</v>
      </c>
      <c r="AG43" s="4">
        <v>6.1908970894814797</v>
      </c>
      <c r="AH43" s="4">
        <v>7.09030308</v>
      </c>
      <c r="AI43" s="4">
        <v>7.4154568008888901</v>
      </c>
      <c r="AJ43" s="4">
        <v>6.8389391321481501</v>
      </c>
      <c r="AK43" s="4">
        <v>7.1811371022222197</v>
      </c>
      <c r="AL43" s="4">
        <v>7.0426613288888902</v>
      </c>
      <c r="AM43" s="4">
        <v>7.3939073662222201</v>
      </c>
      <c r="AN43" s="4">
        <v>7.0367685878518502</v>
      </c>
      <c r="AO43" s="4">
        <v>7.3696459034074104</v>
      </c>
      <c r="AP43" s="4">
        <v>7.3018917647407404</v>
      </c>
      <c r="AQ43" s="4">
        <v>7.3129941090370396</v>
      </c>
      <c r="AR43" s="4">
        <v>7.8358018168888899</v>
      </c>
      <c r="AS43" s="4">
        <v>7.5079633875555603</v>
      </c>
      <c r="AT43" s="4">
        <v>6.8684291324444402</v>
      </c>
      <c r="AU43" s="4">
        <v>6.2797103496296298</v>
      </c>
      <c r="AV43" s="4">
        <v>5.2249075573333297</v>
      </c>
      <c r="AW43" s="4">
        <v>4.6524606468148102</v>
      </c>
    </row>
    <row r="44" spans="1:49" x14ac:dyDescent="0.25">
      <c r="A44" s="4" t="s">
        <v>176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1.5557535487407399</v>
      </c>
      <c r="AA44" s="4">
        <v>1.4617907442963001</v>
      </c>
      <c r="AB44" s="4">
        <v>1.3704868405925901</v>
      </c>
      <c r="AC44" s="4">
        <v>1.42040016325926</v>
      </c>
      <c r="AD44" s="4">
        <v>1.3453728441481501</v>
      </c>
      <c r="AE44" s="4">
        <v>1.44785214311111</v>
      </c>
      <c r="AF44" s="4">
        <v>1.7969906536296301</v>
      </c>
      <c r="AG44" s="4">
        <v>1.9589831042963</v>
      </c>
      <c r="AH44" s="4">
        <v>2.3300065185185201</v>
      </c>
      <c r="AI44" s="4">
        <v>2.2665816859259298</v>
      </c>
      <c r="AJ44" s="4">
        <v>2.2184936148148102</v>
      </c>
      <c r="AK44" s="4">
        <v>2.1629815158518499</v>
      </c>
      <c r="AL44" s="4">
        <v>2.2726127614814802</v>
      </c>
      <c r="AM44" s="4">
        <v>2.2622934195555602</v>
      </c>
      <c r="AN44" s="4">
        <v>2.1224496014814802</v>
      </c>
      <c r="AO44" s="4">
        <v>2.1518380654814799</v>
      </c>
      <c r="AP44" s="4">
        <v>2.2459979505185199</v>
      </c>
      <c r="AQ44" s="4">
        <v>2.4348911439999998</v>
      </c>
      <c r="AR44" s="4">
        <v>2.3839899108148099</v>
      </c>
      <c r="AS44" s="4">
        <v>2.37994876</v>
      </c>
      <c r="AT44" s="4">
        <v>2.2012287235555599</v>
      </c>
      <c r="AU44" s="4">
        <v>1.9972009389629599</v>
      </c>
      <c r="AV44" s="4">
        <v>1.7440209546666701</v>
      </c>
      <c r="AW44" s="4">
        <v>1.44546370992593</v>
      </c>
    </row>
    <row r="45" spans="1:49" x14ac:dyDescent="0.25">
      <c r="A45" s="4" t="s">
        <v>177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</row>
    <row r="46" spans="1:49" x14ac:dyDescent="0.25">
      <c r="A46" s="4" t="s">
        <v>178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5.0858466628148102</v>
      </c>
      <c r="AA46" s="4">
        <v>5.1212937336296296</v>
      </c>
      <c r="AB46" s="4">
        <v>4.6108441638518496</v>
      </c>
      <c r="AC46" s="4">
        <v>4.7680076411851902</v>
      </c>
      <c r="AD46" s="4">
        <v>4.7279467117036997</v>
      </c>
      <c r="AE46" s="4">
        <v>4.8633580986666702</v>
      </c>
      <c r="AF46" s="4">
        <v>5.9887203890370397</v>
      </c>
      <c r="AG46" s="4">
        <v>6.5965279478518504</v>
      </c>
      <c r="AH46" s="4">
        <v>7.8174324666666699</v>
      </c>
      <c r="AI46" s="4">
        <v>7.7516616032592598</v>
      </c>
      <c r="AJ46" s="4">
        <v>7.8724997970370403</v>
      </c>
      <c r="AK46" s="4">
        <v>7.1642509825185199</v>
      </c>
      <c r="AL46" s="4">
        <v>7.2862723899259301</v>
      </c>
      <c r="AM46" s="4">
        <v>7.8264078044444396</v>
      </c>
      <c r="AN46" s="4">
        <v>7.5839983685925896</v>
      </c>
      <c r="AO46" s="4">
        <v>7.7365276488888899</v>
      </c>
      <c r="AP46" s="4">
        <v>7.6524473469629601</v>
      </c>
      <c r="AQ46" s="4">
        <v>7.9471285330370396</v>
      </c>
      <c r="AR46" s="4">
        <v>8.0316774637036996</v>
      </c>
      <c r="AS46" s="4">
        <v>7.6713497985185199</v>
      </c>
      <c r="AT46" s="4">
        <v>6.9960512740740697</v>
      </c>
      <c r="AU46" s="4">
        <v>6.6101260752592603</v>
      </c>
      <c r="AV46" s="4">
        <v>5.8040404447407399</v>
      </c>
      <c r="AW46" s="4">
        <v>5.01865730074074</v>
      </c>
    </row>
    <row r="47" spans="1:49" x14ac:dyDescent="0.25">
      <c r="A47" s="4" t="s">
        <v>179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2.9851344548148102</v>
      </c>
      <c r="AA47" s="4">
        <v>2.6062037679999999</v>
      </c>
      <c r="AB47" s="4">
        <v>2.7034241235555601</v>
      </c>
      <c r="AC47" s="4">
        <v>2.4779873854814798</v>
      </c>
      <c r="AD47" s="4">
        <v>2.4492417828148101</v>
      </c>
      <c r="AE47" s="4">
        <v>2.4842435831111098</v>
      </c>
      <c r="AF47" s="4">
        <v>3.1557503102222202</v>
      </c>
      <c r="AG47" s="4">
        <v>3.78524568592593</v>
      </c>
      <c r="AH47" s="4">
        <v>4.0716317807407396</v>
      </c>
      <c r="AI47" s="4">
        <v>4.2123375300740697</v>
      </c>
      <c r="AJ47" s="4">
        <v>3.9399974320000002</v>
      </c>
      <c r="AK47" s="4">
        <v>4.11884402014815</v>
      </c>
      <c r="AL47" s="4">
        <v>4.1507084702222201</v>
      </c>
      <c r="AM47" s="4">
        <v>4.11140794192593</v>
      </c>
      <c r="AN47" s="4">
        <v>4.01862973244444</v>
      </c>
      <c r="AO47" s="4">
        <v>3.9552479928888902</v>
      </c>
      <c r="AP47" s="4">
        <v>4.3192564322963003</v>
      </c>
      <c r="AQ47" s="4">
        <v>4.2353678142222204</v>
      </c>
      <c r="AR47" s="4">
        <v>4.2124785567407397</v>
      </c>
      <c r="AS47" s="4">
        <v>4.0073352480000004</v>
      </c>
      <c r="AT47" s="4">
        <v>4.1050965365925904</v>
      </c>
      <c r="AU47" s="4">
        <v>3.49797074251852</v>
      </c>
      <c r="AV47" s="4">
        <v>3.2011798933333302</v>
      </c>
      <c r="AW47" s="4">
        <v>2.80906496474074</v>
      </c>
    </row>
    <row r="48" spans="1:49" x14ac:dyDescent="0.25">
      <c r="A48" s="4" t="s">
        <v>180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2.0480987125925898</v>
      </c>
      <c r="AA48" s="4">
        <v>1.8406794124444401</v>
      </c>
      <c r="AB48" s="4">
        <v>1.76201124918519</v>
      </c>
      <c r="AC48" s="4">
        <v>1.70812577807407</v>
      </c>
      <c r="AD48" s="4">
        <v>1.8452262722963</v>
      </c>
      <c r="AE48" s="4">
        <v>1.8750261537777799</v>
      </c>
      <c r="AF48" s="4">
        <v>2.17561218518519</v>
      </c>
      <c r="AG48" s="4">
        <v>2.7199571570370402</v>
      </c>
      <c r="AH48" s="4">
        <v>2.7953558121481499</v>
      </c>
      <c r="AI48" s="4">
        <v>2.8425300151111101</v>
      </c>
      <c r="AJ48" s="4">
        <v>2.9708369330370399</v>
      </c>
      <c r="AK48" s="4">
        <v>2.8666312557036999</v>
      </c>
      <c r="AL48" s="4">
        <v>2.7880702494814802</v>
      </c>
      <c r="AM48" s="4">
        <v>2.8526319795555599</v>
      </c>
      <c r="AN48" s="4">
        <v>2.9421917570370399</v>
      </c>
      <c r="AO48" s="4">
        <v>2.8675226242963001</v>
      </c>
      <c r="AP48" s="4">
        <v>3.0650626160000001</v>
      </c>
      <c r="AQ48" s="4">
        <v>3.1653639733333301</v>
      </c>
      <c r="AR48" s="4">
        <v>2.9756635875555602</v>
      </c>
      <c r="AS48" s="4">
        <v>2.9054374014814801</v>
      </c>
      <c r="AT48" s="4">
        <v>2.8131277564444401</v>
      </c>
      <c r="AU48" s="4">
        <v>2.50157234962963</v>
      </c>
      <c r="AV48" s="4">
        <v>2.2310785528888899</v>
      </c>
      <c r="AW48" s="4">
        <v>1.9068059629629599</v>
      </c>
    </row>
    <row r="49" spans="1:49" x14ac:dyDescent="0.25">
      <c r="A49" s="4" t="s">
        <v>181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</row>
    <row r="50" spans="1:49" x14ac:dyDescent="0.25">
      <c r="A50" s="4" t="s">
        <v>182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</row>
    <row r="51" spans="1:49" x14ac:dyDescent="0.25">
      <c r="A51" s="4" t="s">
        <v>183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</row>
    <row r="52" spans="1:49" x14ac:dyDescent="0.25">
      <c r="A52" s="4" t="s">
        <v>184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</row>
    <row r="53" spans="1:49" x14ac:dyDescent="0.25">
      <c r="A53" s="4" t="s">
        <v>185</v>
      </c>
      <c r="B53" s="4">
        <v>0.1358942068</v>
      </c>
      <c r="C53" s="4">
        <v>0.18362126000000001</v>
      </c>
      <c r="D53" s="4">
        <v>0.32493407880000003</v>
      </c>
      <c r="E53" s="4">
        <v>0.36180489799999999</v>
      </c>
      <c r="F53" s="4">
        <v>0.44152110439999998</v>
      </c>
      <c r="G53" s="4">
        <v>0.4755179692</v>
      </c>
      <c r="H53" s="4">
        <v>0.59163278080000004</v>
      </c>
      <c r="I53" s="4">
        <v>0.618521286</v>
      </c>
      <c r="J53" s="4">
        <v>0.51190996119999999</v>
      </c>
      <c r="K53" s="4">
        <v>0.35183076320000001</v>
      </c>
      <c r="L53" s="4">
        <v>0.28925577879999997</v>
      </c>
      <c r="M53" s="4">
        <v>0.42460270319999999</v>
      </c>
      <c r="N53" s="4">
        <v>0.43441307759999997</v>
      </c>
      <c r="O53" s="4">
        <v>0.3869160432</v>
      </c>
      <c r="P53" s="4">
        <v>0.35031227720000002</v>
      </c>
      <c r="Q53" s="4">
        <v>0.42024497360000002</v>
      </c>
      <c r="R53" s="4">
        <v>0.52727547399999997</v>
      </c>
      <c r="S53" s="4">
        <v>0.60889591399999998</v>
      </c>
      <c r="T53" s="4">
        <v>0.63065325880000001</v>
      </c>
      <c r="U53" s="4">
        <v>0.54884306839999997</v>
      </c>
      <c r="V53" s="4">
        <v>0.52785828199999996</v>
      </c>
      <c r="W53" s="4">
        <v>0.69051649559999995</v>
      </c>
      <c r="X53" s="4">
        <v>0.65653236839999995</v>
      </c>
      <c r="Y53" s="4">
        <v>0.54527272599999999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</row>
    <row r="54" spans="1:49" x14ac:dyDescent="0.25">
      <c r="A54" s="4" t="s">
        <v>186</v>
      </c>
      <c r="B54" s="4">
        <v>0.44713163916666698</v>
      </c>
      <c r="C54" s="4">
        <v>0.53412409833333296</v>
      </c>
      <c r="D54" s="4">
        <v>0.52530859050000001</v>
      </c>
      <c r="E54" s="4">
        <v>0.45866633583333299</v>
      </c>
      <c r="F54" s="4">
        <v>0.467771968166667</v>
      </c>
      <c r="G54" s="4">
        <v>0.52640128500000005</v>
      </c>
      <c r="H54" s="4">
        <v>0.51773412249999995</v>
      </c>
      <c r="I54" s="4">
        <v>0.4866126455</v>
      </c>
      <c r="J54" s="4">
        <v>0.50208795383333304</v>
      </c>
      <c r="K54" s="4">
        <v>0.49678084649999998</v>
      </c>
      <c r="L54" s="4">
        <v>0.50361522283333304</v>
      </c>
      <c r="M54" s="4">
        <v>0.53762164300000004</v>
      </c>
      <c r="N54" s="4">
        <v>0.53842318233333297</v>
      </c>
      <c r="O54" s="4">
        <v>0.45823319633333298</v>
      </c>
      <c r="P54" s="4">
        <v>0.45030032549999999</v>
      </c>
      <c r="Q54" s="4">
        <v>0.49009730166666698</v>
      </c>
      <c r="R54" s="4">
        <v>0.59787588250000001</v>
      </c>
      <c r="S54" s="4">
        <v>0.72162446199999997</v>
      </c>
      <c r="T54" s="4">
        <v>0.81101688516666703</v>
      </c>
      <c r="U54" s="4">
        <v>0.85436865100000003</v>
      </c>
      <c r="V54" s="4">
        <v>0.923909586666667</v>
      </c>
      <c r="W54" s="4">
        <v>0.94544752783333297</v>
      </c>
      <c r="X54" s="4">
        <v>0.90263255116666696</v>
      </c>
      <c r="Y54" s="4">
        <v>0.91916358666666698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</row>
    <row r="55" spans="1:49" x14ac:dyDescent="0.25">
      <c r="A55" s="4" t="s">
        <v>187</v>
      </c>
      <c r="B55" s="4">
        <v>0.36465553183333299</v>
      </c>
      <c r="C55" s="4">
        <v>0.49038776750000002</v>
      </c>
      <c r="D55" s="4">
        <v>0.48363759699999997</v>
      </c>
      <c r="E55" s="4">
        <v>0.49634479050000002</v>
      </c>
      <c r="F55" s="4">
        <v>0.43893463100000002</v>
      </c>
      <c r="G55" s="4">
        <v>0.40877665499999999</v>
      </c>
      <c r="H55" s="4">
        <v>0.3702309835</v>
      </c>
      <c r="I55" s="4">
        <v>0.322225145833333</v>
      </c>
      <c r="J55" s="4">
        <v>0.41974533483333298</v>
      </c>
      <c r="K55" s="4">
        <v>0.48719329916666698</v>
      </c>
      <c r="L55" s="4">
        <v>0.49728960733333299</v>
      </c>
      <c r="M55" s="4">
        <v>0.52574566249999999</v>
      </c>
      <c r="N55" s="4">
        <v>0.54148363050000003</v>
      </c>
      <c r="O55" s="4">
        <v>0.61215453133333297</v>
      </c>
      <c r="P55" s="4">
        <v>0.54971740183333295</v>
      </c>
      <c r="Q55" s="4">
        <v>0.63202330100000004</v>
      </c>
      <c r="R55" s="4">
        <v>0.63865094316666704</v>
      </c>
      <c r="S55" s="4">
        <v>0.66426003899999997</v>
      </c>
      <c r="T55" s="4">
        <v>0.64383025049999998</v>
      </c>
      <c r="U55" s="4">
        <v>0.56275646700000004</v>
      </c>
      <c r="V55" s="4">
        <v>0.68420570183333296</v>
      </c>
      <c r="W55" s="4">
        <v>0.71931621199999995</v>
      </c>
      <c r="X55" s="4">
        <v>0.71630487899999995</v>
      </c>
      <c r="Y55" s="4">
        <v>0.69072896049999999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</row>
    <row r="56" spans="1:49" x14ac:dyDescent="0.25">
      <c r="A56" s="4" t="s">
        <v>188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1.46329848622222</v>
      </c>
      <c r="AA56" s="4">
        <v>1.4706335010370399</v>
      </c>
      <c r="AB56" s="4">
        <v>1.42602904474074</v>
      </c>
      <c r="AC56" s="4">
        <v>1.3228239774814801</v>
      </c>
      <c r="AD56" s="4">
        <v>1.33831886222222</v>
      </c>
      <c r="AE56" s="4">
        <v>1.3804291656296299</v>
      </c>
      <c r="AF56" s="4">
        <v>1.5751067442963</v>
      </c>
      <c r="AG56" s="4">
        <v>1.8069416524444399</v>
      </c>
      <c r="AH56" s="4">
        <v>1.96180066962963</v>
      </c>
      <c r="AI56" s="4">
        <v>2.1917393037037001</v>
      </c>
      <c r="AJ56" s="4">
        <v>2.3752032536296301</v>
      </c>
      <c r="AK56" s="4">
        <v>2.3610730951111099</v>
      </c>
      <c r="AL56" s="4">
        <v>2.2303316331851901</v>
      </c>
      <c r="AM56" s="4">
        <v>2.47000878133333</v>
      </c>
      <c r="AN56" s="4">
        <v>2.2722645866666702</v>
      </c>
      <c r="AO56" s="4">
        <v>2.3369579333333301</v>
      </c>
      <c r="AP56" s="4">
        <v>2.1916967997037</v>
      </c>
      <c r="AQ56" s="4">
        <v>2.1783924420740699</v>
      </c>
      <c r="AR56" s="4">
        <v>2.27545910251852</v>
      </c>
      <c r="AS56" s="4">
        <v>2.26383569688889</v>
      </c>
      <c r="AT56" s="4">
        <v>2.2648603848888902</v>
      </c>
      <c r="AU56" s="4">
        <v>2.2460055685925902</v>
      </c>
      <c r="AV56" s="4">
        <v>2.0438439860740698</v>
      </c>
      <c r="AW56" s="4">
        <v>1.7113410802963001</v>
      </c>
    </row>
    <row r="57" spans="1:49" x14ac:dyDescent="0.25">
      <c r="A57" s="4" t="s">
        <v>189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1.38554910044444</v>
      </c>
      <c r="AA57" s="4">
        <v>1.2737240320000001</v>
      </c>
      <c r="AB57" s="4">
        <v>1.1764338112592601</v>
      </c>
      <c r="AC57" s="4">
        <v>1.24035305333333</v>
      </c>
      <c r="AD57" s="4">
        <v>1.1548016293333301</v>
      </c>
      <c r="AE57" s="4">
        <v>1.2006523760000001</v>
      </c>
      <c r="AF57" s="4">
        <v>1.4146461736296301</v>
      </c>
      <c r="AG57" s="4">
        <v>1.5445780891851899</v>
      </c>
      <c r="AH57" s="4">
        <v>1.831220608</v>
      </c>
      <c r="AI57" s="4">
        <v>1.9769645902222199</v>
      </c>
      <c r="AJ57" s="4">
        <v>2.0875823982222199</v>
      </c>
      <c r="AK57" s="4">
        <v>2.1676353543703701</v>
      </c>
      <c r="AL57" s="4">
        <v>2.10885180592593</v>
      </c>
      <c r="AM57" s="4">
        <v>2.0901166180740698</v>
      </c>
      <c r="AN57" s="4">
        <v>2.2060859125925898</v>
      </c>
      <c r="AO57" s="4">
        <v>1.9742536945185201</v>
      </c>
      <c r="AP57" s="4">
        <v>2.1073209359999998</v>
      </c>
      <c r="AQ57" s="4">
        <v>2.1083436225185199</v>
      </c>
      <c r="AR57" s="4">
        <v>2.0420178758518501</v>
      </c>
      <c r="AS57" s="4">
        <v>1.9647778162963001</v>
      </c>
      <c r="AT57" s="4">
        <v>1.94242372592593</v>
      </c>
      <c r="AU57" s="4">
        <v>1.93822217244444</v>
      </c>
      <c r="AV57" s="4">
        <v>1.84196139555556</v>
      </c>
      <c r="AW57" s="4">
        <v>1.48483246903704</v>
      </c>
    </row>
    <row r="58" spans="1:49" x14ac:dyDescent="0.25">
      <c r="A58" s="4" t="s">
        <v>190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2.5457890017777798</v>
      </c>
      <c r="AA58" s="4">
        <v>2.42454605037037</v>
      </c>
      <c r="AB58" s="4">
        <v>2.2340050050370399</v>
      </c>
      <c r="AC58" s="4">
        <v>2.2951328171851899</v>
      </c>
      <c r="AD58" s="4">
        <v>2.1494177475555598</v>
      </c>
      <c r="AE58" s="4">
        <v>2.3709390485925899</v>
      </c>
      <c r="AF58" s="4">
        <v>2.4694895949629601</v>
      </c>
      <c r="AG58" s="4">
        <v>3.0896063478518498</v>
      </c>
      <c r="AH58" s="4">
        <v>3.5387955845925898</v>
      </c>
      <c r="AI58" s="4">
        <v>3.8228058130370401</v>
      </c>
      <c r="AJ58" s="4">
        <v>4.0605708743703701</v>
      </c>
      <c r="AK58" s="4">
        <v>3.7761231822222201</v>
      </c>
      <c r="AL58" s="4">
        <v>3.6867938882962998</v>
      </c>
      <c r="AM58" s="4">
        <v>3.7955669774814802</v>
      </c>
      <c r="AN58" s="4">
        <v>3.81285840444444</v>
      </c>
      <c r="AO58" s="4">
        <v>3.76574061007407</v>
      </c>
      <c r="AP58" s="4">
        <v>3.5968135342222198</v>
      </c>
      <c r="AQ58" s="4">
        <v>3.6658406960000001</v>
      </c>
      <c r="AR58" s="4">
        <v>3.7588067066666699</v>
      </c>
      <c r="AS58" s="4">
        <v>3.7278671857777801</v>
      </c>
      <c r="AT58" s="4">
        <v>3.43569500296296</v>
      </c>
      <c r="AU58" s="4">
        <v>3.45909443911111</v>
      </c>
      <c r="AV58" s="4">
        <v>3.54102108474074</v>
      </c>
      <c r="AW58" s="4">
        <v>2.7701582782222198</v>
      </c>
    </row>
    <row r="59" spans="1:49" x14ac:dyDescent="0.25">
      <c r="A59" s="4" t="s">
        <v>191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0.98810213392592605</v>
      </c>
      <c r="AA59" s="4">
        <v>0.970847287407407</v>
      </c>
      <c r="AB59" s="4">
        <v>0.97349244948148095</v>
      </c>
      <c r="AC59" s="4">
        <v>0.947781213037037</v>
      </c>
      <c r="AD59" s="4">
        <v>0.873659233481481</v>
      </c>
      <c r="AE59" s="4">
        <v>0.896961690074074</v>
      </c>
      <c r="AF59" s="4">
        <v>1.0691275114074099</v>
      </c>
      <c r="AG59" s="4">
        <v>1.2504720583703699</v>
      </c>
      <c r="AH59" s="4">
        <v>1.4316569597037001</v>
      </c>
      <c r="AI59" s="4">
        <v>1.4837730423703701</v>
      </c>
      <c r="AJ59" s="4">
        <v>1.54852281007407</v>
      </c>
      <c r="AK59" s="4">
        <v>1.65052540177778</v>
      </c>
      <c r="AL59" s="4">
        <v>1.6518174648888899</v>
      </c>
      <c r="AM59" s="4">
        <v>1.68990533185185</v>
      </c>
      <c r="AN59" s="4">
        <v>1.6254622388148099</v>
      </c>
      <c r="AO59" s="4">
        <v>1.6248408690370399</v>
      </c>
      <c r="AP59" s="4">
        <v>1.5019123943703701</v>
      </c>
      <c r="AQ59" s="4">
        <v>1.5558476328888899</v>
      </c>
      <c r="AR59" s="4">
        <v>1.5477056850370401</v>
      </c>
      <c r="AS59" s="4">
        <v>1.54018870755556</v>
      </c>
      <c r="AT59" s="4">
        <v>1.507613128</v>
      </c>
      <c r="AU59" s="4">
        <v>1.45417105244444</v>
      </c>
      <c r="AV59" s="4">
        <v>1.42314909955556</v>
      </c>
      <c r="AW59" s="4">
        <v>1.1272877342222201</v>
      </c>
    </row>
    <row r="60" spans="1:49" x14ac:dyDescent="0.25">
      <c r="A60" s="4" t="s">
        <v>192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1.0108735674074101</v>
      </c>
      <c r="AA60" s="4">
        <v>0.95689542874074096</v>
      </c>
      <c r="AB60" s="4">
        <v>0.87690875170370397</v>
      </c>
      <c r="AC60" s="4">
        <v>0.88103544977777803</v>
      </c>
      <c r="AD60" s="4">
        <v>0.89260825007407396</v>
      </c>
      <c r="AE60" s="4">
        <v>0.898778238814815</v>
      </c>
      <c r="AF60" s="4">
        <v>1.0222026557037001</v>
      </c>
      <c r="AG60" s="4">
        <v>1.14385467466667</v>
      </c>
      <c r="AH60" s="4">
        <v>1.40929329748148</v>
      </c>
      <c r="AI60" s="4">
        <v>1.4511542183703701</v>
      </c>
      <c r="AJ60" s="4">
        <v>1.4715697318518499</v>
      </c>
      <c r="AK60" s="4">
        <v>1.57091281718519</v>
      </c>
      <c r="AL60" s="4">
        <v>1.60290280059259</v>
      </c>
      <c r="AM60" s="4">
        <v>1.4927370432592599</v>
      </c>
      <c r="AN60" s="4">
        <v>1.6037950610370399</v>
      </c>
      <c r="AO60" s="4">
        <v>1.53302402607407</v>
      </c>
      <c r="AP60" s="4">
        <v>1.53910378637037</v>
      </c>
      <c r="AQ60" s="4">
        <v>1.42068336562963</v>
      </c>
      <c r="AR60" s="4">
        <v>1.5074752</v>
      </c>
      <c r="AS60" s="4">
        <v>1.49137535762963</v>
      </c>
      <c r="AT60" s="4">
        <v>1.3983009060740701</v>
      </c>
      <c r="AU60" s="4">
        <v>1.50792190785185</v>
      </c>
      <c r="AV60" s="4">
        <v>1.3776519700740699</v>
      </c>
      <c r="AW60" s="4">
        <v>1.14464718251852</v>
      </c>
    </row>
    <row r="61" spans="1:49" x14ac:dyDescent="0.25">
      <c r="A61" s="4" t="s">
        <v>193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1.90471942577778</v>
      </c>
      <c r="AA61" s="4">
        <v>1.83239807022222</v>
      </c>
      <c r="AB61" s="4">
        <v>1.7086936720000001</v>
      </c>
      <c r="AC61" s="4">
        <v>1.6568472334814801</v>
      </c>
      <c r="AD61" s="4">
        <v>1.6841328062222201</v>
      </c>
      <c r="AE61" s="4">
        <v>1.6973904639999999</v>
      </c>
      <c r="AF61" s="4">
        <v>1.9749617315555601</v>
      </c>
      <c r="AG61" s="4">
        <v>2.1858511919999999</v>
      </c>
      <c r="AH61" s="4">
        <v>2.6208634085925899</v>
      </c>
      <c r="AI61" s="4">
        <v>2.8888144320000002</v>
      </c>
      <c r="AJ61" s="4">
        <v>3.0984571831111101</v>
      </c>
      <c r="AK61" s="4">
        <v>2.854564216</v>
      </c>
      <c r="AL61" s="4">
        <v>3.0385732948148099</v>
      </c>
      <c r="AM61" s="4">
        <v>2.9189432512592601</v>
      </c>
      <c r="AN61" s="4">
        <v>2.8866882157037002</v>
      </c>
      <c r="AO61" s="4">
        <v>2.86104360888889</v>
      </c>
      <c r="AP61" s="4">
        <v>2.7386516391111102</v>
      </c>
      <c r="AQ61" s="4">
        <v>2.94566054637037</v>
      </c>
      <c r="AR61" s="4">
        <v>2.7791795442963001</v>
      </c>
      <c r="AS61" s="4">
        <v>2.7910691531851901</v>
      </c>
      <c r="AT61" s="4">
        <v>2.74847616711111</v>
      </c>
      <c r="AU61" s="4">
        <v>2.64946150725926</v>
      </c>
      <c r="AV61" s="4">
        <v>2.5271252014814798</v>
      </c>
      <c r="AW61" s="4">
        <v>2.0697203333333301</v>
      </c>
    </row>
    <row r="62" spans="1:49" x14ac:dyDescent="0.25">
      <c r="A62" s="4" t="s">
        <v>194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1.8088651508148099</v>
      </c>
      <c r="AA62" s="4">
        <v>1.6240522397037001</v>
      </c>
      <c r="AB62" s="4">
        <v>1.53158230192593</v>
      </c>
      <c r="AC62" s="4">
        <v>1.57672711881481</v>
      </c>
      <c r="AD62" s="4">
        <v>1.57973118696296</v>
      </c>
      <c r="AE62" s="4">
        <v>1.5454961013333299</v>
      </c>
      <c r="AF62" s="4">
        <v>1.7261864438518499</v>
      </c>
      <c r="AG62" s="4">
        <v>2.0141275383703698</v>
      </c>
      <c r="AH62" s="4">
        <v>2.3945919075555602</v>
      </c>
      <c r="AI62" s="4">
        <v>2.65822997896296</v>
      </c>
      <c r="AJ62" s="4">
        <v>2.8048977662222199</v>
      </c>
      <c r="AK62" s="4">
        <v>2.6918180405925898</v>
      </c>
      <c r="AL62" s="4">
        <v>2.6962655854814801</v>
      </c>
      <c r="AM62" s="4">
        <v>2.7365221042962999</v>
      </c>
      <c r="AN62" s="4">
        <v>2.79735629392593</v>
      </c>
      <c r="AO62" s="4">
        <v>2.5291895979259298</v>
      </c>
      <c r="AP62" s="4">
        <v>2.6341619235555598</v>
      </c>
      <c r="AQ62" s="4">
        <v>2.5815006456296299</v>
      </c>
      <c r="AR62" s="4">
        <v>2.60794381037037</v>
      </c>
      <c r="AS62" s="4">
        <v>2.6085589579259301</v>
      </c>
      <c r="AT62" s="4">
        <v>2.4525413837037</v>
      </c>
      <c r="AU62" s="4">
        <v>2.4281146731851901</v>
      </c>
      <c r="AV62" s="4">
        <v>2.47917664503704</v>
      </c>
      <c r="AW62" s="4">
        <v>2.0468370885925902</v>
      </c>
    </row>
    <row r="63" spans="1:49" x14ac:dyDescent="0.25">
      <c r="A63" s="4" t="s">
        <v>195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2.4861310112592601</v>
      </c>
      <c r="AA63" s="4">
        <v>2.30512049392593</v>
      </c>
      <c r="AB63" s="4">
        <v>2.08589550607407</v>
      </c>
      <c r="AC63" s="4">
        <v>2.0847913146666701</v>
      </c>
      <c r="AD63" s="4">
        <v>2.1757683525925899</v>
      </c>
      <c r="AE63" s="4">
        <v>2.0982240056296302</v>
      </c>
      <c r="AF63" s="4">
        <v>2.27891021244444</v>
      </c>
      <c r="AG63" s="4">
        <v>2.7035617798518499</v>
      </c>
      <c r="AH63" s="4">
        <v>3.39499595762963</v>
      </c>
      <c r="AI63" s="4">
        <v>3.4742678154074098</v>
      </c>
      <c r="AJ63" s="4">
        <v>3.5344532408888898</v>
      </c>
      <c r="AK63" s="4">
        <v>3.6562352254814798</v>
      </c>
      <c r="AL63" s="4">
        <v>3.5412102506666701</v>
      </c>
      <c r="AM63" s="4">
        <v>3.7599981854814799</v>
      </c>
      <c r="AN63" s="4">
        <v>3.5429166100740699</v>
      </c>
      <c r="AO63" s="4">
        <v>3.56695348592593</v>
      </c>
      <c r="AP63" s="4">
        <v>3.4853107582222198</v>
      </c>
      <c r="AQ63" s="4">
        <v>3.5955254927407401</v>
      </c>
      <c r="AR63" s="4">
        <v>3.6220352394074098</v>
      </c>
      <c r="AS63" s="4">
        <v>3.3328761054814802</v>
      </c>
      <c r="AT63" s="4">
        <v>3.4010505428148101</v>
      </c>
      <c r="AU63" s="4">
        <v>3.4205905377777799</v>
      </c>
      <c r="AV63" s="4">
        <v>3.0964913259259301</v>
      </c>
      <c r="AW63" s="4">
        <v>2.7842522835555599</v>
      </c>
    </row>
    <row r="64" spans="1:49" x14ac:dyDescent="0.25">
      <c r="A64" s="4" t="s">
        <v>196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2.4451163437036998</v>
      </c>
      <c r="AA64" s="4">
        <v>2.19281924296296</v>
      </c>
      <c r="AB64" s="4">
        <v>2.1800190471111098</v>
      </c>
      <c r="AC64" s="4">
        <v>2.18878394311111</v>
      </c>
      <c r="AD64" s="4">
        <v>2.0732086915555601</v>
      </c>
      <c r="AE64" s="4">
        <v>2.2936555102222198</v>
      </c>
      <c r="AF64" s="4">
        <v>2.4631981650370398</v>
      </c>
      <c r="AG64" s="4">
        <v>2.8484209102222202</v>
      </c>
      <c r="AH64" s="4">
        <v>3.3575965712592599</v>
      </c>
      <c r="AI64" s="4">
        <v>3.4265865967407398</v>
      </c>
      <c r="AJ64" s="4">
        <v>3.7274933546666702</v>
      </c>
      <c r="AK64" s="4">
        <v>3.71969438192593</v>
      </c>
      <c r="AL64" s="4">
        <v>3.8424842379259299</v>
      </c>
      <c r="AM64" s="4">
        <v>3.92300288177778</v>
      </c>
      <c r="AN64" s="4">
        <v>3.71035398222222</v>
      </c>
      <c r="AO64" s="4">
        <v>3.5070464488888899</v>
      </c>
      <c r="AP64" s="4">
        <v>3.63339565244444</v>
      </c>
      <c r="AQ64" s="4">
        <v>3.6177814068148102</v>
      </c>
      <c r="AR64" s="4">
        <v>3.5963979042963001</v>
      </c>
      <c r="AS64" s="4">
        <v>3.6256285001481499</v>
      </c>
      <c r="AT64" s="4">
        <v>3.3792549362963</v>
      </c>
      <c r="AU64" s="4">
        <v>3.52216082607407</v>
      </c>
      <c r="AV64" s="4">
        <v>3.1932112115555502</v>
      </c>
      <c r="AW64" s="4">
        <v>2.5970871691851798</v>
      </c>
    </row>
    <row r="65" spans="1:49" x14ac:dyDescent="0.25">
      <c r="A65" s="4" t="s">
        <v>197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2.8053784204444399</v>
      </c>
      <c r="AA65" s="4">
        <v>2.5292484331851899</v>
      </c>
      <c r="AB65" s="4">
        <v>2.45937018133333</v>
      </c>
      <c r="AC65" s="4">
        <v>2.3104458740740701</v>
      </c>
      <c r="AD65" s="4">
        <v>2.4260034171851799</v>
      </c>
      <c r="AE65" s="4">
        <v>2.4606405807407401</v>
      </c>
      <c r="AF65" s="4">
        <v>2.7629664367407401</v>
      </c>
      <c r="AG65" s="4">
        <v>3.17431274637037</v>
      </c>
      <c r="AH65" s="4">
        <v>3.8283357798518498</v>
      </c>
      <c r="AI65" s="4">
        <v>3.9398845505185198</v>
      </c>
      <c r="AJ65" s="4">
        <v>4.2481585917037004</v>
      </c>
      <c r="AK65" s="4">
        <v>4.23418209925926</v>
      </c>
      <c r="AL65" s="4">
        <v>4.0356145635555603</v>
      </c>
      <c r="AM65" s="4">
        <v>4.3802672625185197</v>
      </c>
      <c r="AN65" s="4">
        <v>4.3345947410370398</v>
      </c>
      <c r="AO65" s="4">
        <v>4.1883453899259298</v>
      </c>
      <c r="AP65" s="4">
        <v>3.9972081623703701</v>
      </c>
      <c r="AQ65" s="4">
        <v>4.1454553798518496</v>
      </c>
      <c r="AR65" s="4">
        <v>4.1237522314074102</v>
      </c>
      <c r="AS65" s="4">
        <v>3.8192483777777801</v>
      </c>
      <c r="AT65" s="4">
        <v>3.7211123434074098</v>
      </c>
      <c r="AU65" s="4">
        <v>3.7979279976296301</v>
      </c>
      <c r="AV65" s="4">
        <v>3.7159085994074101</v>
      </c>
      <c r="AW65" s="4">
        <v>3.0855994814814802</v>
      </c>
    </row>
    <row r="66" spans="1:49" x14ac:dyDescent="0.25">
      <c r="A66" s="4" t="s">
        <v>198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</row>
    <row r="67" spans="1:49" x14ac:dyDescent="0.25">
      <c r="A67" s="4" t="s">
        <v>199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</row>
    <row r="68" spans="1:49" x14ac:dyDescent="0.25">
      <c r="A68" s="4" t="s">
        <v>200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3.5582129561481501</v>
      </c>
      <c r="AA68" s="4">
        <v>3.4783151925925901</v>
      </c>
      <c r="AB68" s="4">
        <v>3.4680677629629599</v>
      </c>
      <c r="AC68" s="4">
        <v>3.3877359600000001</v>
      </c>
      <c r="AD68" s="4">
        <v>3.3943250237037002</v>
      </c>
      <c r="AE68" s="4">
        <v>3.3090156462222202</v>
      </c>
      <c r="AF68" s="4">
        <v>3.72443831407407</v>
      </c>
      <c r="AG68" s="4">
        <v>4.2764091128888904</v>
      </c>
      <c r="AH68" s="4">
        <v>5.0107494349629604</v>
      </c>
      <c r="AI68" s="4">
        <v>5.3891818234074096</v>
      </c>
      <c r="AJ68" s="4">
        <v>5.8958532764444396</v>
      </c>
      <c r="AK68" s="4">
        <v>5.5124810222222198</v>
      </c>
      <c r="AL68" s="4">
        <v>5.9831340322962996</v>
      </c>
      <c r="AM68" s="4">
        <v>5.9741238625185202</v>
      </c>
      <c r="AN68" s="4">
        <v>5.9055373896296297</v>
      </c>
      <c r="AO68" s="4">
        <v>5.6930114681481498</v>
      </c>
      <c r="AP68" s="4">
        <v>5.7685507185185196</v>
      </c>
      <c r="AQ68" s="4">
        <v>5.3731074838518502</v>
      </c>
      <c r="AR68" s="4">
        <v>5.4679735807407397</v>
      </c>
      <c r="AS68" s="4">
        <v>5.5124159585185204</v>
      </c>
      <c r="AT68" s="4">
        <v>5.3698189875555604</v>
      </c>
      <c r="AU68" s="4">
        <v>5.5636800322962996</v>
      </c>
      <c r="AV68" s="4">
        <v>4.7774165454814801</v>
      </c>
      <c r="AW68" s="4">
        <v>4.1889084139259296</v>
      </c>
    </row>
    <row r="69" spans="1:49" x14ac:dyDescent="0.25">
      <c r="A69" s="4" t="s">
        <v>201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2.7412183576296298</v>
      </c>
      <c r="AA69" s="4">
        <v>2.5044166746666701</v>
      </c>
      <c r="AB69" s="4">
        <v>2.32968846755556</v>
      </c>
      <c r="AC69" s="4">
        <v>2.4562083404444399</v>
      </c>
      <c r="AD69" s="4">
        <v>2.2713406032592598</v>
      </c>
      <c r="AE69" s="4">
        <v>2.57224664562963</v>
      </c>
      <c r="AF69" s="4">
        <v>2.6616528441481502</v>
      </c>
      <c r="AG69" s="4">
        <v>3.11219767288889</v>
      </c>
      <c r="AH69" s="4">
        <v>3.66971794311111</v>
      </c>
      <c r="AI69" s="4">
        <v>4.0292679072592597</v>
      </c>
      <c r="AJ69" s="4">
        <v>4.1250422598518499</v>
      </c>
      <c r="AK69" s="4">
        <v>4.2110560799999996</v>
      </c>
      <c r="AL69" s="4">
        <v>4.2137917525925896</v>
      </c>
      <c r="AM69" s="4">
        <v>4.20158059792593</v>
      </c>
      <c r="AN69" s="4">
        <v>4.0443305238518503</v>
      </c>
      <c r="AO69" s="4">
        <v>4.05224705303704</v>
      </c>
      <c r="AP69" s="4">
        <v>4.1003710491851901</v>
      </c>
      <c r="AQ69" s="4">
        <v>3.8635893312592602</v>
      </c>
      <c r="AR69" s="4">
        <v>3.8323800002963</v>
      </c>
      <c r="AS69" s="4">
        <v>4.0128040068148101</v>
      </c>
      <c r="AT69" s="4">
        <v>3.7751773380740699</v>
      </c>
      <c r="AU69" s="4">
        <v>3.9194406367407399</v>
      </c>
      <c r="AV69" s="4">
        <v>3.77927003377778</v>
      </c>
      <c r="AW69" s="4">
        <v>3.1519262817777798</v>
      </c>
    </row>
    <row r="70" spans="1:49" x14ac:dyDescent="0.25">
      <c r="A70" s="4" t="s">
        <v>202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4.2187796829629596</v>
      </c>
      <c r="AA70" s="4">
        <v>4.0614143463703698</v>
      </c>
      <c r="AB70" s="4">
        <v>3.9186506032592598</v>
      </c>
      <c r="AC70" s="4">
        <v>3.7756853576296301</v>
      </c>
      <c r="AD70" s="4">
        <v>3.9158780619259299</v>
      </c>
      <c r="AE70" s="4">
        <v>4.1461716447407397</v>
      </c>
      <c r="AF70" s="4">
        <v>4.2055978450370404</v>
      </c>
      <c r="AG70" s="4">
        <v>5.4334204192592601</v>
      </c>
      <c r="AH70" s="4">
        <v>6.1685545537777804</v>
      </c>
      <c r="AI70" s="4">
        <v>6.7362057321481501</v>
      </c>
      <c r="AJ70" s="4">
        <v>6.7096610663703702</v>
      </c>
      <c r="AK70" s="4">
        <v>6.8652510577777797</v>
      </c>
      <c r="AL70" s="4">
        <v>6.9716043309629603</v>
      </c>
      <c r="AM70" s="4">
        <v>6.7830259176296304</v>
      </c>
      <c r="AN70" s="4">
        <v>6.8387893487407396</v>
      </c>
      <c r="AO70" s="4">
        <v>6.9138245389629596</v>
      </c>
      <c r="AP70" s="4">
        <v>6.9435194183703697</v>
      </c>
      <c r="AQ70" s="4">
        <v>6.5547909487407399</v>
      </c>
      <c r="AR70" s="4">
        <v>6.5898317955555603</v>
      </c>
      <c r="AS70" s="4">
        <v>6.2949573970370398</v>
      </c>
      <c r="AT70" s="4">
        <v>6.3240382696296296</v>
      </c>
      <c r="AU70" s="4">
        <v>6.2959568808888902</v>
      </c>
      <c r="AV70" s="4">
        <v>5.9327087431111103</v>
      </c>
      <c r="AW70" s="4">
        <v>5.0561881440000001</v>
      </c>
    </row>
    <row r="71" spans="1:49" x14ac:dyDescent="0.25">
      <c r="A71" s="4" t="s">
        <v>203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1.44745842162963</v>
      </c>
      <c r="AA71" s="4">
        <v>1.36939452948148</v>
      </c>
      <c r="AB71" s="4">
        <v>1.2169847407407399</v>
      </c>
      <c r="AC71" s="4">
        <v>1.17435111111111</v>
      </c>
      <c r="AD71" s="4">
        <v>1.21299505807407</v>
      </c>
      <c r="AE71" s="4">
        <v>1.26081296859259</v>
      </c>
      <c r="AF71" s="4">
        <v>1.43846612207407</v>
      </c>
      <c r="AG71" s="4">
        <v>1.5939618882963</v>
      </c>
      <c r="AH71" s="4">
        <v>1.88522716355556</v>
      </c>
      <c r="AI71" s="4">
        <v>2.11935282637037</v>
      </c>
      <c r="AJ71" s="4">
        <v>2.1414268586666698</v>
      </c>
      <c r="AK71" s="4">
        <v>2.1052823908148102</v>
      </c>
      <c r="AL71" s="4">
        <v>2.1475753247407399</v>
      </c>
      <c r="AM71" s="4">
        <v>2.1378084373333301</v>
      </c>
      <c r="AN71" s="4">
        <v>2.28255928444444</v>
      </c>
      <c r="AO71" s="4">
        <v>2.1966686891851799</v>
      </c>
      <c r="AP71" s="4">
        <v>2.1070951585185198</v>
      </c>
      <c r="AQ71" s="4">
        <v>2.0105239736296299</v>
      </c>
      <c r="AR71" s="4">
        <v>1.98321403466667</v>
      </c>
      <c r="AS71" s="4">
        <v>2.0714795048888899</v>
      </c>
      <c r="AT71" s="4">
        <v>1.9965779057777799</v>
      </c>
      <c r="AU71" s="4">
        <v>2.0922104684444398</v>
      </c>
      <c r="AV71" s="4">
        <v>1.81709209837037</v>
      </c>
      <c r="AW71" s="4">
        <v>1.51149358162963</v>
      </c>
    </row>
    <row r="72" spans="1:49" x14ac:dyDescent="0.25">
      <c r="A72" s="4" t="s">
        <v>204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</row>
    <row r="73" spans="1:49" x14ac:dyDescent="0.25">
      <c r="A73" s="4" t="s">
        <v>205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4.7979663531851804</v>
      </c>
      <c r="AA73" s="4">
        <v>4.3306565182222201</v>
      </c>
      <c r="AB73" s="4">
        <v>4.2441314408888902</v>
      </c>
      <c r="AC73" s="4">
        <v>4.1446887502222198</v>
      </c>
      <c r="AD73" s="4">
        <v>3.9110685745185201</v>
      </c>
      <c r="AE73" s="4">
        <v>4.3649251685925901</v>
      </c>
      <c r="AF73" s="4">
        <v>4.6708702859259299</v>
      </c>
      <c r="AG73" s="4">
        <v>5.4389354091851798</v>
      </c>
      <c r="AH73" s="4">
        <v>6.2529572663703696</v>
      </c>
      <c r="AI73" s="4">
        <v>6.9757302159999997</v>
      </c>
      <c r="AJ73" s="4">
        <v>7.5415927066666697</v>
      </c>
      <c r="AK73" s="4">
        <v>7.0775338770370402</v>
      </c>
      <c r="AL73" s="4">
        <v>7.0244050737777801</v>
      </c>
      <c r="AM73" s="4">
        <v>7.0707382355555604</v>
      </c>
      <c r="AN73" s="4">
        <v>7.3224768545185199</v>
      </c>
      <c r="AO73" s="4">
        <v>7.2155109973333298</v>
      </c>
      <c r="AP73" s="4">
        <v>7.0861096237036998</v>
      </c>
      <c r="AQ73" s="4">
        <v>6.77484519703704</v>
      </c>
      <c r="AR73" s="4">
        <v>6.7273090162963003</v>
      </c>
      <c r="AS73" s="4">
        <v>6.9146254302222196</v>
      </c>
      <c r="AT73" s="4">
        <v>7.0083304002963001</v>
      </c>
      <c r="AU73" s="4">
        <v>6.5942006915555602</v>
      </c>
      <c r="AV73" s="4">
        <v>6.3015168263703698</v>
      </c>
      <c r="AW73" s="4">
        <v>5.0457899167407403</v>
      </c>
    </row>
    <row r="74" spans="1:49" x14ac:dyDescent="0.25">
      <c r="A74" s="4" t="s">
        <v>206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2.4401817917036999</v>
      </c>
      <c r="AA74" s="4">
        <v>2.3239282764444402</v>
      </c>
      <c r="AB74" s="4">
        <v>2.3553858823703702</v>
      </c>
      <c r="AC74" s="4">
        <v>2.120120912</v>
      </c>
      <c r="AD74" s="4">
        <v>2.2642502171851899</v>
      </c>
      <c r="AE74" s="4">
        <v>2.35890572711111</v>
      </c>
      <c r="AF74" s="4">
        <v>2.4478686814814798</v>
      </c>
      <c r="AG74" s="4">
        <v>3.1558745161481498</v>
      </c>
      <c r="AH74" s="4">
        <v>3.6109649561481501</v>
      </c>
      <c r="AI74" s="4">
        <v>3.8685131976296301</v>
      </c>
      <c r="AJ74" s="4">
        <v>4.0335585982222204</v>
      </c>
      <c r="AK74" s="4">
        <v>4.1460787034074098</v>
      </c>
      <c r="AL74" s="4">
        <v>3.82301669244444</v>
      </c>
      <c r="AM74" s="4">
        <v>3.8504282174814799</v>
      </c>
      <c r="AN74" s="4">
        <v>4.0097528903703701</v>
      </c>
      <c r="AO74" s="4">
        <v>4.0495306319999997</v>
      </c>
      <c r="AP74" s="4">
        <v>3.9799235238518502</v>
      </c>
      <c r="AQ74" s="4">
        <v>3.9635160942222201</v>
      </c>
      <c r="AR74" s="4">
        <v>3.5329180216296301</v>
      </c>
      <c r="AS74" s="4">
        <v>3.5134984349629601</v>
      </c>
      <c r="AT74" s="4">
        <v>3.8050785961481499</v>
      </c>
      <c r="AU74" s="4">
        <v>3.5873076877036998</v>
      </c>
      <c r="AV74" s="4">
        <v>3.58412659525926</v>
      </c>
      <c r="AW74" s="4">
        <v>2.7917021875555599</v>
      </c>
    </row>
    <row r="75" spans="1:49" x14ac:dyDescent="0.25">
      <c r="A75" s="4" t="s">
        <v>207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1.7252305425185199</v>
      </c>
      <c r="AA75" s="4">
        <v>1.63780472177778</v>
      </c>
      <c r="AB75" s="4">
        <v>1.6909070411851901</v>
      </c>
      <c r="AC75" s="4">
        <v>1.58224696414815</v>
      </c>
      <c r="AD75" s="4">
        <v>1.6112161125925899</v>
      </c>
      <c r="AE75" s="4">
        <v>1.613578008</v>
      </c>
      <c r="AF75" s="4">
        <v>1.70359635496296</v>
      </c>
      <c r="AG75" s="4">
        <v>2.0741199525925902</v>
      </c>
      <c r="AH75" s="4">
        <v>2.3942685428148098</v>
      </c>
      <c r="AI75" s="4">
        <v>2.61371911525926</v>
      </c>
      <c r="AJ75" s="4">
        <v>2.7520797235555601</v>
      </c>
      <c r="AK75" s="4">
        <v>2.6643656397036999</v>
      </c>
      <c r="AL75" s="4">
        <v>2.66466495762963</v>
      </c>
      <c r="AM75" s="4">
        <v>2.7454144562963001</v>
      </c>
      <c r="AN75" s="4">
        <v>2.9266376782222201</v>
      </c>
      <c r="AO75" s="4">
        <v>2.7479412758518502</v>
      </c>
      <c r="AP75" s="4">
        <v>2.7617023010370398</v>
      </c>
      <c r="AQ75" s="4">
        <v>2.6558797232592601</v>
      </c>
      <c r="AR75" s="4">
        <v>2.5855693214814801</v>
      </c>
      <c r="AS75" s="4">
        <v>2.57830864562963</v>
      </c>
      <c r="AT75" s="4">
        <v>2.5599247872592601</v>
      </c>
      <c r="AU75" s="4">
        <v>2.51227908503704</v>
      </c>
      <c r="AV75" s="4">
        <v>2.31232456622222</v>
      </c>
      <c r="AW75" s="4">
        <v>1.9984481792592601</v>
      </c>
    </row>
    <row r="76" spans="1:49" x14ac:dyDescent="0.25">
      <c r="A76" s="4" t="s">
        <v>208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</row>
    <row r="77" spans="1:49" x14ac:dyDescent="0.25">
      <c r="A77" s="4" t="s">
        <v>209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</row>
    <row r="78" spans="1:49" x14ac:dyDescent="0.25">
      <c r="A78" s="4" t="s">
        <v>210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</row>
    <row r="79" spans="1:49" x14ac:dyDescent="0.25">
      <c r="A79" s="4" t="s">
        <v>211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</row>
    <row r="80" spans="1:49" x14ac:dyDescent="0.25">
      <c r="A80" s="4" t="s">
        <v>212</v>
      </c>
      <c r="B80" s="4">
        <v>7.7160694799999999E-2</v>
      </c>
      <c r="C80" s="4">
        <v>0.13722556480000001</v>
      </c>
      <c r="D80" s="4">
        <v>0.3047570516</v>
      </c>
      <c r="E80" s="4">
        <v>0.38192378240000002</v>
      </c>
      <c r="F80" s="4">
        <v>0.394038206</v>
      </c>
      <c r="G80" s="4">
        <v>0.37281541359999998</v>
      </c>
      <c r="H80" s="4">
        <v>0.37358444959999998</v>
      </c>
      <c r="I80" s="4">
        <v>0.41625039359999999</v>
      </c>
      <c r="J80" s="4">
        <v>0.37911666560000001</v>
      </c>
      <c r="K80" s="4">
        <v>0.38494581280000001</v>
      </c>
      <c r="L80" s="4">
        <v>0.24353710240000001</v>
      </c>
      <c r="M80" s="4">
        <v>0.43527384720000001</v>
      </c>
      <c r="N80" s="4">
        <v>0.32853190599999998</v>
      </c>
      <c r="O80" s="4">
        <v>0.32662997040000002</v>
      </c>
      <c r="P80" s="4">
        <v>0.36034663480000001</v>
      </c>
      <c r="Q80" s="4">
        <v>1</v>
      </c>
      <c r="R80" s="4">
        <v>0.78867783000000002</v>
      </c>
      <c r="S80" s="4">
        <v>0.7870597936</v>
      </c>
      <c r="T80" s="4">
        <v>0.56559629119999999</v>
      </c>
      <c r="U80" s="4">
        <v>0.40572229360000001</v>
      </c>
      <c r="V80" s="4">
        <v>0.4168206908</v>
      </c>
      <c r="W80" s="4">
        <v>0.27787398279999997</v>
      </c>
      <c r="X80" s="4">
        <v>8.1887141600000005E-2</v>
      </c>
      <c r="Y80" s="4">
        <v>7.6541155200000002E-2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</row>
    <row r="81" spans="1:49" x14ac:dyDescent="0.25">
      <c r="A81" s="4" t="s">
        <v>213</v>
      </c>
      <c r="B81" s="4">
        <v>0.26951975583333299</v>
      </c>
      <c r="C81" s="4">
        <v>0.30036305699999999</v>
      </c>
      <c r="D81" s="4">
        <v>1.5947065999999999E-2</v>
      </c>
      <c r="E81" s="4">
        <v>0.19183037083333301</v>
      </c>
      <c r="F81" s="4">
        <v>0.43075738966666699</v>
      </c>
      <c r="G81" s="4">
        <v>6.3846084666666705E-2</v>
      </c>
      <c r="H81" s="4">
        <v>0</v>
      </c>
      <c r="I81" s="4">
        <v>2.16695916666667E-3</v>
      </c>
      <c r="J81" s="4">
        <v>0.14620525549999999</v>
      </c>
      <c r="K81" s="4">
        <v>0.175594058333333</v>
      </c>
      <c r="L81" s="4">
        <v>0.16725296049999999</v>
      </c>
      <c r="M81" s="4">
        <v>0.1088841945</v>
      </c>
      <c r="N81" s="4">
        <v>4.1228952333333298E-2</v>
      </c>
      <c r="O81" s="4">
        <v>0.106074614833333</v>
      </c>
      <c r="P81" s="4">
        <v>4.9477443833333301E-2</v>
      </c>
      <c r="Q81" s="4">
        <v>2.8214863166666701E-2</v>
      </c>
      <c r="R81" s="4">
        <v>3.2805818833333299E-2</v>
      </c>
      <c r="S81" s="4">
        <v>2.2512513500000001E-2</v>
      </c>
      <c r="T81" s="4">
        <v>4.5102047499999999E-2</v>
      </c>
      <c r="U81" s="4">
        <v>7.6293857666666701E-2</v>
      </c>
      <c r="V81" s="4">
        <v>0.12427864166666699</v>
      </c>
      <c r="W81" s="4">
        <v>0.22141336516666699</v>
      </c>
      <c r="X81" s="4">
        <v>0.228243340166667</v>
      </c>
      <c r="Y81" s="4">
        <v>0.249312067666667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</row>
    <row r="82" spans="1:49" x14ac:dyDescent="0.25">
      <c r="A82" s="4" t="s">
        <v>214</v>
      </c>
      <c r="B82" s="4">
        <v>0.31763285149999998</v>
      </c>
      <c r="C82" s="4">
        <v>0.315814013666667</v>
      </c>
      <c r="D82" s="4">
        <v>0.52093834033333297</v>
      </c>
      <c r="E82" s="4">
        <v>0.357780352333333</v>
      </c>
      <c r="F82" s="4">
        <v>0.26713720766666699</v>
      </c>
      <c r="G82" s="4">
        <v>0.231375421666667</v>
      </c>
      <c r="H82" s="4">
        <v>5.8003351166666703E-2</v>
      </c>
      <c r="I82" s="4">
        <v>9.3110398999999996E-2</v>
      </c>
      <c r="J82" s="4">
        <v>0.23650162233333299</v>
      </c>
      <c r="K82" s="4">
        <v>0.30509061183333303</v>
      </c>
      <c r="L82" s="4">
        <v>0.31467017000000003</v>
      </c>
      <c r="M82" s="4">
        <v>0.25481103700000002</v>
      </c>
      <c r="N82" s="4">
        <v>0.226713002333333</v>
      </c>
      <c r="O82" s="4">
        <v>0.173132443</v>
      </c>
      <c r="P82" s="4">
        <v>0.223357943666667</v>
      </c>
      <c r="Q82" s="4">
        <v>0.15111821316666699</v>
      </c>
      <c r="R82" s="4">
        <v>0.229040418666667</v>
      </c>
      <c r="S82" s="4">
        <v>0.213630793833333</v>
      </c>
      <c r="T82" s="4">
        <v>0.33213924500000003</v>
      </c>
      <c r="U82" s="4">
        <v>0.26861752750000001</v>
      </c>
      <c r="V82" s="4">
        <v>7.5102765333333293E-2</v>
      </c>
      <c r="W82" s="4">
        <v>0.17598680850000001</v>
      </c>
      <c r="X82" s="4">
        <v>0.20139558499999999</v>
      </c>
      <c r="Y82" s="4">
        <v>0.46256652483333299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</row>
    <row r="83" spans="1:49" x14ac:dyDescent="0.25">
      <c r="A83" s="4" t="s">
        <v>215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1.3832564977777799</v>
      </c>
      <c r="AA83" s="4">
        <v>1.36412927051852</v>
      </c>
      <c r="AB83" s="4">
        <v>1.4232576441481499</v>
      </c>
      <c r="AC83" s="4">
        <v>1.3936100577777799</v>
      </c>
      <c r="AD83" s="4">
        <v>1.2959533585185199</v>
      </c>
      <c r="AE83" s="4">
        <v>1.5509651048888899</v>
      </c>
      <c r="AF83" s="4">
        <v>1.64672113718519</v>
      </c>
      <c r="AG83" s="4">
        <v>2.0312315540740702</v>
      </c>
      <c r="AH83" s="4">
        <v>2.2782725425185202</v>
      </c>
      <c r="AI83" s="4">
        <v>2.2603701887407399</v>
      </c>
      <c r="AJ83" s="4">
        <v>2.3790765828148102</v>
      </c>
      <c r="AK83" s="4">
        <v>2.3931196634074099</v>
      </c>
      <c r="AL83" s="4">
        <v>2.2052398832592601</v>
      </c>
      <c r="AM83" s="4">
        <v>2.1501701117037002</v>
      </c>
      <c r="AN83" s="4">
        <v>2.1725434826666699</v>
      </c>
      <c r="AO83" s="4">
        <v>2.0933786139259301</v>
      </c>
      <c r="AP83" s="4">
        <v>2.0286700124444401</v>
      </c>
      <c r="AQ83" s="4">
        <v>2.1072585831111099</v>
      </c>
      <c r="AR83" s="4">
        <v>2.2825861665185201</v>
      </c>
      <c r="AS83" s="4">
        <v>2.2364953623703698</v>
      </c>
      <c r="AT83" s="4">
        <v>2.2898958465185202</v>
      </c>
      <c r="AU83" s="4">
        <v>1.99148007022222</v>
      </c>
      <c r="AV83" s="4">
        <v>1.88695086844444</v>
      </c>
      <c r="AW83" s="4">
        <v>1.64395177333333</v>
      </c>
    </row>
    <row r="84" spans="1:49" x14ac:dyDescent="0.25">
      <c r="A84" s="4" t="s">
        <v>216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1.2957484565925901</v>
      </c>
      <c r="AA84" s="4">
        <v>1.2444991211851899</v>
      </c>
      <c r="AB84" s="4">
        <v>1.20784989007407</v>
      </c>
      <c r="AC84" s="4">
        <v>1.16419203703704</v>
      </c>
      <c r="AD84" s="4">
        <v>1.22028314281481</v>
      </c>
      <c r="AE84" s="4">
        <v>1.2769354826666699</v>
      </c>
      <c r="AF84" s="4">
        <v>1.54187115496296</v>
      </c>
      <c r="AG84" s="4">
        <v>1.7213972471111101</v>
      </c>
      <c r="AH84" s="4">
        <v>1.8987111090370401</v>
      </c>
      <c r="AI84" s="4">
        <v>2.1294191250370398</v>
      </c>
      <c r="AJ84" s="4">
        <v>2.1659435757037002</v>
      </c>
      <c r="AK84" s="4">
        <v>1.9990111410370399</v>
      </c>
      <c r="AL84" s="4">
        <v>1.9127429066666699</v>
      </c>
      <c r="AM84" s="4">
        <v>1.90025148444444</v>
      </c>
      <c r="AN84" s="4">
        <v>1.79415263585185</v>
      </c>
      <c r="AO84" s="4">
        <v>1.8910157259259299</v>
      </c>
      <c r="AP84" s="4">
        <v>1.92267328503704</v>
      </c>
      <c r="AQ84" s="4">
        <v>1.98241110251852</v>
      </c>
      <c r="AR84" s="4">
        <v>1.8867106450370399</v>
      </c>
      <c r="AS84" s="4">
        <v>2.0168946974814799</v>
      </c>
      <c r="AT84" s="4">
        <v>2.0113639404444399</v>
      </c>
      <c r="AU84" s="4">
        <v>1.9255895762963</v>
      </c>
      <c r="AV84" s="4">
        <v>1.64906138548148</v>
      </c>
      <c r="AW84" s="4">
        <v>1.4082485801481499</v>
      </c>
    </row>
    <row r="85" spans="1:49" x14ac:dyDescent="0.25">
      <c r="A85" s="4" t="s">
        <v>217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2.4754522654814801</v>
      </c>
      <c r="AA85" s="4">
        <v>2.2606927591111101</v>
      </c>
      <c r="AB85" s="4">
        <v>2.2777609265185199</v>
      </c>
      <c r="AC85" s="4">
        <v>2.2272099878518499</v>
      </c>
      <c r="AD85" s="4">
        <v>2.24674314251852</v>
      </c>
      <c r="AE85" s="4">
        <v>2.4466092207407399</v>
      </c>
      <c r="AF85" s="4">
        <v>2.7147114669629602</v>
      </c>
      <c r="AG85" s="4">
        <v>3.2788353608888898</v>
      </c>
      <c r="AH85" s="4">
        <v>3.7500456622222198</v>
      </c>
      <c r="AI85" s="4">
        <v>3.8698493223703698</v>
      </c>
      <c r="AJ85" s="4">
        <v>3.9570309395555601</v>
      </c>
      <c r="AK85" s="4">
        <v>3.8171653125925902</v>
      </c>
      <c r="AL85" s="4">
        <v>3.7045114068148099</v>
      </c>
      <c r="AM85" s="4">
        <v>3.5186001822222202</v>
      </c>
      <c r="AN85" s="4">
        <v>3.4675194109629599</v>
      </c>
      <c r="AO85" s="4">
        <v>3.2953871211851902</v>
      </c>
      <c r="AP85" s="4">
        <v>3.5543783955555601</v>
      </c>
      <c r="AQ85" s="4">
        <v>3.6324479872592601</v>
      </c>
      <c r="AR85" s="4">
        <v>3.6772593780740701</v>
      </c>
      <c r="AS85" s="4">
        <v>3.58356996148148</v>
      </c>
      <c r="AT85" s="4">
        <v>3.7807315777777801</v>
      </c>
      <c r="AU85" s="4">
        <v>3.48935412414815</v>
      </c>
      <c r="AV85" s="4">
        <v>3.0173281579259301</v>
      </c>
      <c r="AW85" s="4">
        <v>2.5726676639999999</v>
      </c>
    </row>
    <row r="86" spans="1:49" x14ac:dyDescent="0.25">
      <c r="A86" s="4" t="s">
        <v>218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1.01862580088889</v>
      </c>
      <c r="AA86" s="4">
        <v>0.97174977925925898</v>
      </c>
      <c r="AB86" s="4">
        <v>0.95073379022222204</v>
      </c>
      <c r="AC86" s="4">
        <v>0.95206040948148096</v>
      </c>
      <c r="AD86" s="4">
        <v>0.93423143022222199</v>
      </c>
      <c r="AE86" s="4">
        <v>1.0229117650370401</v>
      </c>
      <c r="AF86" s="4">
        <v>1.1232956062222199</v>
      </c>
      <c r="AG86" s="4">
        <v>1.3246051425185199</v>
      </c>
      <c r="AH86" s="4">
        <v>1.5620210708148099</v>
      </c>
      <c r="AI86" s="4">
        <v>1.5462724480000001</v>
      </c>
      <c r="AJ86" s="4">
        <v>1.6068028127407401</v>
      </c>
      <c r="AK86" s="4">
        <v>1.5596894361481499</v>
      </c>
      <c r="AL86" s="4">
        <v>1.47617528177778</v>
      </c>
      <c r="AM86" s="4">
        <v>1.4332048266666699</v>
      </c>
      <c r="AN86" s="4">
        <v>1.37520944088889</v>
      </c>
      <c r="AO86" s="4">
        <v>1.3704873114074101</v>
      </c>
      <c r="AP86" s="4">
        <v>1.48354482992593</v>
      </c>
      <c r="AQ86" s="4">
        <v>1.4857218154074101</v>
      </c>
      <c r="AR86" s="4">
        <v>1.4397205282962999</v>
      </c>
      <c r="AS86" s="4">
        <v>1.5358444411851899</v>
      </c>
      <c r="AT86" s="4">
        <v>1.5891784263703701</v>
      </c>
      <c r="AU86" s="4">
        <v>1.4183689789629601</v>
      </c>
      <c r="AV86" s="4">
        <v>1.3112494702222199</v>
      </c>
      <c r="AW86" s="4">
        <v>1.05749030696296</v>
      </c>
    </row>
    <row r="87" spans="1:49" x14ac:dyDescent="0.25">
      <c r="A87" s="4" t="s">
        <v>219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0.98868481807407405</v>
      </c>
      <c r="AA87" s="4">
        <v>0.94106937659259204</v>
      </c>
      <c r="AB87" s="4">
        <v>0.88378532562962997</v>
      </c>
      <c r="AC87" s="4">
        <v>0.88521190696296304</v>
      </c>
      <c r="AD87" s="4">
        <v>0.88009282251851895</v>
      </c>
      <c r="AE87" s="4">
        <v>0.96439499437037002</v>
      </c>
      <c r="AF87" s="4">
        <v>1.1022914186666699</v>
      </c>
      <c r="AG87" s="4">
        <v>1.2353277854814799</v>
      </c>
      <c r="AH87" s="4">
        <v>1.48420597837037</v>
      </c>
      <c r="AI87" s="4">
        <v>1.4840359665185201</v>
      </c>
      <c r="AJ87" s="4">
        <v>1.4419757437037</v>
      </c>
      <c r="AK87" s="4">
        <v>1.49662465866667</v>
      </c>
      <c r="AL87" s="4">
        <v>1.422839768</v>
      </c>
      <c r="AM87" s="4">
        <v>1.3784530065185201</v>
      </c>
      <c r="AN87" s="4">
        <v>1.37441025659259</v>
      </c>
      <c r="AO87" s="4">
        <v>1.37674718637037</v>
      </c>
      <c r="AP87" s="4">
        <v>1.3016135668148101</v>
      </c>
      <c r="AQ87" s="4">
        <v>1.39367291674074</v>
      </c>
      <c r="AR87" s="4">
        <v>1.43388448414815</v>
      </c>
      <c r="AS87" s="4">
        <v>1.53485743081481</v>
      </c>
      <c r="AT87" s="4">
        <v>1.4719449920000001</v>
      </c>
      <c r="AU87" s="4">
        <v>1.38405334251852</v>
      </c>
      <c r="AV87" s="4">
        <v>1.1813932583703699</v>
      </c>
      <c r="AW87" s="4">
        <v>1.01091488711111</v>
      </c>
    </row>
    <row r="88" spans="1:49" x14ac:dyDescent="0.25">
      <c r="A88" s="4" t="s">
        <v>220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1.8914249303703701</v>
      </c>
      <c r="AA88" s="4">
        <v>1.79333972118519</v>
      </c>
      <c r="AB88" s="4">
        <v>1.7738994145185201</v>
      </c>
      <c r="AC88" s="4">
        <v>1.61763905125926</v>
      </c>
      <c r="AD88" s="4">
        <v>1.80409059288889</v>
      </c>
      <c r="AE88" s="4">
        <v>1.8628625866666699</v>
      </c>
      <c r="AF88" s="4">
        <v>2.1358189149629601</v>
      </c>
      <c r="AG88" s="4">
        <v>2.5695514672592599</v>
      </c>
      <c r="AH88" s="4">
        <v>2.6639096358518501</v>
      </c>
      <c r="AI88" s="4">
        <v>2.7909946731851898</v>
      </c>
      <c r="AJ88" s="4">
        <v>3.0351780085925899</v>
      </c>
      <c r="AK88" s="4">
        <v>2.9001926551111099</v>
      </c>
      <c r="AL88" s="4">
        <v>2.60689831733333</v>
      </c>
      <c r="AM88" s="4">
        <v>2.6015090536296301</v>
      </c>
      <c r="AN88" s="4">
        <v>2.5754905037036999</v>
      </c>
      <c r="AO88" s="4">
        <v>2.4513099727407401</v>
      </c>
      <c r="AP88" s="4">
        <v>2.6370905866666701</v>
      </c>
      <c r="AQ88" s="4">
        <v>2.6411818533333302</v>
      </c>
      <c r="AR88" s="4">
        <v>2.8459891765925902</v>
      </c>
      <c r="AS88" s="4">
        <v>2.7967682897777801</v>
      </c>
      <c r="AT88" s="4">
        <v>2.7023470465185202</v>
      </c>
      <c r="AU88" s="4">
        <v>2.53474242725926</v>
      </c>
      <c r="AV88" s="4">
        <v>2.4051850438518501</v>
      </c>
      <c r="AW88" s="4">
        <v>1.99248810133333</v>
      </c>
    </row>
    <row r="89" spans="1:49" x14ac:dyDescent="0.25">
      <c r="A89" s="4" t="s">
        <v>221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1.65689187377778</v>
      </c>
      <c r="AA89" s="4">
        <v>1.6005220829629601</v>
      </c>
      <c r="AB89" s="4">
        <v>1.68012052651852</v>
      </c>
      <c r="AC89" s="4">
        <v>1.50577110755556</v>
      </c>
      <c r="AD89" s="4">
        <v>1.61264421837037</v>
      </c>
      <c r="AE89" s="4">
        <v>1.7351190328888899</v>
      </c>
      <c r="AF89" s="4">
        <v>1.83545422459259</v>
      </c>
      <c r="AG89" s="4">
        <v>2.1926782183703701</v>
      </c>
      <c r="AH89" s="4">
        <v>2.5861845354074098</v>
      </c>
      <c r="AI89" s="4">
        <v>2.6887660800000002</v>
      </c>
      <c r="AJ89" s="4">
        <v>2.6387570056296301</v>
      </c>
      <c r="AK89" s="4">
        <v>2.6558107208888901</v>
      </c>
      <c r="AL89" s="4">
        <v>2.4322662518518499</v>
      </c>
      <c r="AM89" s="4">
        <v>2.46090872948148</v>
      </c>
      <c r="AN89" s="4">
        <v>2.3220497253333301</v>
      </c>
      <c r="AO89" s="4">
        <v>2.4211249709629601</v>
      </c>
      <c r="AP89" s="4">
        <v>2.3247370408888899</v>
      </c>
      <c r="AQ89" s="4">
        <v>2.47919988296296</v>
      </c>
      <c r="AR89" s="4">
        <v>2.51114572385185</v>
      </c>
      <c r="AS89" s="4">
        <v>2.599494296</v>
      </c>
      <c r="AT89" s="4">
        <v>2.4587429025185199</v>
      </c>
      <c r="AU89" s="4">
        <v>2.3662081146666698</v>
      </c>
      <c r="AV89" s="4">
        <v>2.14173335081481</v>
      </c>
      <c r="AW89" s="4">
        <v>1.8569044915555599</v>
      </c>
    </row>
    <row r="90" spans="1:49" x14ac:dyDescent="0.25">
      <c r="A90" s="4" t="s">
        <v>222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2.2864487478518498</v>
      </c>
      <c r="AA90" s="4">
        <v>2.2090349762963002</v>
      </c>
      <c r="AB90" s="4">
        <v>2.1892709502222201</v>
      </c>
      <c r="AC90" s="4">
        <v>2.1785510983703702</v>
      </c>
      <c r="AD90" s="4">
        <v>2.1618473685925901</v>
      </c>
      <c r="AE90" s="4">
        <v>2.4767348023703701</v>
      </c>
      <c r="AF90" s="4">
        <v>2.6096428068148101</v>
      </c>
      <c r="AG90" s="4">
        <v>3.18709355377778</v>
      </c>
      <c r="AH90" s="4">
        <v>3.44130397540741</v>
      </c>
      <c r="AI90" s="4">
        <v>3.5945375490370401</v>
      </c>
      <c r="AJ90" s="4">
        <v>3.7144876242963001</v>
      </c>
      <c r="AK90" s="4">
        <v>3.5446699016296299</v>
      </c>
      <c r="AL90" s="4">
        <v>3.55210438488889</v>
      </c>
      <c r="AM90" s="4">
        <v>3.4917686678518498</v>
      </c>
      <c r="AN90" s="4">
        <v>3.3212856631111101</v>
      </c>
      <c r="AO90" s="4">
        <v>3.2293352891851899</v>
      </c>
      <c r="AP90" s="4">
        <v>3.274029976</v>
      </c>
      <c r="AQ90" s="4">
        <v>3.5070732832592602</v>
      </c>
      <c r="AR90" s="4">
        <v>3.3354248044444401</v>
      </c>
      <c r="AS90" s="4">
        <v>3.4572214361481501</v>
      </c>
      <c r="AT90" s="4">
        <v>3.35168748859259</v>
      </c>
      <c r="AU90" s="4">
        <v>3.3524244071111098</v>
      </c>
      <c r="AV90" s="4">
        <v>3.0398192491851899</v>
      </c>
      <c r="AW90" s="4">
        <v>2.50336458192593</v>
      </c>
    </row>
    <row r="91" spans="1:49" x14ac:dyDescent="0.25">
      <c r="A91" s="4" t="s">
        <v>223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2.4363118515555602</v>
      </c>
      <c r="AA91" s="4">
        <v>2.3688756995555602</v>
      </c>
      <c r="AB91" s="4">
        <v>2.24797696562963</v>
      </c>
      <c r="AC91" s="4">
        <v>2.2420947691851798</v>
      </c>
      <c r="AD91" s="4">
        <v>2.0964280835555602</v>
      </c>
      <c r="AE91" s="4">
        <v>2.31197093244444</v>
      </c>
      <c r="AF91" s="4">
        <v>2.6249973140740699</v>
      </c>
      <c r="AG91" s="4">
        <v>3.1182667911111102</v>
      </c>
      <c r="AH91" s="4">
        <v>3.5461014379259299</v>
      </c>
      <c r="AI91" s="4">
        <v>3.4921344287407399</v>
      </c>
      <c r="AJ91" s="4">
        <v>3.6233831511111099</v>
      </c>
      <c r="AK91" s="4">
        <v>3.50338024918518</v>
      </c>
      <c r="AL91" s="4">
        <v>3.3494808189629599</v>
      </c>
      <c r="AM91" s="4">
        <v>3.3250357197036999</v>
      </c>
      <c r="AN91" s="4">
        <v>3.4282380159999999</v>
      </c>
      <c r="AO91" s="4">
        <v>3.1116686325925902</v>
      </c>
      <c r="AP91" s="4">
        <v>3.2046421368888902</v>
      </c>
      <c r="AQ91" s="4">
        <v>3.3132859739259302</v>
      </c>
      <c r="AR91" s="4">
        <v>3.7128821602962998</v>
      </c>
      <c r="AS91" s="4">
        <v>3.7678804986666701</v>
      </c>
      <c r="AT91" s="4">
        <v>3.4973198337777802</v>
      </c>
      <c r="AU91" s="4">
        <v>3.2912217519999998</v>
      </c>
      <c r="AV91" s="4">
        <v>3.0072956334814802</v>
      </c>
      <c r="AW91" s="4">
        <v>2.6170948056296299</v>
      </c>
    </row>
    <row r="92" spans="1:49" x14ac:dyDescent="0.25">
      <c r="A92" s="4" t="s">
        <v>224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2.5696851807407399</v>
      </c>
      <c r="AA92" s="4">
        <v>2.6315630319999999</v>
      </c>
      <c r="AB92" s="4">
        <v>2.42861183911111</v>
      </c>
      <c r="AC92" s="4">
        <v>2.306078152</v>
      </c>
      <c r="AD92" s="4">
        <v>2.3382999380740701</v>
      </c>
      <c r="AE92" s="4">
        <v>2.6158696770370402</v>
      </c>
      <c r="AF92" s="4">
        <v>2.8952611457777802</v>
      </c>
      <c r="AG92" s="4">
        <v>3.5736854491851799</v>
      </c>
      <c r="AH92" s="4">
        <v>4.0117419439999997</v>
      </c>
      <c r="AI92" s="4">
        <v>4.1190895967407402</v>
      </c>
      <c r="AJ92" s="4">
        <v>4.01083936918518</v>
      </c>
      <c r="AK92" s="4">
        <v>3.9525487762962999</v>
      </c>
      <c r="AL92" s="4">
        <v>3.7977401943703701</v>
      </c>
      <c r="AM92" s="4">
        <v>3.6292912672592599</v>
      </c>
      <c r="AN92" s="4">
        <v>3.74992115348148</v>
      </c>
      <c r="AO92" s="4">
        <v>3.5041244891851901</v>
      </c>
      <c r="AP92" s="4">
        <v>3.5639656992592599</v>
      </c>
      <c r="AQ92" s="4">
        <v>3.7426402491851798</v>
      </c>
      <c r="AR92" s="4">
        <v>3.9957249691851802</v>
      </c>
      <c r="AS92" s="4">
        <v>3.87251419022222</v>
      </c>
      <c r="AT92" s="4">
        <v>3.7932520722962999</v>
      </c>
      <c r="AU92" s="4">
        <v>3.89606415644444</v>
      </c>
      <c r="AV92" s="4">
        <v>3.31448585688889</v>
      </c>
      <c r="AW92" s="4">
        <v>2.9299838399999998</v>
      </c>
    </row>
    <row r="93" spans="1:49" x14ac:dyDescent="0.25">
      <c r="A93" s="4" t="s">
        <v>225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</row>
    <row r="94" spans="1:49" x14ac:dyDescent="0.25">
      <c r="A94" s="4" t="s">
        <v>226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</row>
    <row r="95" spans="1:49" x14ac:dyDescent="0.25">
      <c r="A95" s="4" t="s">
        <v>227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3.5630402764444402</v>
      </c>
      <c r="AA95" s="4">
        <v>3.38052307496296</v>
      </c>
      <c r="AB95" s="4">
        <v>3.3465357727407401</v>
      </c>
      <c r="AC95" s="4">
        <v>3.3139672823703701</v>
      </c>
      <c r="AD95" s="4">
        <v>3.25901790874074</v>
      </c>
      <c r="AE95" s="4">
        <v>3.752154896</v>
      </c>
      <c r="AF95" s="4">
        <v>4.0253910480000004</v>
      </c>
      <c r="AG95" s="4">
        <v>4.8643137054814796</v>
      </c>
      <c r="AH95" s="4">
        <v>5.5439850189629603</v>
      </c>
      <c r="AI95" s="4">
        <v>5.33418336681481</v>
      </c>
      <c r="AJ95" s="4">
        <v>5.88965419259259</v>
      </c>
      <c r="AK95" s="4">
        <v>5.5397440684444499</v>
      </c>
      <c r="AL95" s="4">
        <v>5.1412128983703704</v>
      </c>
      <c r="AM95" s="4">
        <v>5.0207445514074101</v>
      </c>
      <c r="AN95" s="4">
        <v>5.1646305303703697</v>
      </c>
      <c r="AO95" s="4">
        <v>4.9946290737777801</v>
      </c>
      <c r="AP95" s="4">
        <v>4.8705385970370401</v>
      </c>
      <c r="AQ95" s="4">
        <v>5.2619339277036996</v>
      </c>
      <c r="AR95" s="4">
        <v>5.36348039525926</v>
      </c>
      <c r="AS95" s="4">
        <v>5.5159491042962996</v>
      </c>
      <c r="AT95" s="4">
        <v>5.1727932542222197</v>
      </c>
      <c r="AU95" s="4">
        <v>4.8268371220740702</v>
      </c>
      <c r="AV95" s="4">
        <v>4.44968354340741</v>
      </c>
      <c r="AW95" s="4">
        <v>3.7902115315555598</v>
      </c>
    </row>
    <row r="96" spans="1:49" x14ac:dyDescent="0.25">
      <c r="A96" s="4" t="s">
        <v>228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2.5849217125925898</v>
      </c>
      <c r="AA96" s="4">
        <v>2.5888796411851902</v>
      </c>
      <c r="AB96" s="4">
        <v>2.5952290352592602</v>
      </c>
      <c r="AC96" s="4">
        <v>2.2994537357036999</v>
      </c>
      <c r="AD96" s="4">
        <v>2.4982491125925899</v>
      </c>
      <c r="AE96" s="4">
        <v>2.7183541528888902</v>
      </c>
      <c r="AF96" s="4">
        <v>2.96426339377778</v>
      </c>
      <c r="AG96" s="4">
        <v>3.4101789265185198</v>
      </c>
      <c r="AH96" s="4">
        <v>3.8646506660740698</v>
      </c>
      <c r="AI96" s="4">
        <v>4.1186760574814798</v>
      </c>
      <c r="AJ96" s="4">
        <v>4.0821488151111103</v>
      </c>
      <c r="AK96" s="4">
        <v>4.0266367866666704</v>
      </c>
      <c r="AL96" s="4">
        <v>3.8706080808888901</v>
      </c>
      <c r="AM96" s="4">
        <v>3.7897134634074101</v>
      </c>
      <c r="AN96" s="4">
        <v>3.7309929045925898</v>
      </c>
      <c r="AO96" s="4">
        <v>3.5005958213333299</v>
      </c>
      <c r="AP96" s="4">
        <v>3.5934738352592599</v>
      </c>
      <c r="AQ96" s="4">
        <v>3.66263039851852</v>
      </c>
      <c r="AR96" s="4">
        <v>4.0908944844444397</v>
      </c>
      <c r="AS96" s="4">
        <v>3.8698285442963001</v>
      </c>
      <c r="AT96" s="4">
        <v>4.1409345931851904</v>
      </c>
      <c r="AU96" s="4">
        <v>3.8143997214814802</v>
      </c>
      <c r="AV96" s="4">
        <v>3.1694903250370401</v>
      </c>
      <c r="AW96" s="4">
        <v>2.9433187674074102</v>
      </c>
    </row>
    <row r="97" spans="1:49" x14ac:dyDescent="0.25">
      <c r="A97" s="4" t="s">
        <v>229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4.1658987087407402</v>
      </c>
      <c r="AA97" s="4">
        <v>4.37017618281482</v>
      </c>
      <c r="AB97" s="4">
        <v>3.9820596521481502</v>
      </c>
      <c r="AC97" s="4">
        <v>3.9390963339259302</v>
      </c>
      <c r="AD97" s="4">
        <v>3.8320960554074102</v>
      </c>
      <c r="AE97" s="4">
        <v>4.5463988515555602</v>
      </c>
      <c r="AF97" s="4">
        <v>4.8573598411851799</v>
      </c>
      <c r="AG97" s="4">
        <v>5.5003966391111101</v>
      </c>
      <c r="AH97" s="4">
        <v>6.5336513946666699</v>
      </c>
      <c r="AI97" s="4">
        <v>6.5542807783703703</v>
      </c>
      <c r="AJ97" s="4">
        <v>6.4415749626666701</v>
      </c>
      <c r="AK97" s="4">
        <v>6.8459196731851799</v>
      </c>
      <c r="AL97" s="4">
        <v>6.1276606802962998</v>
      </c>
      <c r="AM97" s="4">
        <v>6.2835887416296297</v>
      </c>
      <c r="AN97" s="4">
        <v>6.1286174610370399</v>
      </c>
      <c r="AO97" s="4">
        <v>5.8414622891851797</v>
      </c>
      <c r="AP97" s="4">
        <v>6.2507106666666701</v>
      </c>
      <c r="AQ97" s="4">
        <v>6.4273470240000004</v>
      </c>
      <c r="AR97" s="4">
        <v>6.6502191611851798</v>
      </c>
      <c r="AS97" s="4">
        <v>6.34237463377778</v>
      </c>
      <c r="AT97" s="4">
        <v>6.4589606708148199</v>
      </c>
      <c r="AU97" s="4">
        <v>6.0848196951111104</v>
      </c>
      <c r="AV97" s="4">
        <v>5.4716712545185198</v>
      </c>
      <c r="AW97" s="4">
        <v>4.6572236210370397</v>
      </c>
    </row>
    <row r="98" spans="1:49" x14ac:dyDescent="0.25">
      <c r="A98" s="4" t="s">
        <v>230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1.39133561777778</v>
      </c>
      <c r="AA98" s="4">
        <v>1.3724315194074099</v>
      </c>
      <c r="AB98" s="4">
        <v>1.2808432269629599</v>
      </c>
      <c r="AC98" s="4">
        <v>1.28564886903704</v>
      </c>
      <c r="AD98" s="4">
        <v>1.1916765819259301</v>
      </c>
      <c r="AE98" s="4">
        <v>1.34918665362963</v>
      </c>
      <c r="AF98" s="4">
        <v>1.48978956</v>
      </c>
      <c r="AG98" s="4">
        <v>1.81167818844444</v>
      </c>
      <c r="AH98" s="4">
        <v>1.9185326284444399</v>
      </c>
      <c r="AI98" s="4">
        <v>2.1916379685925902</v>
      </c>
      <c r="AJ98" s="4">
        <v>2.1850618325925901</v>
      </c>
      <c r="AK98" s="4">
        <v>2.112941824</v>
      </c>
      <c r="AL98" s="4">
        <v>1.9235817730370399</v>
      </c>
      <c r="AM98" s="4">
        <v>1.99421970844444</v>
      </c>
      <c r="AN98" s="4">
        <v>1.88353071407407</v>
      </c>
      <c r="AO98" s="4">
        <v>1.8444073842963</v>
      </c>
      <c r="AP98" s="4">
        <v>1.94631868977778</v>
      </c>
      <c r="AQ98" s="4">
        <v>1.9234840758518501</v>
      </c>
      <c r="AR98" s="4">
        <v>2.12678696948148</v>
      </c>
      <c r="AS98" s="4">
        <v>2.06860425540741</v>
      </c>
      <c r="AT98" s="4">
        <v>1.9705547576296301</v>
      </c>
      <c r="AU98" s="4">
        <v>1.9835314737777801</v>
      </c>
      <c r="AV98" s="4">
        <v>1.6693280239999999</v>
      </c>
      <c r="AW98" s="4">
        <v>1.5017113253333301</v>
      </c>
    </row>
    <row r="99" spans="1:49" x14ac:dyDescent="0.25">
      <c r="A99" s="4" t="s">
        <v>231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</row>
    <row r="100" spans="1:49" x14ac:dyDescent="0.25">
      <c r="A100" s="4" t="s">
        <v>232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4.59046232296296</v>
      </c>
      <c r="AA100" s="4">
        <v>4.5240892210370403</v>
      </c>
      <c r="AB100" s="4">
        <v>4.2572352791111099</v>
      </c>
      <c r="AC100" s="4">
        <v>4.0895216382222204</v>
      </c>
      <c r="AD100" s="4">
        <v>4.2720070005925903</v>
      </c>
      <c r="AE100" s="4">
        <v>4.4933370865185198</v>
      </c>
      <c r="AF100" s="4">
        <v>5.1329552068148097</v>
      </c>
      <c r="AG100" s="4">
        <v>5.9481652719999998</v>
      </c>
      <c r="AH100" s="4">
        <v>6.5936929125925898</v>
      </c>
      <c r="AI100" s="4">
        <v>6.7598272497777803</v>
      </c>
      <c r="AJ100" s="4">
        <v>6.9265120337777804</v>
      </c>
      <c r="AK100" s="4">
        <v>7.2643173348148098</v>
      </c>
      <c r="AL100" s="4">
        <v>6.8869997010370403</v>
      </c>
      <c r="AM100" s="4">
        <v>6.56349046992593</v>
      </c>
      <c r="AN100" s="4">
        <v>6.4640472897777803</v>
      </c>
      <c r="AO100" s="4">
        <v>6.51778644118518</v>
      </c>
      <c r="AP100" s="4">
        <v>6.2205957893333297</v>
      </c>
      <c r="AQ100" s="4">
        <v>6.4825682402962901</v>
      </c>
      <c r="AR100" s="4">
        <v>6.49980989155556</v>
      </c>
      <c r="AS100" s="4">
        <v>7.1012677679999996</v>
      </c>
      <c r="AT100" s="4">
        <v>6.7381812047407399</v>
      </c>
      <c r="AU100" s="4">
        <v>6.2179624474074098</v>
      </c>
      <c r="AV100" s="4">
        <v>5.8190677315555597</v>
      </c>
      <c r="AW100" s="4">
        <v>4.7497481048888899</v>
      </c>
    </row>
    <row r="101" spans="1:49" x14ac:dyDescent="0.25">
      <c r="A101" s="4" t="s">
        <v>233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2.4497374242963001</v>
      </c>
      <c r="AA101" s="4">
        <v>2.33405547407407</v>
      </c>
      <c r="AB101" s="4">
        <v>2.2524946681481501</v>
      </c>
      <c r="AC101" s="4">
        <v>2.3363275537777799</v>
      </c>
      <c r="AD101" s="4">
        <v>2.3472828773333299</v>
      </c>
      <c r="AE101" s="4">
        <v>2.48792841214815</v>
      </c>
      <c r="AF101" s="4">
        <v>2.7490464462222199</v>
      </c>
      <c r="AG101" s="4">
        <v>3.2232415288888898</v>
      </c>
      <c r="AH101" s="4">
        <v>3.8348446494814801</v>
      </c>
      <c r="AI101" s="4">
        <v>3.9980629940740702</v>
      </c>
      <c r="AJ101" s="4">
        <v>3.8560405250370402</v>
      </c>
      <c r="AK101" s="4">
        <v>3.6873557736296299</v>
      </c>
      <c r="AL101" s="4">
        <v>3.5569724358518502</v>
      </c>
      <c r="AM101" s="4">
        <v>3.3947856755555601</v>
      </c>
      <c r="AN101" s="4">
        <v>3.6481911925925901</v>
      </c>
      <c r="AO101" s="4">
        <v>3.3246485419259302</v>
      </c>
      <c r="AP101" s="4">
        <v>3.4302821674074102</v>
      </c>
      <c r="AQ101" s="4">
        <v>3.6794623745185202</v>
      </c>
      <c r="AR101" s="4">
        <v>3.8643895297777799</v>
      </c>
      <c r="AS101" s="4">
        <v>3.7145395300740698</v>
      </c>
      <c r="AT101" s="4">
        <v>3.62093449511111</v>
      </c>
      <c r="AU101" s="4">
        <v>3.3289354850370398</v>
      </c>
      <c r="AV101" s="4">
        <v>3.0767724047407401</v>
      </c>
      <c r="AW101" s="4">
        <v>2.7922082388148102</v>
      </c>
    </row>
    <row r="102" spans="1:49" x14ac:dyDescent="0.25">
      <c r="A102" s="4" t="s">
        <v>234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1.67131687851852</v>
      </c>
      <c r="AA102" s="4">
        <v>1.762894</v>
      </c>
      <c r="AB102" s="4">
        <v>1.5900761229629601</v>
      </c>
      <c r="AC102" s="4">
        <v>1.62713597096296</v>
      </c>
      <c r="AD102" s="4">
        <v>1.6703342693333301</v>
      </c>
      <c r="AE102" s="4">
        <v>1.8140282782222199</v>
      </c>
      <c r="AF102" s="4">
        <v>1.8697039282962999</v>
      </c>
      <c r="AG102" s="4">
        <v>2.36604477511111</v>
      </c>
      <c r="AH102" s="4">
        <v>2.7117080231111101</v>
      </c>
      <c r="AI102" s="4">
        <v>2.7836121786666701</v>
      </c>
      <c r="AJ102" s="4">
        <v>2.7612429600000001</v>
      </c>
      <c r="AK102" s="4">
        <v>2.569853664</v>
      </c>
      <c r="AL102" s="4">
        <v>2.5938922488888898</v>
      </c>
      <c r="AM102" s="4">
        <v>2.50829322074074</v>
      </c>
      <c r="AN102" s="4">
        <v>2.4613133440000001</v>
      </c>
      <c r="AO102" s="4">
        <v>2.5022669591111102</v>
      </c>
      <c r="AP102" s="4">
        <v>2.34317230518519</v>
      </c>
      <c r="AQ102" s="4">
        <v>2.49152862311111</v>
      </c>
      <c r="AR102" s="4">
        <v>2.7096969739259298</v>
      </c>
      <c r="AS102" s="4">
        <v>2.6249540613333302</v>
      </c>
      <c r="AT102" s="4">
        <v>2.7196235650370402</v>
      </c>
      <c r="AU102" s="4">
        <v>2.5777028397036998</v>
      </c>
      <c r="AV102" s="4">
        <v>2.1194198874074099</v>
      </c>
      <c r="AW102" s="4">
        <v>1.8357239226666699</v>
      </c>
    </row>
    <row r="103" spans="1:49" x14ac:dyDescent="0.25">
      <c r="A103" s="4" t="s">
        <v>235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</row>
    <row r="104" spans="1:49" x14ac:dyDescent="0.25">
      <c r="A104" s="4" t="s">
        <v>236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</row>
    <row r="105" spans="1:49" x14ac:dyDescent="0.25">
      <c r="A105" s="4" t="s">
        <v>237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</row>
    <row r="106" spans="1:49" x14ac:dyDescent="0.25">
      <c r="A106" s="4" t="s">
        <v>238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</row>
    <row r="107" spans="1:49" x14ac:dyDescent="0.25">
      <c r="A107" s="4" t="s">
        <v>239</v>
      </c>
      <c r="B107" s="4">
        <v>0.1161726008</v>
      </c>
      <c r="C107" s="4">
        <v>9.3199153199999996E-2</v>
      </c>
      <c r="D107" s="4">
        <v>0.87528520440000002</v>
      </c>
      <c r="E107" s="4">
        <v>0.2614955772</v>
      </c>
      <c r="F107" s="4">
        <v>0.36451636879999999</v>
      </c>
      <c r="G107" s="4">
        <v>0.40891880959999999</v>
      </c>
      <c r="H107" s="4">
        <v>0.33705469319999998</v>
      </c>
      <c r="I107" s="4">
        <v>0.32296954760000002</v>
      </c>
      <c r="J107" s="4">
        <v>1.0504268400000001E-2</v>
      </c>
      <c r="K107" s="4">
        <v>7.0367964000000005E-2</v>
      </c>
      <c r="L107" s="4">
        <v>0.1053765384</v>
      </c>
      <c r="M107" s="4">
        <v>0.19154125320000001</v>
      </c>
      <c r="N107" s="4">
        <v>0.1471515172</v>
      </c>
      <c r="O107" s="4">
        <v>8.1211573600000003E-2</v>
      </c>
      <c r="P107" s="4">
        <v>0</v>
      </c>
      <c r="Q107" s="4">
        <v>1.6810423999999999E-3</v>
      </c>
      <c r="R107" s="4">
        <v>8.1826108000000002E-3</v>
      </c>
      <c r="S107" s="4">
        <v>1.8843315999999999E-2</v>
      </c>
      <c r="T107" s="4">
        <v>6.64897604E-2</v>
      </c>
      <c r="U107" s="4">
        <v>6.1736329200000002E-2</v>
      </c>
      <c r="V107" s="4">
        <v>6.5786180400000005E-2</v>
      </c>
      <c r="W107" s="4">
        <v>4.52730524E-2</v>
      </c>
      <c r="X107" s="4">
        <v>5.0895160000000002E-2</v>
      </c>
      <c r="Y107" s="4">
        <v>7.7616198799999994E-2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</row>
    <row r="108" spans="1:49" x14ac:dyDescent="0.25">
      <c r="A108" s="4" t="s">
        <v>240</v>
      </c>
      <c r="B108" s="4">
        <v>5.2542571666666697E-2</v>
      </c>
      <c r="C108" s="4">
        <v>6.5825196666666697E-2</v>
      </c>
      <c r="D108" s="4">
        <v>3.6957614666666701E-2</v>
      </c>
      <c r="E108" s="4">
        <v>0.45282273116666699</v>
      </c>
      <c r="F108" s="4">
        <v>0.440946165</v>
      </c>
      <c r="G108" s="4">
        <v>0.498888768166667</v>
      </c>
      <c r="H108" s="4">
        <v>0.36277776</v>
      </c>
      <c r="I108" s="4">
        <v>0.405154457333333</v>
      </c>
      <c r="J108" s="4">
        <v>0.38818360299999999</v>
      </c>
      <c r="K108" s="4">
        <v>0.35321245416666702</v>
      </c>
      <c r="L108" s="4">
        <v>0.31567938950000002</v>
      </c>
      <c r="M108" s="4">
        <v>0.248241828</v>
      </c>
      <c r="N108" s="4">
        <v>0.26617306866666701</v>
      </c>
      <c r="O108" s="4">
        <v>0.193568216833333</v>
      </c>
      <c r="P108" s="4">
        <v>8.9761303833333306E-2</v>
      </c>
      <c r="Q108" s="4">
        <v>7.1973925999999994E-2</v>
      </c>
      <c r="R108" s="4">
        <v>0.10454113466666699</v>
      </c>
      <c r="S108" s="4">
        <v>5.8003351166666703E-2</v>
      </c>
      <c r="T108" s="4">
        <v>4.5718681166666698E-2</v>
      </c>
      <c r="U108" s="4">
        <v>1.91095841666667E-2</v>
      </c>
      <c r="V108" s="4">
        <v>0.54818730800000004</v>
      </c>
      <c r="W108" s="4">
        <v>0.31426671116666699</v>
      </c>
      <c r="X108" s="4">
        <v>3.7053751000000003E-2</v>
      </c>
      <c r="Y108" s="4">
        <v>2.13263223333333E-2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</row>
    <row r="109" spans="1:49" x14ac:dyDescent="0.25">
      <c r="A109" s="4" t="s">
        <v>241</v>
      </c>
      <c r="B109" s="4">
        <v>2.8067305166666699E-2</v>
      </c>
      <c r="C109" s="4">
        <v>0.26739448316666697</v>
      </c>
      <c r="D109" s="4">
        <v>0.221838270333333</v>
      </c>
      <c r="E109" s="4">
        <v>0.199282364166667</v>
      </c>
      <c r="F109" s="4">
        <v>9.1562339000000006E-2</v>
      </c>
      <c r="G109" s="4">
        <v>3.93519861666667E-2</v>
      </c>
      <c r="H109" s="4">
        <v>9.8084073833333299E-2</v>
      </c>
      <c r="I109" s="4">
        <v>0.131020187833333</v>
      </c>
      <c r="J109" s="4">
        <v>7.8488554333333294E-2</v>
      </c>
      <c r="K109" s="4">
        <v>0.24197505</v>
      </c>
      <c r="L109" s="4">
        <v>0.21892996549999999</v>
      </c>
      <c r="M109" s="4">
        <v>0.23699758433333301</v>
      </c>
      <c r="N109" s="4">
        <v>0.24428799233333301</v>
      </c>
      <c r="O109" s="4">
        <v>6.6254931500000003E-2</v>
      </c>
      <c r="P109" s="4">
        <v>1.46779868333333E-2</v>
      </c>
      <c r="Q109" s="4">
        <v>1.7134109000000002E-2</v>
      </c>
      <c r="R109" s="4">
        <v>5.30114421666667E-2</v>
      </c>
      <c r="S109" s="4">
        <v>7.3511895166666702E-2</v>
      </c>
      <c r="T109" s="4">
        <v>7.0608009666666693E-2</v>
      </c>
      <c r="U109" s="4">
        <v>6.4929945833333294E-2</v>
      </c>
      <c r="V109" s="4">
        <v>3.8148807333333298E-2</v>
      </c>
      <c r="W109" s="4">
        <v>4.9972074666666699E-2</v>
      </c>
      <c r="X109" s="4">
        <v>3.1975455E-2</v>
      </c>
      <c r="Y109" s="4">
        <v>0.11396271550000001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</row>
    <row r="110" spans="1:49" x14ac:dyDescent="0.25">
      <c r="A110" s="4" t="s">
        <v>242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1.37115711288889</v>
      </c>
      <c r="AA110" s="4">
        <v>1.3162437742222199</v>
      </c>
      <c r="AB110" s="4">
        <v>1.20515947585185</v>
      </c>
      <c r="AC110" s="4">
        <v>1.2300000263703701</v>
      </c>
      <c r="AD110" s="4">
        <v>1.2234826820740701</v>
      </c>
      <c r="AE110" s="4">
        <v>1.40361357422222</v>
      </c>
      <c r="AF110" s="4">
        <v>1.5154022281481501</v>
      </c>
      <c r="AG110" s="4">
        <v>1.7872265807407399</v>
      </c>
      <c r="AH110" s="4">
        <v>1.98996613303704</v>
      </c>
      <c r="AI110" s="4">
        <v>2.0220057842963</v>
      </c>
      <c r="AJ110" s="4">
        <v>2.1385634562962998</v>
      </c>
      <c r="AK110" s="4">
        <v>2.1824457842962999</v>
      </c>
      <c r="AL110" s="4">
        <v>1.94135628088889</v>
      </c>
      <c r="AM110" s="4">
        <v>2.0183410032592599</v>
      </c>
      <c r="AN110" s="4">
        <v>1.93518440266667</v>
      </c>
      <c r="AO110" s="4">
        <v>1.8097022180740701</v>
      </c>
      <c r="AP110" s="4">
        <v>1.8122603457777799</v>
      </c>
      <c r="AQ110" s="4">
        <v>1.9847722160000001</v>
      </c>
      <c r="AR110" s="4">
        <v>2.0298720337777798</v>
      </c>
      <c r="AS110" s="4">
        <v>2.0184449392592598</v>
      </c>
      <c r="AT110" s="4">
        <v>1.9685780634074099</v>
      </c>
      <c r="AU110" s="4">
        <v>1.8942934536296301</v>
      </c>
      <c r="AV110" s="4">
        <v>1.66763319851852</v>
      </c>
      <c r="AW110" s="4">
        <v>1.5162428400000001</v>
      </c>
    </row>
    <row r="111" spans="1:49" x14ac:dyDescent="0.25">
      <c r="A111" s="4" t="s">
        <v>243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1.20982639762963</v>
      </c>
      <c r="AA111" s="4">
        <v>1.2192207481481501</v>
      </c>
      <c r="AB111" s="4">
        <v>1.17944033303704</v>
      </c>
      <c r="AC111" s="4">
        <v>1.1277315383703701</v>
      </c>
      <c r="AD111" s="4">
        <v>1.10872173896296</v>
      </c>
      <c r="AE111" s="4">
        <v>1.2432289105185199</v>
      </c>
      <c r="AF111" s="4">
        <v>1.37772849718519</v>
      </c>
      <c r="AG111" s="4">
        <v>1.5363124186666699</v>
      </c>
      <c r="AH111" s="4">
        <v>1.84811658785185</v>
      </c>
      <c r="AI111" s="4">
        <v>1.7747300562963</v>
      </c>
      <c r="AJ111" s="4">
        <v>1.9280150047407401</v>
      </c>
      <c r="AK111" s="4">
        <v>1.94235667318519</v>
      </c>
      <c r="AL111" s="4">
        <v>1.7488623122963001</v>
      </c>
      <c r="AM111" s="4">
        <v>1.6655704551111099</v>
      </c>
      <c r="AN111" s="4">
        <v>1.6728214077037</v>
      </c>
      <c r="AO111" s="4">
        <v>1.59507455644444</v>
      </c>
      <c r="AP111" s="4">
        <v>1.7659733134814799</v>
      </c>
      <c r="AQ111" s="4">
        <v>1.797257672</v>
      </c>
      <c r="AR111" s="4">
        <v>1.7993585078518499</v>
      </c>
      <c r="AS111" s="4">
        <v>1.75953632711111</v>
      </c>
      <c r="AT111" s="4">
        <v>1.82111419051852</v>
      </c>
      <c r="AU111" s="4">
        <v>1.6751438189629599</v>
      </c>
      <c r="AV111" s="4">
        <v>1.51924297155556</v>
      </c>
      <c r="AW111" s="4">
        <v>1.34238529392593</v>
      </c>
    </row>
    <row r="112" spans="1:49" x14ac:dyDescent="0.25">
      <c r="A112" s="4" t="s">
        <v>244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2.1161145537777801</v>
      </c>
      <c r="AA112" s="4">
        <v>2.2680872728888901</v>
      </c>
      <c r="AB112" s="4">
        <v>2.1815783297777802</v>
      </c>
      <c r="AC112" s="4">
        <v>1.97188798903704</v>
      </c>
      <c r="AD112" s="4">
        <v>2.0657984604444399</v>
      </c>
      <c r="AE112" s="4">
        <v>2.2440879004444398</v>
      </c>
      <c r="AF112" s="4">
        <v>2.4709636539259301</v>
      </c>
      <c r="AG112" s="4">
        <v>2.9877301045925901</v>
      </c>
      <c r="AH112" s="4">
        <v>3.2334365611851799</v>
      </c>
      <c r="AI112" s="4">
        <v>3.6255872385185199</v>
      </c>
      <c r="AJ112" s="4">
        <v>3.55036306903704</v>
      </c>
      <c r="AK112" s="4">
        <v>3.3328826595555601</v>
      </c>
      <c r="AL112" s="4">
        <v>3.3476067644444401</v>
      </c>
      <c r="AM112" s="4">
        <v>3.2040177348148098</v>
      </c>
      <c r="AN112" s="4">
        <v>3.0781245869629599</v>
      </c>
      <c r="AO112" s="4">
        <v>3.2069889040000001</v>
      </c>
      <c r="AP112" s="4">
        <v>3.0560755949629601</v>
      </c>
      <c r="AQ112" s="4">
        <v>3.0556821887407399</v>
      </c>
      <c r="AR112" s="4">
        <v>3.1934714456296298</v>
      </c>
      <c r="AS112" s="4">
        <v>3.4136699789629601</v>
      </c>
      <c r="AT112" s="4">
        <v>3.4045882266666698</v>
      </c>
      <c r="AU112" s="4">
        <v>3.2294055111111102</v>
      </c>
      <c r="AV112" s="4">
        <v>2.68306173333333</v>
      </c>
      <c r="AW112" s="4">
        <v>2.4531347804444401</v>
      </c>
    </row>
    <row r="113" spans="1:49" x14ac:dyDescent="0.25">
      <c r="A113" s="4" t="s">
        <v>245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0.898057637037037</v>
      </c>
      <c r="AA113" s="4">
        <v>0.893908503703704</v>
      </c>
      <c r="AB113" s="4">
        <v>0.86852814222222197</v>
      </c>
      <c r="AC113" s="4">
        <v>0.81864031614814803</v>
      </c>
      <c r="AD113" s="4">
        <v>0.87741623822222203</v>
      </c>
      <c r="AE113" s="4">
        <v>0.89098567496296299</v>
      </c>
      <c r="AF113" s="4">
        <v>1.0589879709629599</v>
      </c>
      <c r="AG113" s="4">
        <v>1.173720184</v>
      </c>
      <c r="AH113" s="4">
        <v>1.4107815244444399</v>
      </c>
      <c r="AI113" s="4">
        <v>1.44283014814815</v>
      </c>
      <c r="AJ113" s="4">
        <v>1.45670589037037</v>
      </c>
      <c r="AK113" s="4">
        <v>1.3626036231111101</v>
      </c>
      <c r="AL113" s="4">
        <v>1.39762618074074</v>
      </c>
      <c r="AM113" s="4">
        <v>1.32279837096296</v>
      </c>
      <c r="AN113" s="4">
        <v>1.3529680764444401</v>
      </c>
      <c r="AO113" s="4">
        <v>1.21802752088889</v>
      </c>
      <c r="AP113" s="4">
        <v>1.3206402719999999</v>
      </c>
      <c r="AQ113" s="4">
        <v>1.26135409659259</v>
      </c>
      <c r="AR113" s="4">
        <v>1.4192810322963001</v>
      </c>
      <c r="AS113" s="4">
        <v>1.48162604385185</v>
      </c>
      <c r="AT113" s="4">
        <v>1.32603166577778</v>
      </c>
      <c r="AU113" s="4">
        <v>1.2458194871111099</v>
      </c>
      <c r="AV113" s="4">
        <v>1.20005473985185</v>
      </c>
      <c r="AW113" s="4">
        <v>1.0083207845925899</v>
      </c>
    </row>
    <row r="114" spans="1:49" x14ac:dyDescent="0.25">
      <c r="A114" s="4" t="s">
        <v>246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0.87165320148148095</v>
      </c>
      <c r="AA114" s="4">
        <v>0.86088259703703696</v>
      </c>
      <c r="AB114" s="4">
        <v>0.79651846400000004</v>
      </c>
      <c r="AC114" s="4">
        <v>0.83330080503703696</v>
      </c>
      <c r="AD114" s="4">
        <v>0.85532250429629597</v>
      </c>
      <c r="AE114" s="4">
        <v>0.88229923288888901</v>
      </c>
      <c r="AF114" s="4">
        <v>1.00436938103704</v>
      </c>
      <c r="AG114" s="4">
        <v>1.19027560918519</v>
      </c>
      <c r="AH114" s="4">
        <v>1.3318739902222201</v>
      </c>
      <c r="AI114" s="4">
        <v>1.41060846785185</v>
      </c>
      <c r="AJ114" s="4">
        <v>1.3582059783703699</v>
      </c>
      <c r="AK114" s="4">
        <v>1.30989032118519</v>
      </c>
      <c r="AL114" s="4">
        <v>1.26551607051852</v>
      </c>
      <c r="AM114" s="4">
        <v>1.2402660542222199</v>
      </c>
      <c r="AN114" s="4">
        <v>1.2496520482963001</v>
      </c>
      <c r="AO114" s="4">
        <v>1.2592914693333299</v>
      </c>
      <c r="AP114" s="4">
        <v>1.30479695525926</v>
      </c>
      <c r="AQ114" s="4">
        <v>1.25627661392593</v>
      </c>
      <c r="AR114" s="4">
        <v>1.3196123194074101</v>
      </c>
      <c r="AS114" s="4">
        <v>1.32377786488889</v>
      </c>
      <c r="AT114" s="4">
        <v>1.3653037751111099</v>
      </c>
      <c r="AU114" s="4">
        <v>1.2954819442962999</v>
      </c>
      <c r="AV114" s="4">
        <v>1.1014187437037</v>
      </c>
      <c r="AW114" s="4">
        <v>1.0044493863703701</v>
      </c>
    </row>
    <row r="115" spans="1:49" x14ac:dyDescent="0.25">
      <c r="A115" s="4" t="s">
        <v>247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1.69003052503704</v>
      </c>
      <c r="AA115" s="4">
        <v>1.67556080533333</v>
      </c>
      <c r="AB115" s="4">
        <v>1.52617229748148</v>
      </c>
      <c r="AC115" s="4">
        <v>1.6011082847407401</v>
      </c>
      <c r="AD115" s="4">
        <v>1.4991314530370401</v>
      </c>
      <c r="AE115" s="4">
        <v>1.6529883377777801</v>
      </c>
      <c r="AF115" s="4">
        <v>1.9433398050370401</v>
      </c>
      <c r="AG115" s="4">
        <v>2.1635864174814801</v>
      </c>
      <c r="AH115" s="4">
        <v>2.54954995140741</v>
      </c>
      <c r="AI115" s="4">
        <v>2.5590344888888898</v>
      </c>
      <c r="AJ115" s="4">
        <v>2.6413107404444398</v>
      </c>
      <c r="AK115" s="4">
        <v>2.6168127191111101</v>
      </c>
      <c r="AL115" s="4">
        <v>2.5805046254814799</v>
      </c>
      <c r="AM115" s="4">
        <v>2.5573125863703701</v>
      </c>
      <c r="AN115" s="4">
        <v>2.4254909860740699</v>
      </c>
      <c r="AO115" s="4">
        <v>2.3575602171851902</v>
      </c>
      <c r="AP115" s="4">
        <v>2.3690816488888902</v>
      </c>
      <c r="AQ115" s="4">
        <v>2.3442689967407402</v>
      </c>
      <c r="AR115" s="4">
        <v>2.6818729508148098</v>
      </c>
      <c r="AS115" s="4">
        <v>2.67780594874074</v>
      </c>
      <c r="AT115" s="4">
        <v>2.54383477807407</v>
      </c>
      <c r="AU115" s="4">
        <v>2.3988504607407402</v>
      </c>
      <c r="AV115" s="4">
        <v>2.1928284414814798</v>
      </c>
      <c r="AW115" s="4">
        <v>1.7755147200000001</v>
      </c>
    </row>
    <row r="116" spans="1:49" x14ac:dyDescent="0.25">
      <c r="A116" s="4" t="s">
        <v>248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1.4798084414814801</v>
      </c>
      <c r="AA116" s="4">
        <v>1.5060459804444399</v>
      </c>
      <c r="AB116" s="4">
        <v>1.4620301401481499</v>
      </c>
      <c r="AC116" s="4">
        <v>1.3976893217777799</v>
      </c>
      <c r="AD116" s="4">
        <v>1.39489081925926</v>
      </c>
      <c r="AE116" s="4">
        <v>1.5261764456296301</v>
      </c>
      <c r="AF116" s="4">
        <v>1.78402346577778</v>
      </c>
      <c r="AG116" s="4">
        <v>2.0589210589629601</v>
      </c>
      <c r="AH116" s="4">
        <v>2.3308595291851901</v>
      </c>
      <c r="AI116" s="4">
        <v>2.45951190281481</v>
      </c>
      <c r="AJ116" s="4">
        <v>2.3704691028148099</v>
      </c>
      <c r="AK116" s="4">
        <v>2.3367313884444401</v>
      </c>
      <c r="AL116" s="4">
        <v>2.3731074847407401</v>
      </c>
      <c r="AM116" s="4">
        <v>2.2690638983703701</v>
      </c>
      <c r="AN116" s="4">
        <v>2.1297453063703702</v>
      </c>
      <c r="AO116" s="4">
        <v>2.2353858488888898</v>
      </c>
      <c r="AP116" s="4">
        <v>2.1038372983703701</v>
      </c>
      <c r="AQ116" s="4">
        <v>2.2158888557037</v>
      </c>
      <c r="AR116" s="4">
        <v>2.35050948948148</v>
      </c>
      <c r="AS116" s="4">
        <v>2.2871909282963001</v>
      </c>
      <c r="AT116" s="4">
        <v>2.4578508681481499</v>
      </c>
      <c r="AU116" s="4">
        <v>2.0924139662222201</v>
      </c>
      <c r="AV116" s="4">
        <v>1.9280132728888899</v>
      </c>
      <c r="AW116" s="4">
        <v>1.69202652888889</v>
      </c>
    </row>
    <row r="117" spans="1:49" x14ac:dyDescent="0.25">
      <c r="A117" s="4" t="s">
        <v>249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2.0675918438518499</v>
      </c>
      <c r="AA117" s="4">
        <v>2.0069738598518501</v>
      </c>
      <c r="AB117" s="4">
        <v>1.91955894666667</v>
      </c>
      <c r="AC117" s="4">
        <v>1.9542014260740701</v>
      </c>
      <c r="AD117" s="4">
        <v>1.9495192826666701</v>
      </c>
      <c r="AE117" s="4">
        <v>2.17370985896296</v>
      </c>
      <c r="AF117" s="4">
        <v>2.3081689949629598</v>
      </c>
      <c r="AG117" s="4">
        <v>2.74859202281481</v>
      </c>
      <c r="AH117" s="4">
        <v>3.1153224438518499</v>
      </c>
      <c r="AI117" s="4">
        <v>3.2788033724444401</v>
      </c>
      <c r="AJ117" s="4">
        <v>3.1639094791111102</v>
      </c>
      <c r="AK117" s="4">
        <v>3.2748333125925901</v>
      </c>
      <c r="AL117" s="4">
        <v>3.2242530361481498</v>
      </c>
      <c r="AM117" s="4">
        <v>3.0178753028148102</v>
      </c>
      <c r="AN117" s="4">
        <v>2.9762228471111101</v>
      </c>
      <c r="AO117" s="4">
        <v>2.8284225158518499</v>
      </c>
      <c r="AP117" s="4">
        <v>3.0559572959999999</v>
      </c>
      <c r="AQ117" s="4">
        <v>3.03739541777778</v>
      </c>
      <c r="AR117" s="4">
        <v>3.1424336761481499</v>
      </c>
      <c r="AS117" s="4">
        <v>3.2766679244444399</v>
      </c>
      <c r="AT117" s="4">
        <v>3.2157252731851802</v>
      </c>
      <c r="AU117" s="4">
        <v>2.9214697576296298</v>
      </c>
      <c r="AV117" s="4">
        <v>2.6602669623703701</v>
      </c>
      <c r="AW117" s="4">
        <v>2.3470080853333299</v>
      </c>
    </row>
    <row r="118" spans="1:49" x14ac:dyDescent="0.25">
      <c r="A118" s="4" t="s">
        <v>250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2.2113206308148201</v>
      </c>
      <c r="AA118" s="4">
        <v>2.1587655330370401</v>
      </c>
      <c r="AB118" s="4">
        <v>2.0127997949629601</v>
      </c>
      <c r="AC118" s="4">
        <v>2.0140945709629601</v>
      </c>
      <c r="AD118" s="4">
        <v>2.0002335940740701</v>
      </c>
      <c r="AE118" s="4">
        <v>2.2337443416296301</v>
      </c>
      <c r="AF118" s="4">
        <v>2.4908957712592601</v>
      </c>
      <c r="AG118" s="4">
        <v>2.8121897792592598</v>
      </c>
      <c r="AH118" s="4">
        <v>3.2869002423703702</v>
      </c>
      <c r="AI118" s="4">
        <v>3.27157009925926</v>
      </c>
      <c r="AJ118" s="4">
        <v>3.4752789928888901</v>
      </c>
      <c r="AK118" s="4">
        <v>3.35368137274074</v>
      </c>
      <c r="AL118" s="4">
        <v>3.2483039680000001</v>
      </c>
      <c r="AM118" s="4">
        <v>3.14650155555556</v>
      </c>
      <c r="AN118" s="4">
        <v>3.1437623757036999</v>
      </c>
      <c r="AO118" s="4">
        <v>2.9386598557036998</v>
      </c>
      <c r="AP118" s="4">
        <v>2.8991624770370401</v>
      </c>
      <c r="AQ118" s="4">
        <v>3.0638317442963001</v>
      </c>
      <c r="AR118" s="4">
        <v>3.2275556154074101</v>
      </c>
      <c r="AS118" s="4">
        <v>3.2688703537777801</v>
      </c>
      <c r="AT118" s="4">
        <v>3.2489617605925898</v>
      </c>
      <c r="AU118" s="4">
        <v>2.9950335167407398</v>
      </c>
      <c r="AV118" s="4">
        <v>2.70210652444444</v>
      </c>
      <c r="AW118" s="4">
        <v>2.2779506213333298</v>
      </c>
    </row>
    <row r="119" spans="1:49" x14ac:dyDescent="0.25">
      <c r="A119" s="4" t="s">
        <v>251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2.4438629973333299</v>
      </c>
      <c r="AA119" s="4">
        <v>2.22601980325926</v>
      </c>
      <c r="AB119" s="4">
        <v>2.1814451597037001</v>
      </c>
      <c r="AC119" s="4">
        <v>2.1957755493333302</v>
      </c>
      <c r="AD119" s="4">
        <v>2.29470386548148</v>
      </c>
      <c r="AE119" s="4">
        <v>2.4585378222222198</v>
      </c>
      <c r="AF119" s="4">
        <v>2.5987743143703699</v>
      </c>
      <c r="AG119" s="4">
        <v>3.2572447475555601</v>
      </c>
      <c r="AH119" s="4">
        <v>3.72442614755556</v>
      </c>
      <c r="AI119" s="4">
        <v>3.7979468157037002</v>
      </c>
      <c r="AJ119" s="4">
        <v>3.89216838162963</v>
      </c>
      <c r="AK119" s="4">
        <v>3.8365124663703698</v>
      </c>
      <c r="AL119" s="4">
        <v>3.51797172533333</v>
      </c>
      <c r="AM119" s="4">
        <v>3.3076558874074098</v>
      </c>
      <c r="AN119" s="4">
        <v>3.3672783096296302</v>
      </c>
      <c r="AO119" s="4">
        <v>3.2671284945185199</v>
      </c>
      <c r="AP119" s="4">
        <v>3.5268551837037001</v>
      </c>
      <c r="AQ119" s="4">
        <v>3.3856598222222201</v>
      </c>
      <c r="AR119" s="4">
        <v>3.72502490162963</v>
      </c>
      <c r="AS119" s="4">
        <v>3.6928427552592602</v>
      </c>
      <c r="AT119" s="4">
        <v>3.5263104260740699</v>
      </c>
      <c r="AU119" s="4">
        <v>3.5600185911111102</v>
      </c>
      <c r="AV119" s="4">
        <v>2.8872251727407399</v>
      </c>
      <c r="AW119" s="4">
        <v>2.5741752980740702</v>
      </c>
    </row>
    <row r="120" spans="1:49" x14ac:dyDescent="0.25">
      <c r="A120" s="4" t="s">
        <v>252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</row>
    <row r="121" spans="1:49" x14ac:dyDescent="0.25">
      <c r="A121" s="4" t="s">
        <v>253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</row>
    <row r="122" spans="1:49" x14ac:dyDescent="0.25">
      <c r="A122" s="4" t="s">
        <v>254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3.1083807543703701</v>
      </c>
      <c r="AA122" s="4">
        <v>3.1395499685925898</v>
      </c>
      <c r="AB122" s="4">
        <v>3.2321454044444402</v>
      </c>
      <c r="AC122" s="4">
        <v>2.8422632414814801</v>
      </c>
      <c r="AD122" s="4">
        <v>2.8967304426666698</v>
      </c>
      <c r="AE122" s="4">
        <v>3.2467988456296299</v>
      </c>
      <c r="AF122" s="4">
        <v>3.6586021256296299</v>
      </c>
      <c r="AG122" s="4">
        <v>4.4857986527407396</v>
      </c>
      <c r="AH122" s="4">
        <v>5.1119433638518501</v>
      </c>
      <c r="AI122" s="4">
        <v>4.8933044948148101</v>
      </c>
      <c r="AJ122" s="4">
        <v>5.1369166219259297</v>
      </c>
      <c r="AK122" s="4">
        <v>5.1847811514074102</v>
      </c>
      <c r="AL122" s="4">
        <v>4.6727006293333302</v>
      </c>
      <c r="AM122" s="4">
        <v>4.7382497845925897</v>
      </c>
      <c r="AN122" s="4">
        <v>4.5533322717036997</v>
      </c>
      <c r="AO122" s="4">
        <v>4.6483857487407398</v>
      </c>
      <c r="AP122" s="4">
        <v>4.77247178696296</v>
      </c>
      <c r="AQ122" s="4">
        <v>4.9668930038518502</v>
      </c>
      <c r="AR122" s="4">
        <v>4.7692383179259297</v>
      </c>
      <c r="AS122" s="4">
        <v>5.1457714373333303</v>
      </c>
      <c r="AT122" s="4">
        <v>5.1663098023703702</v>
      </c>
      <c r="AU122" s="4">
        <v>4.7123882835555602</v>
      </c>
      <c r="AV122" s="4">
        <v>4.1270282189629599</v>
      </c>
      <c r="AW122" s="4">
        <v>3.4548960651851899</v>
      </c>
    </row>
    <row r="123" spans="1:49" x14ac:dyDescent="0.25">
      <c r="A123" s="4" t="s">
        <v>255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2.4920717837036999</v>
      </c>
      <c r="AA123" s="4">
        <v>2.25830406251852</v>
      </c>
      <c r="AB123" s="4">
        <v>2.19062186103704</v>
      </c>
      <c r="AC123" s="4">
        <v>2.0836477407407399</v>
      </c>
      <c r="AD123" s="4">
        <v>2.18142364740741</v>
      </c>
      <c r="AE123" s="4">
        <v>2.46508289066667</v>
      </c>
      <c r="AF123" s="4">
        <v>2.65387503940741</v>
      </c>
      <c r="AG123" s="4">
        <v>3.2717322026666702</v>
      </c>
      <c r="AH123" s="4">
        <v>3.6895671410370401</v>
      </c>
      <c r="AI123" s="4">
        <v>3.8012123022222202</v>
      </c>
      <c r="AJ123" s="4">
        <v>3.7657321831111101</v>
      </c>
      <c r="AK123" s="4">
        <v>3.6689270924444402</v>
      </c>
      <c r="AL123" s="4">
        <v>3.3529714835555602</v>
      </c>
      <c r="AM123" s="4">
        <v>3.3144916290370401</v>
      </c>
      <c r="AN123" s="4">
        <v>3.3540386714074102</v>
      </c>
      <c r="AO123" s="4">
        <v>3.4372424447407401</v>
      </c>
      <c r="AP123" s="4">
        <v>3.2703106364444401</v>
      </c>
      <c r="AQ123" s="4">
        <v>3.37772494162963</v>
      </c>
      <c r="AR123" s="4">
        <v>3.79929981925926</v>
      </c>
      <c r="AS123" s="4">
        <v>3.6480260402962998</v>
      </c>
      <c r="AT123" s="4">
        <v>3.7720511297777799</v>
      </c>
      <c r="AU123" s="4">
        <v>3.29532042933333</v>
      </c>
      <c r="AV123" s="4">
        <v>3.1143751851851902</v>
      </c>
      <c r="AW123" s="4">
        <v>2.5553989896296301</v>
      </c>
    </row>
    <row r="124" spans="1:49" x14ac:dyDescent="0.25">
      <c r="A124" s="4" t="s">
        <v>256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3.79604384237037</v>
      </c>
      <c r="AA124" s="4">
        <v>3.9120545167407399</v>
      </c>
      <c r="AB124" s="4">
        <v>3.8150620604444399</v>
      </c>
      <c r="AC124" s="4">
        <v>3.7412014951111101</v>
      </c>
      <c r="AD124" s="4">
        <v>3.5491260186666702</v>
      </c>
      <c r="AE124" s="4">
        <v>3.8976751520000001</v>
      </c>
      <c r="AF124" s="4">
        <v>4.3279008681481503</v>
      </c>
      <c r="AG124" s="4">
        <v>5.1879634219259296</v>
      </c>
      <c r="AH124" s="4">
        <v>5.8847760284444401</v>
      </c>
      <c r="AI124" s="4">
        <v>5.7919652373333301</v>
      </c>
      <c r="AJ124" s="4">
        <v>6.37323778103704</v>
      </c>
      <c r="AK124" s="4">
        <v>5.9571182201481498</v>
      </c>
      <c r="AL124" s="4">
        <v>5.9376190699259297</v>
      </c>
      <c r="AM124" s="4">
        <v>5.7928759985185199</v>
      </c>
      <c r="AN124" s="4">
        <v>5.4120360228148101</v>
      </c>
      <c r="AO124" s="4">
        <v>5.3105796260740696</v>
      </c>
      <c r="AP124" s="4">
        <v>5.4393270918518501</v>
      </c>
      <c r="AQ124" s="4">
        <v>5.6987865407407403</v>
      </c>
      <c r="AR124" s="4">
        <v>5.9135825964444404</v>
      </c>
      <c r="AS124" s="4">
        <v>5.8642196708148102</v>
      </c>
      <c r="AT124" s="4">
        <v>5.8078243647407399</v>
      </c>
      <c r="AU124" s="4">
        <v>5.7086772856296299</v>
      </c>
      <c r="AV124" s="4">
        <v>4.6903070417777801</v>
      </c>
      <c r="AW124" s="4">
        <v>4.3291185964444399</v>
      </c>
    </row>
    <row r="125" spans="1:49" x14ac:dyDescent="0.25">
      <c r="A125" s="4" t="s">
        <v>257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1.18538125896296</v>
      </c>
      <c r="AA125" s="4">
        <v>1.1736994474074101</v>
      </c>
      <c r="AB125" s="4">
        <v>1.2070462319999999</v>
      </c>
      <c r="AC125" s="4">
        <v>1.13069830844444</v>
      </c>
      <c r="AD125" s="4">
        <v>1.1233220672592601</v>
      </c>
      <c r="AE125" s="4">
        <v>1.2728825075555601</v>
      </c>
      <c r="AF125" s="4">
        <v>1.37518012592593</v>
      </c>
      <c r="AG125" s="4">
        <v>1.6551081679999999</v>
      </c>
      <c r="AH125" s="4">
        <v>1.829258928</v>
      </c>
      <c r="AI125" s="4">
        <v>2.0015767499259298</v>
      </c>
      <c r="AJ125" s="4">
        <v>1.9556959748148099</v>
      </c>
      <c r="AK125" s="4">
        <v>1.9156080284444399</v>
      </c>
      <c r="AL125" s="4">
        <v>1.81985634548148</v>
      </c>
      <c r="AM125" s="4">
        <v>1.7890530829629601</v>
      </c>
      <c r="AN125" s="4">
        <v>1.78058941925926</v>
      </c>
      <c r="AO125" s="4">
        <v>1.66464143585185</v>
      </c>
      <c r="AP125" s="4">
        <v>1.78219384414815</v>
      </c>
      <c r="AQ125" s="4">
        <v>1.71431980948148</v>
      </c>
      <c r="AR125" s="4">
        <v>1.8742546977777801</v>
      </c>
      <c r="AS125" s="4">
        <v>1.91243531940741</v>
      </c>
      <c r="AT125" s="4">
        <v>1.83508267288889</v>
      </c>
      <c r="AU125" s="4">
        <v>1.7747872530370401</v>
      </c>
      <c r="AV125" s="4">
        <v>1.5449080204444401</v>
      </c>
      <c r="AW125" s="4">
        <v>1.3728315626666701</v>
      </c>
    </row>
    <row r="126" spans="1:49" x14ac:dyDescent="0.25">
      <c r="A126" s="4" t="s">
        <v>258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</row>
    <row r="127" spans="1:49" x14ac:dyDescent="0.25">
      <c r="A127" s="4" t="s">
        <v>259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4.01673943585185</v>
      </c>
      <c r="AA127" s="4">
        <v>4.1020186355555603</v>
      </c>
      <c r="AB127" s="4">
        <v>3.8250698619259298</v>
      </c>
      <c r="AC127" s="4">
        <v>3.8689784020740698</v>
      </c>
      <c r="AD127" s="4">
        <v>3.6899608231111101</v>
      </c>
      <c r="AE127" s="4">
        <v>4.4213592743703698</v>
      </c>
      <c r="AF127" s="4">
        <v>4.7371582014814804</v>
      </c>
      <c r="AG127" s="4">
        <v>5.7278397514074104</v>
      </c>
      <c r="AH127" s="4">
        <v>5.9477141837036998</v>
      </c>
      <c r="AI127" s="4">
        <v>6.7194070720000001</v>
      </c>
      <c r="AJ127" s="4">
        <v>6.4564611564444396</v>
      </c>
      <c r="AK127" s="4">
        <v>6.6338831834074101</v>
      </c>
      <c r="AL127" s="4">
        <v>5.94621860622222</v>
      </c>
      <c r="AM127" s="4">
        <v>6.0307688788148104</v>
      </c>
      <c r="AN127" s="4">
        <v>5.5498436228148096</v>
      </c>
      <c r="AO127" s="4">
        <v>5.5152802610370397</v>
      </c>
      <c r="AP127" s="4">
        <v>5.9292910651851898</v>
      </c>
      <c r="AQ127" s="4">
        <v>5.7640584918518503</v>
      </c>
      <c r="AR127" s="4">
        <v>6.3816871792592602</v>
      </c>
      <c r="AS127" s="4">
        <v>6.3659455605925901</v>
      </c>
      <c r="AT127" s="4">
        <v>6.2377819819259299</v>
      </c>
      <c r="AU127" s="4">
        <v>6.0930400844444401</v>
      </c>
      <c r="AV127" s="4">
        <v>5.19412060533333</v>
      </c>
      <c r="AW127" s="4">
        <v>4.6041737197036996</v>
      </c>
    </row>
    <row r="128" spans="1:49" x14ac:dyDescent="0.25">
      <c r="A128" s="4" t="s">
        <v>260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2.1972511991111099</v>
      </c>
      <c r="AA128" s="4">
        <v>2.1397470370370399</v>
      </c>
      <c r="AB128" s="4">
        <v>2.0238851090370402</v>
      </c>
      <c r="AC128" s="4">
        <v>2.0389978352592601</v>
      </c>
      <c r="AD128" s="4">
        <v>2.1446069410370399</v>
      </c>
      <c r="AE128" s="4">
        <v>2.2813068900740698</v>
      </c>
      <c r="AF128" s="4">
        <v>2.4658914165925898</v>
      </c>
      <c r="AG128" s="4">
        <v>3.1024175943703698</v>
      </c>
      <c r="AH128" s="4">
        <v>3.4895559025185201</v>
      </c>
      <c r="AI128" s="4">
        <v>3.41221982162963</v>
      </c>
      <c r="AJ128" s="4">
        <v>3.5251138740740702</v>
      </c>
      <c r="AK128" s="4">
        <v>3.3900452506666698</v>
      </c>
      <c r="AL128" s="4">
        <v>3.1374873682962998</v>
      </c>
      <c r="AM128" s="4">
        <v>3.2809377357037</v>
      </c>
      <c r="AN128" s="4">
        <v>3.2013984530370401</v>
      </c>
      <c r="AO128" s="4">
        <v>2.9832236725925898</v>
      </c>
      <c r="AP128" s="4">
        <v>3.08054580296296</v>
      </c>
      <c r="AQ128" s="4">
        <v>3.1991351840000002</v>
      </c>
      <c r="AR128" s="4">
        <v>3.53440968325926</v>
      </c>
      <c r="AS128" s="4">
        <v>3.4423251229629601</v>
      </c>
      <c r="AT128" s="4">
        <v>3.4875467697777802</v>
      </c>
      <c r="AU128" s="4">
        <v>3.1601118722963002</v>
      </c>
      <c r="AV128" s="4">
        <v>2.7990887348148101</v>
      </c>
      <c r="AW128" s="4">
        <v>2.48220230637037</v>
      </c>
    </row>
    <row r="129" spans="1:49" x14ac:dyDescent="0.25">
      <c r="A129" s="4" t="s">
        <v>261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1.51191853659259</v>
      </c>
      <c r="AA129" s="4">
        <v>1.5571447691851901</v>
      </c>
      <c r="AB129" s="4">
        <v>1.4398231431111099</v>
      </c>
      <c r="AC129" s="4">
        <v>1.49120604266667</v>
      </c>
      <c r="AD129" s="4">
        <v>1.44728621748148</v>
      </c>
      <c r="AE129" s="4">
        <v>1.5799512545185199</v>
      </c>
      <c r="AF129" s="4">
        <v>1.8371284068148099</v>
      </c>
      <c r="AG129" s="4">
        <v>2.1874992035555598</v>
      </c>
      <c r="AH129" s="4">
        <v>2.2663743345185199</v>
      </c>
      <c r="AI129" s="4">
        <v>2.47539957985185</v>
      </c>
      <c r="AJ129" s="4">
        <v>2.43606086577778</v>
      </c>
      <c r="AK129" s="4">
        <v>2.4310736841481502</v>
      </c>
      <c r="AL129" s="4">
        <v>2.4165250853333302</v>
      </c>
      <c r="AM129" s="4">
        <v>2.3407586284444402</v>
      </c>
      <c r="AN129" s="4">
        <v>2.2477674675555601</v>
      </c>
      <c r="AO129" s="4">
        <v>2.2713887466666698</v>
      </c>
      <c r="AP129" s="4">
        <v>2.3419460047407399</v>
      </c>
      <c r="AQ129" s="4">
        <v>2.3684996077037002</v>
      </c>
      <c r="AR129" s="4">
        <v>2.5119648877037002</v>
      </c>
      <c r="AS129" s="4">
        <v>2.3744085244444402</v>
      </c>
      <c r="AT129" s="4">
        <v>2.4323886802963002</v>
      </c>
      <c r="AU129" s="4">
        <v>2.2094524397036999</v>
      </c>
      <c r="AV129" s="4">
        <v>1.9222885671111101</v>
      </c>
      <c r="AW129" s="4">
        <v>1.7637266971851899</v>
      </c>
    </row>
    <row r="130" spans="1:49" x14ac:dyDescent="0.25">
      <c r="A130" s="4" t="s">
        <v>262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</row>
    <row r="131" spans="1:49" x14ac:dyDescent="0.25">
      <c r="A131" s="4" t="s">
        <v>263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</row>
    <row r="132" spans="1:49" x14ac:dyDescent="0.25">
      <c r="A132" s="4" t="s">
        <v>264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</row>
    <row r="133" spans="1:49" x14ac:dyDescent="0.25">
      <c r="A133" s="4" t="s">
        <v>265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</row>
    <row r="134" spans="1:49" x14ac:dyDescent="0.25">
      <c r="A134" s="4" t="s">
        <v>266</v>
      </c>
      <c r="B134" s="4">
        <v>0.34514661200000002</v>
      </c>
      <c r="C134" s="4">
        <v>0.4038773108</v>
      </c>
      <c r="D134" s="4">
        <v>0.41553769200000001</v>
      </c>
      <c r="E134" s="4">
        <v>0.54811444519999997</v>
      </c>
      <c r="F134" s="4">
        <v>0.77935141320000001</v>
      </c>
      <c r="G134" s="4">
        <v>0.73618565000000002</v>
      </c>
      <c r="H134" s="4">
        <v>0.6204008688</v>
      </c>
      <c r="I134" s="4">
        <v>0.59635190640000002</v>
      </c>
      <c r="J134" s="4">
        <v>0.59199589679999998</v>
      </c>
      <c r="K134" s="4">
        <v>0.61410878079999998</v>
      </c>
      <c r="L134" s="4">
        <v>0.61251648240000001</v>
      </c>
      <c r="M134" s="4">
        <v>0.59598900560000001</v>
      </c>
      <c r="N134" s="4">
        <v>0.5983112424</v>
      </c>
      <c r="O134" s="4">
        <v>0.63375325999999998</v>
      </c>
      <c r="P134" s="4">
        <v>0.57716804479999995</v>
      </c>
      <c r="Q134" s="4">
        <v>0.51431213880000004</v>
      </c>
      <c r="R134" s="4">
        <v>0.4376421304</v>
      </c>
      <c r="S134" s="4">
        <v>0.4390782728</v>
      </c>
      <c r="T134" s="4">
        <v>0.53164679560000005</v>
      </c>
      <c r="U134" s="4">
        <v>0.6101995872</v>
      </c>
      <c r="V134" s="4">
        <v>0.71076196280000004</v>
      </c>
      <c r="W134" s="4">
        <v>0.71693549400000001</v>
      </c>
      <c r="X134" s="4">
        <v>0.77874127680000005</v>
      </c>
      <c r="Y134" s="4">
        <v>0.87484425840000002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</row>
    <row r="135" spans="1:49" x14ac:dyDescent="0.25">
      <c r="A135" s="4" t="s">
        <v>267</v>
      </c>
      <c r="B135" s="4">
        <v>0.45960495400000001</v>
      </c>
      <c r="C135" s="4">
        <v>0.51511295800000001</v>
      </c>
      <c r="D135" s="4">
        <v>0.53193823600000001</v>
      </c>
      <c r="E135" s="4">
        <v>0.53317687933333302</v>
      </c>
      <c r="F135" s="4">
        <v>0.53893325483333299</v>
      </c>
      <c r="G135" s="4">
        <v>0.46502393266666697</v>
      </c>
      <c r="H135" s="4">
        <v>0.45188564883333299</v>
      </c>
      <c r="I135" s="4">
        <v>0.41226172700000002</v>
      </c>
      <c r="J135" s="4">
        <v>0.35390374266666702</v>
      </c>
      <c r="K135" s="4">
        <v>0.31440118283333301</v>
      </c>
      <c r="L135" s="4">
        <v>0.33288911316666697</v>
      </c>
      <c r="M135" s="4">
        <v>0.35176170983333299</v>
      </c>
      <c r="N135" s="4">
        <v>0.36201332216666698</v>
      </c>
      <c r="O135" s="4">
        <v>0.32730892683333301</v>
      </c>
      <c r="P135" s="4">
        <v>0.31292279683333302</v>
      </c>
      <c r="Q135" s="4">
        <v>0.44281506366666701</v>
      </c>
      <c r="R135" s="4">
        <v>0.42996946583333301</v>
      </c>
      <c r="S135" s="4">
        <v>0.4822593845</v>
      </c>
      <c r="T135" s="4">
        <v>0.60976506249999995</v>
      </c>
      <c r="U135" s="4">
        <v>0.59105175899999995</v>
      </c>
      <c r="V135" s="4">
        <v>0.56071733150000003</v>
      </c>
      <c r="W135" s="4">
        <v>0.51110933316666696</v>
      </c>
      <c r="X135" s="4">
        <v>0.57767723316666697</v>
      </c>
      <c r="Y135" s="4">
        <v>0.66697467450000003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</row>
    <row r="136" spans="1:49" x14ac:dyDescent="0.25">
      <c r="A136" s="4" t="s">
        <v>268</v>
      </c>
      <c r="B136" s="4">
        <v>0.58298580633333297</v>
      </c>
      <c r="C136" s="4">
        <v>0.62220748666666703</v>
      </c>
      <c r="D136" s="4">
        <v>0.59504537749999997</v>
      </c>
      <c r="E136" s="4">
        <v>0.58102269816666696</v>
      </c>
      <c r="F136" s="4">
        <v>0.59410162550000001</v>
      </c>
      <c r="G136" s="4">
        <v>0.54614711400000004</v>
      </c>
      <c r="H136" s="4">
        <v>0.52224931916666695</v>
      </c>
      <c r="I136" s="4">
        <v>0.49939765383333301</v>
      </c>
      <c r="J136" s="4">
        <v>0.46097714383333299</v>
      </c>
      <c r="K136" s="4">
        <v>0.43075738966666699</v>
      </c>
      <c r="L136" s="4">
        <v>0.43534558833333298</v>
      </c>
      <c r="M136" s="4">
        <v>0.44080244499999999</v>
      </c>
      <c r="N136" s="4">
        <v>0.47131776199999997</v>
      </c>
      <c r="O136" s="4">
        <v>0.48813696699999998</v>
      </c>
      <c r="P136" s="4">
        <v>0.42932495066666698</v>
      </c>
      <c r="Q136" s="4">
        <v>0.71623479983333305</v>
      </c>
      <c r="R136" s="4">
        <v>0.73444925500000002</v>
      </c>
      <c r="S136" s="4">
        <v>0.77262740399999996</v>
      </c>
      <c r="T136" s="4">
        <v>0.71910625116666704</v>
      </c>
      <c r="U136" s="4">
        <v>0.69447967450000003</v>
      </c>
      <c r="V136" s="4">
        <v>0.70844262650000001</v>
      </c>
      <c r="W136" s="4">
        <v>0.66354527750000003</v>
      </c>
      <c r="X136" s="4">
        <v>0.717846068666667</v>
      </c>
      <c r="Y136" s="4">
        <v>0.75916731783333302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B5"/>
  <sheetViews>
    <sheetView workbookViewId="0">
      <selection activeCell="AJ25" sqref="AJ25"/>
    </sheetView>
  </sheetViews>
  <sheetFormatPr defaultRowHeight="13.8" x14ac:dyDescent="0.25"/>
  <cols>
    <col min="3" max="3" width="9.6640625" bestFit="1" customWidth="1"/>
  </cols>
  <sheetData>
    <row r="1" spans="1:2" x14ac:dyDescent="0.25">
      <c r="A1" s="4" t="s">
        <v>269</v>
      </c>
      <c r="B1" s="4">
        <v>1.3698630136986301E-2</v>
      </c>
    </row>
    <row r="2" spans="1:2" x14ac:dyDescent="0.25">
      <c r="A2" s="4" t="s">
        <v>270</v>
      </c>
      <c r="B2" s="4">
        <v>0.2584474885844748</v>
      </c>
    </row>
    <row r="3" spans="1:2" x14ac:dyDescent="0.25">
      <c r="A3" s="4" t="s">
        <v>271</v>
      </c>
      <c r="B3">
        <v>0.47671232876712333</v>
      </c>
    </row>
    <row r="4" spans="1:2" x14ac:dyDescent="0.25">
      <c r="A4" s="4" t="s">
        <v>272</v>
      </c>
      <c r="B4" s="4">
        <v>0.11872146118721499</v>
      </c>
    </row>
    <row r="5" spans="1:2" x14ac:dyDescent="0.25">
      <c r="A5" s="4" t="s">
        <v>273</v>
      </c>
      <c r="B5" s="4">
        <v>0.13242009132420099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A1:F55"/>
  <sheetViews>
    <sheetView workbookViewId="0">
      <selection activeCell="E7" sqref="E7"/>
    </sheetView>
  </sheetViews>
  <sheetFormatPr defaultRowHeight="13.8" x14ac:dyDescent="0.25"/>
  <cols>
    <col min="3" max="3" width="25.77734375" style="71" bestFit="1" customWidth="1"/>
  </cols>
  <sheetData>
    <row r="1" spans="1:6" ht="30" customHeight="1" x14ac:dyDescent="0.25">
      <c r="A1" s="2" t="s">
        <v>307</v>
      </c>
      <c r="B1" s="28" t="s">
        <v>282</v>
      </c>
      <c r="C1" s="3" t="s">
        <v>417</v>
      </c>
    </row>
    <row r="2" spans="1:6" x14ac:dyDescent="0.25">
      <c r="A2" s="35">
        <v>1</v>
      </c>
      <c r="B2" s="50">
        <v>101</v>
      </c>
      <c r="C2" s="69">
        <v>1.083</v>
      </c>
      <c r="E2" s="50"/>
      <c r="F2" s="50"/>
    </row>
    <row r="3" spans="1:6" x14ac:dyDescent="0.25">
      <c r="A3" s="35">
        <v>2</v>
      </c>
      <c r="B3" s="50">
        <v>102</v>
      </c>
      <c r="C3" s="69">
        <v>0.96900000000000008</v>
      </c>
    </row>
    <row r="4" spans="1:6" x14ac:dyDescent="0.25">
      <c r="A4" s="35">
        <v>3</v>
      </c>
      <c r="B4" s="50">
        <v>103</v>
      </c>
      <c r="C4" s="69">
        <v>1.7955000000000001</v>
      </c>
    </row>
    <row r="5" spans="1:6" x14ac:dyDescent="0.25">
      <c r="A5" s="35">
        <v>4</v>
      </c>
      <c r="B5" s="50">
        <v>104</v>
      </c>
      <c r="C5" s="70">
        <v>0.7410000000000001</v>
      </c>
      <c r="D5" s="50"/>
    </row>
    <row r="6" spans="1:6" x14ac:dyDescent="0.25">
      <c r="A6" s="35">
        <v>5</v>
      </c>
      <c r="B6" s="50">
        <v>105</v>
      </c>
      <c r="C6" s="70">
        <v>0.71250000000000002</v>
      </c>
    </row>
    <row r="7" spans="1:6" x14ac:dyDescent="0.25">
      <c r="A7" s="35">
        <v>6</v>
      </c>
      <c r="B7" s="50">
        <v>106</v>
      </c>
      <c r="C7" s="70">
        <v>1.3680000000000001</v>
      </c>
      <c r="F7" s="10"/>
    </row>
    <row r="8" spans="1:6" x14ac:dyDescent="0.25">
      <c r="A8" s="35">
        <v>7</v>
      </c>
      <c r="B8" s="50">
        <v>107</v>
      </c>
      <c r="C8" s="69">
        <v>1.254</v>
      </c>
    </row>
    <row r="9" spans="1:6" x14ac:dyDescent="0.25">
      <c r="A9" s="35">
        <v>8</v>
      </c>
      <c r="B9" s="50">
        <v>108</v>
      </c>
      <c r="C9" s="69">
        <v>1.71</v>
      </c>
    </row>
    <row r="10" spans="1:6" x14ac:dyDescent="0.25">
      <c r="A10" s="35">
        <v>9</v>
      </c>
      <c r="B10" s="50">
        <v>109</v>
      </c>
      <c r="C10" s="69">
        <v>1.7384999999999999</v>
      </c>
    </row>
    <row r="11" spans="1:6" x14ac:dyDescent="0.25">
      <c r="A11" s="35">
        <v>10</v>
      </c>
      <c r="B11" s="50">
        <v>110</v>
      </c>
      <c r="C11" s="69">
        <v>1.9380000000000002</v>
      </c>
    </row>
    <row r="12" spans="1:6" x14ac:dyDescent="0.25">
      <c r="A12" s="35">
        <v>11</v>
      </c>
      <c r="B12" s="50">
        <v>113</v>
      </c>
      <c r="C12" s="69">
        <v>2.6505000000000001</v>
      </c>
    </row>
    <row r="13" spans="1:6" x14ac:dyDescent="0.25">
      <c r="A13" s="35">
        <v>12</v>
      </c>
      <c r="B13" s="50">
        <v>114</v>
      </c>
      <c r="C13" s="69">
        <v>1.9380000000000002</v>
      </c>
    </row>
    <row r="14" spans="1:6" x14ac:dyDescent="0.25">
      <c r="A14" s="35">
        <v>13</v>
      </c>
      <c r="B14" s="50">
        <v>115</v>
      </c>
      <c r="C14" s="69">
        <v>3.1635000000000004</v>
      </c>
    </row>
    <row r="15" spans="1:6" x14ac:dyDescent="0.25">
      <c r="A15" s="35">
        <v>14</v>
      </c>
      <c r="B15" s="50">
        <v>116</v>
      </c>
      <c r="C15" s="69">
        <v>0.99750000000000016</v>
      </c>
    </row>
    <row r="16" spans="1:6" x14ac:dyDescent="0.25">
      <c r="A16" s="35">
        <v>15</v>
      </c>
      <c r="B16" s="50">
        <v>118</v>
      </c>
      <c r="C16" s="69">
        <v>3.3344999999999998</v>
      </c>
    </row>
    <row r="17" spans="1:4" x14ac:dyDescent="0.25">
      <c r="A17" s="35">
        <v>16</v>
      </c>
      <c r="B17" s="50">
        <v>119</v>
      </c>
      <c r="C17" s="69">
        <v>1.8240000000000001</v>
      </c>
    </row>
    <row r="18" spans="1:4" x14ac:dyDescent="0.25">
      <c r="A18" s="37">
        <v>17</v>
      </c>
      <c r="B18" s="50">
        <v>120</v>
      </c>
      <c r="C18" s="69">
        <v>1.2825</v>
      </c>
    </row>
    <row r="19" spans="1:4" x14ac:dyDescent="0.25">
      <c r="A19" s="35">
        <v>1</v>
      </c>
      <c r="B19" s="50">
        <v>201</v>
      </c>
      <c r="C19" s="72">
        <f>1.13715*(1.08/1.05)</f>
        <v>1.1696400000000002</v>
      </c>
      <c r="D19" s="50"/>
    </row>
    <row r="20" spans="1:4" x14ac:dyDescent="0.25">
      <c r="A20" s="35">
        <v>2</v>
      </c>
      <c r="B20" s="50">
        <v>202</v>
      </c>
      <c r="C20" s="72">
        <f>1.01745*(1.08/1.05)</f>
        <v>1.0465200000000003</v>
      </c>
    </row>
    <row r="21" spans="1:4" x14ac:dyDescent="0.25">
      <c r="A21" s="35">
        <v>3</v>
      </c>
      <c r="B21" s="50">
        <v>203</v>
      </c>
      <c r="C21" s="72">
        <f>1.885275*(1.08/1.05)</f>
        <v>1.9391400000000005</v>
      </c>
    </row>
    <row r="22" spans="1:4" x14ac:dyDescent="0.25">
      <c r="A22" s="35">
        <v>4</v>
      </c>
      <c r="B22" s="50">
        <v>204</v>
      </c>
      <c r="C22" s="72">
        <f>0.77805*(1.08/1.05)</f>
        <v>0.80028000000000021</v>
      </c>
    </row>
    <row r="23" spans="1:4" x14ac:dyDescent="0.25">
      <c r="A23" s="35">
        <v>5</v>
      </c>
      <c r="B23" s="50">
        <v>205</v>
      </c>
      <c r="C23" s="72">
        <f>0.748125*(1.08/1.05)</f>
        <v>0.76950000000000018</v>
      </c>
    </row>
    <row r="24" spans="1:4" x14ac:dyDescent="0.25">
      <c r="A24" s="35">
        <v>6</v>
      </c>
      <c r="B24" s="50">
        <v>206</v>
      </c>
      <c r="C24" s="72">
        <f>1.4364*(1.08/1.05)</f>
        <v>1.4774400000000003</v>
      </c>
    </row>
    <row r="25" spans="1:4" x14ac:dyDescent="0.25">
      <c r="A25" s="35">
        <v>7</v>
      </c>
      <c r="B25" s="50">
        <v>207</v>
      </c>
      <c r="C25" s="72">
        <f>1.3167*(1.08/1.05)</f>
        <v>1.3543200000000002</v>
      </c>
    </row>
    <row r="26" spans="1:4" x14ac:dyDescent="0.25">
      <c r="A26" s="35">
        <v>8</v>
      </c>
      <c r="B26" s="50">
        <v>208</v>
      </c>
      <c r="C26" s="72">
        <f>1.7955*(1.08/1.05)</f>
        <v>1.8468000000000002</v>
      </c>
    </row>
    <row r="27" spans="1:4" x14ac:dyDescent="0.25">
      <c r="A27" s="35">
        <v>9</v>
      </c>
      <c r="B27" s="50">
        <v>209</v>
      </c>
      <c r="C27" s="72">
        <f>1.825425*(1.08/1.05)</f>
        <v>1.8775800000000002</v>
      </c>
    </row>
    <row r="28" spans="1:4" x14ac:dyDescent="0.25">
      <c r="A28" s="35">
        <v>10</v>
      </c>
      <c r="B28" s="50">
        <v>210</v>
      </c>
      <c r="C28" s="72">
        <f>2.0349*(1.08/1.05)</f>
        <v>2.0930400000000007</v>
      </c>
    </row>
    <row r="29" spans="1:4" x14ac:dyDescent="0.25">
      <c r="A29" s="35">
        <v>11</v>
      </c>
      <c r="B29" s="50">
        <v>213</v>
      </c>
      <c r="C29" s="72">
        <f>2.783025*(1.08/1.05)</f>
        <v>2.8625400000000005</v>
      </c>
    </row>
    <row r="30" spans="1:4" x14ac:dyDescent="0.25">
      <c r="A30" s="35">
        <v>12</v>
      </c>
      <c r="B30" s="50">
        <v>214</v>
      </c>
      <c r="C30" s="72">
        <f>2.0349*(1.08/1.05)</f>
        <v>2.0930400000000007</v>
      </c>
    </row>
    <row r="31" spans="1:4" x14ac:dyDescent="0.25">
      <c r="A31" s="35">
        <v>13</v>
      </c>
      <c r="B31" s="50">
        <v>215</v>
      </c>
      <c r="C31" s="72">
        <f>3.321675*(1.08/1.05)</f>
        <v>3.4165800000000006</v>
      </c>
    </row>
    <row r="32" spans="1:4" x14ac:dyDescent="0.25">
      <c r="A32" s="35">
        <v>14</v>
      </c>
      <c r="B32" s="50">
        <v>216</v>
      </c>
      <c r="C32" s="72">
        <f>1.047375*(1.08/1.05)</f>
        <v>1.0773000000000004</v>
      </c>
    </row>
    <row r="33" spans="1:5" x14ac:dyDescent="0.25">
      <c r="A33" s="35">
        <v>15</v>
      </c>
      <c r="B33" s="50">
        <v>218</v>
      </c>
      <c r="C33" s="72">
        <f>3.501225*(1.08/1.05)</f>
        <v>3.6012600000000003</v>
      </c>
    </row>
    <row r="34" spans="1:5" x14ac:dyDescent="0.25">
      <c r="A34" s="35">
        <v>16</v>
      </c>
      <c r="B34" s="50">
        <v>219</v>
      </c>
      <c r="C34" s="72">
        <f>1.9152*(1.08/1.05)</f>
        <v>1.9699200000000006</v>
      </c>
    </row>
    <row r="35" spans="1:5" x14ac:dyDescent="0.25">
      <c r="A35" s="37">
        <v>17</v>
      </c>
      <c r="B35" s="50">
        <v>220</v>
      </c>
      <c r="C35" s="72">
        <f>1.346625*(1.08/1.05)</f>
        <v>1.3851000000000002</v>
      </c>
    </row>
    <row r="36" spans="1:5" x14ac:dyDescent="0.25">
      <c r="A36" s="35">
        <v>1</v>
      </c>
      <c r="B36" s="50">
        <v>301</v>
      </c>
      <c r="C36" s="69">
        <f>1.02885*(0.92/0.95)</f>
        <v>0.99635999999999991</v>
      </c>
      <c r="D36" s="50"/>
      <c r="E36" s="50"/>
    </row>
    <row r="37" spans="1:5" x14ac:dyDescent="0.25">
      <c r="A37" s="35">
        <v>2</v>
      </c>
      <c r="B37" s="50">
        <v>302</v>
      </c>
      <c r="C37" s="69">
        <f>0.92055*(0.92/0.95)</f>
        <v>0.89148000000000016</v>
      </c>
    </row>
    <row r="38" spans="1:5" x14ac:dyDescent="0.25">
      <c r="A38" s="35">
        <v>3</v>
      </c>
      <c r="B38" s="50">
        <v>303</v>
      </c>
      <c r="C38" s="69">
        <f>1.705725*(0.92/0.95)</f>
        <v>1.6518600000000001</v>
      </c>
    </row>
    <row r="39" spans="1:5" x14ac:dyDescent="0.25">
      <c r="A39" s="35">
        <v>4</v>
      </c>
      <c r="B39" s="50">
        <v>304</v>
      </c>
      <c r="C39" s="69">
        <f>0.70395*(0.92/0.95)</f>
        <v>0.68172000000000021</v>
      </c>
    </row>
    <row r="40" spans="1:5" x14ac:dyDescent="0.25">
      <c r="A40" s="35">
        <v>5</v>
      </c>
      <c r="B40" s="50">
        <v>305</v>
      </c>
      <c r="C40" s="69">
        <f>0.676875*(0.92/0.95)</f>
        <v>0.65550000000000008</v>
      </c>
    </row>
    <row r="41" spans="1:5" x14ac:dyDescent="0.25">
      <c r="A41" s="35">
        <v>6</v>
      </c>
      <c r="B41" s="50">
        <v>306</v>
      </c>
      <c r="C41" s="69">
        <f>1.2996*(0.92/0.95)</f>
        <v>1.2585600000000003</v>
      </c>
    </row>
    <row r="42" spans="1:5" x14ac:dyDescent="0.25">
      <c r="A42" s="35">
        <v>7</v>
      </c>
      <c r="B42" s="50">
        <v>307</v>
      </c>
      <c r="C42" s="69">
        <f>1.1913*(0.92/0.95)</f>
        <v>1.1536800000000003</v>
      </c>
    </row>
    <row r="43" spans="1:5" x14ac:dyDescent="0.25">
      <c r="A43" s="35">
        <v>8</v>
      </c>
      <c r="B43" s="50">
        <v>308</v>
      </c>
      <c r="C43" s="69">
        <f>1.6245*(0.92/0.95)</f>
        <v>1.5731999999999999</v>
      </c>
    </row>
    <row r="44" spans="1:5" x14ac:dyDescent="0.25">
      <c r="A44" s="35">
        <v>9</v>
      </c>
      <c r="B44" s="50">
        <v>309</v>
      </c>
      <c r="C44" s="69">
        <f>1.651575*(0.92/0.95)</f>
        <v>1.5994200000000001</v>
      </c>
    </row>
    <row r="45" spans="1:5" x14ac:dyDescent="0.25">
      <c r="A45" s="35">
        <v>10</v>
      </c>
      <c r="B45" s="50">
        <v>310</v>
      </c>
      <c r="C45" s="69">
        <f>1.8411*(0.92/0.95)</f>
        <v>1.7829600000000003</v>
      </c>
    </row>
    <row r="46" spans="1:5" x14ac:dyDescent="0.25">
      <c r="A46" s="35">
        <v>11</v>
      </c>
      <c r="B46" s="50">
        <v>313</v>
      </c>
      <c r="C46" s="69">
        <f>2.517975*(0.92/0.95)</f>
        <v>2.4384600000000001</v>
      </c>
    </row>
    <row r="47" spans="1:5" x14ac:dyDescent="0.25">
      <c r="A47" s="35">
        <v>12</v>
      </c>
      <c r="B47" s="50">
        <v>314</v>
      </c>
      <c r="C47" s="69">
        <f>1.8411*(0.92/0.95)</f>
        <v>1.7829600000000003</v>
      </c>
    </row>
    <row r="48" spans="1:5" x14ac:dyDescent="0.25">
      <c r="A48" s="35">
        <v>13</v>
      </c>
      <c r="B48" s="50">
        <v>315</v>
      </c>
      <c r="C48" s="69">
        <f>3.005325*(0.92/0.95)</f>
        <v>2.9104200000000007</v>
      </c>
    </row>
    <row r="49" spans="1:3" x14ac:dyDescent="0.25">
      <c r="A49" s="35">
        <v>14</v>
      </c>
      <c r="B49" s="50">
        <v>316</v>
      </c>
      <c r="C49" s="69">
        <f>0.947625*(0.92/0.95)</f>
        <v>0.91770000000000029</v>
      </c>
    </row>
    <row r="50" spans="1:3" x14ac:dyDescent="0.25">
      <c r="A50" s="35">
        <v>15</v>
      </c>
      <c r="B50" s="50">
        <v>318</v>
      </c>
      <c r="C50" s="69">
        <f>3.167775*(0.92/0.95)</f>
        <v>3.0677400000000001</v>
      </c>
    </row>
    <row r="51" spans="1:3" x14ac:dyDescent="0.25">
      <c r="A51" s="35">
        <v>16</v>
      </c>
      <c r="B51" s="50">
        <v>319</v>
      </c>
      <c r="C51" s="69">
        <f>1.7328*(0.92/0.95)</f>
        <v>1.67808</v>
      </c>
    </row>
    <row r="52" spans="1:3" x14ac:dyDescent="0.25">
      <c r="A52" s="37">
        <v>17</v>
      </c>
      <c r="B52" s="50">
        <v>320</v>
      </c>
      <c r="C52" s="69">
        <f>1.218375*(0.92/0.95)</f>
        <v>1.1799000000000002</v>
      </c>
    </row>
    <row r="55" spans="1:3" x14ac:dyDescent="0.25">
      <c r="A55" t="s">
        <v>458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79998168889431442"/>
  </sheetPr>
  <dimension ref="A1:Y8"/>
  <sheetViews>
    <sheetView topLeftCell="J1" workbookViewId="0">
      <selection activeCell="P10" sqref="P10"/>
    </sheetView>
  </sheetViews>
  <sheetFormatPr defaultColWidth="9" defaultRowHeight="13.8" x14ac:dyDescent="0.25"/>
  <cols>
    <col min="1" max="1" width="17.44140625" style="10" bestFit="1" customWidth="1"/>
    <col min="2" max="2" width="12.44140625" style="10" bestFit="1" customWidth="1"/>
    <col min="3" max="25" width="12.33203125" style="10" bestFit="1" customWidth="1"/>
    <col min="26" max="26" width="10.109375" style="10" bestFit="1" customWidth="1"/>
    <col min="27" max="16384" width="9" style="10"/>
  </cols>
  <sheetData>
    <row r="1" spans="1:25" x14ac:dyDescent="0.25">
      <c r="A1" s="7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32</v>
      </c>
      <c r="N1" s="8" t="s">
        <v>33</v>
      </c>
      <c r="O1" s="8" t="s">
        <v>34</v>
      </c>
      <c r="P1" s="8" t="s">
        <v>35</v>
      </c>
      <c r="Q1" s="8" t="s">
        <v>36</v>
      </c>
      <c r="R1" s="8" t="s">
        <v>37</v>
      </c>
      <c r="S1" s="8" t="s">
        <v>38</v>
      </c>
      <c r="T1" s="8" t="s">
        <v>39</v>
      </c>
      <c r="U1" s="8" t="s">
        <v>40</v>
      </c>
      <c r="V1" s="8" t="s">
        <v>41</v>
      </c>
      <c r="W1" s="8" t="s">
        <v>42</v>
      </c>
      <c r="X1" s="8" t="s">
        <v>43</v>
      </c>
      <c r="Y1" s="9" t="s">
        <v>44</v>
      </c>
    </row>
    <row r="2" spans="1:25" x14ac:dyDescent="0.25">
      <c r="A2" s="11">
        <v>1</v>
      </c>
      <c r="B2" s="54">
        <v>0.56316831683168278</v>
      </c>
      <c r="C2" s="54">
        <v>0.51326732673267361</v>
      </c>
      <c r="D2" s="54">
        <v>0.48712871287128723</v>
      </c>
      <c r="E2" s="54">
        <v>0.47524752475247517</v>
      </c>
      <c r="F2" s="54">
        <v>0.47287128712871279</v>
      </c>
      <c r="G2" s="54">
        <v>0.48475247524752474</v>
      </c>
      <c r="H2" s="54">
        <v>0.52277227722772313</v>
      </c>
      <c r="I2" s="54">
        <v>0.62257425742574279</v>
      </c>
      <c r="J2" s="54">
        <v>0.70574257425742559</v>
      </c>
      <c r="K2" s="54">
        <v>0.73663366336633673</v>
      </c>
      <c r="L2" s="54">
        <v>0.75326732673267349</v>
      </c>
      <c r="M2" s="54">
        <v>0.76752475247524787</v>
      </c>
      <c r="N2" s="54">
        <v>0.77227722772277285</v>
      </c>
      <c r="O2" s="54">
        <v>0.76752475247524787</v>
      </c>
      <c r="P2" s="54">
        <v>0.76990099009901047</v>
      </c>
      <c r="Q2" s="54">
        <v>0.76039603960396074</v>
      </c>
      <c r="R2" s="54">
        <v>0.75089108910891111</v>
      </c>
      <c r="S2" s="54">
        <v>0.73900990099009911</v>
      </c>
      <c r="T2" s="54">
        <v>0.72237623762376235</v>
      </c>
      <c r="U2" s="54">
        <v>0.70099009900990084</v>
      </c>
      <c r="V2" s="54">
        <v>0.6914851485148511</v>
      </c>
      <c r="W2" s="54">
        <v>0.71049504950495046</v>
      </c>
      <c r="X2" s="54">
        <v>0.6914851485148511</v>
      </c>
      <c r="Y2" s="54">
        <v>0.62970297029702993</v>
      </c>
    </row>
    <row r="3" spans="1:25" x14ac:dyDescent="0.25">
      <c r="A3" s="11">
        <v>2</v>
      </c>
      <c r="B3" s="54">
        <v>0.5784525618887949</v>
      </c>
      <c r="C3" s="54">
        <v>0.54167781656129732</v>
      </c>
      <c r="D3" s="54">
        <v>0.51455887865571714</v>
      </c>
      <c r="E3" s="54">
        <v>0.51156661857401109</v>
      </c>
      <c r="F3" s="54">
        <v>0.51080521027888348</v>
      </c>
      <c r="G3" s="54">
        <v>0.52274550822039589</v>
      </c>
      <c r="H3" s="54">
        <v>0.63699390039007064</v>
      </c>
      <c r="I3" s="54">
        <v>0.74397776871712373</v>
      </c>
      <c r="J3" s="54">
        <v>0.82137651930803479</v>
      </c>
      <c r="K3" s="54">
        <v>0.83322400649670914</v>
      </c>
      <c r="L3" s="54">
        <v>0.83282251625864689</v>
      </c>
      <c r="M3" s="54">
        <v>0.81488137678379957</v>
      </c>
      <c r="N3" s="54">
        <v>0.81501648575454422</v>
      </c>
      <c r="O3" s="54">
        <v>0.82263772901861809</v>
      </c>
      <c r="P3" s="54">
        <v>0.79751139422654649</v>
      </c>
      <c r="Q3" s="54">
        <v>0.80667609882163749</v>
      </c>
      <c r="R3" s="54">
        <v>0.8605946420030931</v>
      </c>
      <c r="S3" s="54">
        <v>0.86908714125826714</v>
      </c>
      <c r="T3" s="54">
        <v>0.874</v>
      </c>
      <c r="U3" s="54">
        <v>0.83619709593912872</v>
      </c>
      <c r="V3" s="54">
        <v>0.80100292955240593</v>
      </c>
      <c r="W3" s="54">
        <v>0.71722263815317666</v>
      </c>
      <c r="X3" s="54">
        <v>0.63096237713957737</v>
      </c>
      <c r="Y3" s="54">
        <v>0.54352548275462131</v>
      </c>
    </row>
    <row r="4" spans="1:25" x14ac:dyDescent="0.25">
      <c r="A4" s="10">
        <v>3</v>
      </c>
      <c r="B4" s="54">
        <f>AVERAGE(B2:B3)</f>
        <v>0.5708104393602389</v>
      </c>
      <c r="C4" s="54">
        <f t="shared" ref="C4:Y4" si="0">AVERAGE(C2:C3)</f>
        <v>0.52747257164698547</v>
      </c>
      <c r="D4" s="54">
        <f t="shared" si="0"/>
        <v>0.50084379576350213</v>
      </c>
      <c r="E4" s="54">
        <f t="shared" si="0"/>
        <v>0.49340707166324316</v>
      </c>
      <c r="F4" s="54">
        <f t="shared" si="0"/>
        <v>0.49183824870379811</v>
      </c>
      <c r="G4" s="54">
        <f t="shared" si="0"/>
        <v>0.50374899173396037</v>
      </c>
      <c r="H4" s="54">
        <f t="shared" si="0"/>
        <v>0.57988308880889683</v>
      </c>
      <c r="I4" s="54">
        <f t="shared" si="0"/>
        <v>0.68327601307143326</v>
      </c>
      <c r="J4" s="54">
        <f t="shared" si="0"/>
        <v>0.76355954678273019</v>
      </c>
      <c r="K4" s="54">
        <f t="shared" si="0"/>
        <v>0.78492883493152288</v>
      </c>
      <c r="L4" s="54">
        <f t="shared" si="0"/>
        <v>0.79304492149566019</v>
      </c>
      <c r="M4" s="54">
        <f t="shared" si="0"/>
        <v>0.79120306462952372</v>
      </c>
      <c r="N4" s="54">
        <f t="shared" si="0"/>
        <v>0.79364685673865853</v>
      </c>
      <c r="O4" s="54">
        <f t="shared" si="0"/>
        <v>0.79508124074693298</v>
      </c>
      <c r="P4" s="54">
        <f t="shared" si="0"/>
        <v>0.78370619216277848</v>
      </c>
      <c r="Q4" s="54">
        <f t="shared" si="0"/>
        <v>0.78353606921279906</v>
      </c>
      <c r="R4" s="54">
        <f t="shared" si="0"/>
        <v>0.80574286555600216</v>
      </c>
      <c r="S4" s="54">
        <f t="shared" si="0"/>
        <v>0.80404852112418312</v>
      </c>
      <c r="T4" s="54">
        <f t="shared" si="0"/>
        <v>0.79818811881188112</v>
      </c>
      <c r="U4" s="54">
        <f t="shared" si="0"/>
        <v>0.76859359747451483</v>
      </c>
      <c r="V4" s="54">
        <f t="shared" si="0"/>
        <v>0.74624403903362846</v>
      </c>
      <c r="W4" s="54">
        <f t="shared" si="0"/>
        <v>0.71385884382906362</v>
      </c>
      <c r="X4" s="54">
        <f t="shared" si="0"/>
        <v>0.66122376282721418</v>
      </c>
      <c r="Y4" s="54">
        <f t="shared" si="0"/>
        <v>0.58661422652582562</v>
      </c>
    </row>
    <row r="8" spans="1:25" x14ac:dyDescent="0.25">
      <c r="A8" t="s">
        <v>418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79998168889431442"/>
  </sheetPr>
  <dimension ref="A1:AA28"/>
  <sheetViews>
    <sheetView zoomScale="85" zoomScaleNormal="85" workbookViewId="0">
      <selection activeCell="D12" sqref="D12"/>
    </sheetView>
  </sheetViews>
  <sheetFormatPr defaultRowHeight="13.8" x14ac:dyDescent="0.25"/>
  <cols>
    <col min="4" max="27" width="11.21875" bestFit="1" customWidth="1"/>
  </cols>
  <sheetData>
    <row r="1" spans="1:27" x14ac:dyDescent="0.25">
      <c r="A1" s="7" t="s">
        <v>20</v>
      </c>
      <c r="B1" s="7" t="s">
        <v>46</v>
      </c>
      <c r="C1" s="6" t="s">
        <v>45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25</v>
      </c>
      <c r="I1" s="8" t="s">
        <v>26</v>
      </c>
      <c r="J1" s="8" t="s">
        <v>27</v>
      </c>
      <c r="K1" s="8" t="s">
        <v>28</v>
      </c>
      <c r="L1" s="8" t="s">
        <v>29</v>
      </c>
      <c r="M1" s="8" t="s">
        <v>30</v>
      </c>
      <c r="N1" s="8" t="s">
        <v>31</v>
      </c>
      <c r="O1" s="8" t="s">
        <v>32</v>
      </c>
      <c r="P1" s="8" t="s">
        <v>33</v>
      </c>
      <c r="Q1" s="8" t="s">
        <v>34</v>
      </c>
      <c r="R1" s="8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8" t="s">
        <v>40</v>
      </c>
      <c r="X1" s="8" t="s">
        <v>41</v>
      </c>
      <c r="Y1" s="8" t="s">
        <v>42</v>
      </c>
      <c r="Z1" s="8" t="s">
        <v>43</v>
      </c>
      <c r="AA1" s="9" t="s">
        <v>44</v>
      </c>
    </row>
    <row r="2" spans="1:27" x14ac:dyDescent="0.25">
      <c r="A2" s="11">
        <v>1</v>
      </c>
      <c r="B2" s="14">
        <v>1</v>
      </c>
      <c r="C2" s="14">
        <v>1</v>
      </c>
      <c r="D2" s="40">
        <v>69.26780442317596</v>
      </c>
      <c r="E2" s="40">
        <v>64.637447676937668</v>
      </c>
      <c r="F2" s="40">
        <v>65.063364372580196</v>
      </c>
      <c r="G2" s="40">
        <v>64.981700889353249</v>
      </c>
      <c r="H2" s="40">
        <v>62.724982020129993</v>
      </c>
      <c r="I2" s="40">
        <v>64.454022781395224</v>
      </c>
      <c r="J2" s="40">
        <v>77.202468584533946</v>
      </c>
      <c r="K2" s="40">
        <v>95.818935852397431</v>
      </c>
      <c r="L2" s="40">
        <v>99.872456662897861</v>
      </c>
      <c r="M2" s="40">
        <v>101.37633413415944</v>
      </c>
      <c r="N2" s="40">
        <v>107.5822397260612</v>
      </c>
      <c r="O2" s="40">
        <v>97.751859683156155</v>
      </c>
      <c r="P2" s="40">
        <v>98.446401893507684</v>
      </c>
      <c r="Q2" s="40">
        <v>100.34501540314284</v>
      </c>
      <c r="R2" s="40">
        <v>101.90844581664516</v>
      </c>
      <c r="S2" s="40">
        <v>99.326182744420009</v>
      </c>
      <c r="T2" s="40">
        <v>107.99807622861618</v>
      </c>
      <c r="U2" s="40">
        <v>101.96473466219264</v>
      </c>
      <c r="V2" s="40">
        <v>103.35830940331105</v>
      </c>
      <c r="W2" s="40">
        <v>100.93755860065465</v>
      </c>
      <c r="X2" s="40">
        <v>97.880263033574153</v>
      </c>
      <c r="Y2" s="40">
        <v>89.675914003305593</v>
      </c>
      <c r="Z2" s="40">
        <v>76.545707786354328</v>
      </c>
      <c r="AA2" s="40">
        <v>66.461005707077945</v>
      </c>
    </row>
    <row r="3" spans="1:27" x14ac:dyDescent="0.25">
      <c r="A3" s="12">
        <v>1</v>
      </c>
      <c r="B3" s="13">
        <v>1</v>
      </c>
      <c r="C3" s="13">
        <v>2</v>
      </c>
      <c r="D3" s="40">
        <v>61.253603541249277</v>
      </c>
      <c r="E3" s="40">
        <v>60.50764611508631</v>
      </c>
      <c r="F3" s="40">
        <v>59.233791578448425</v>
      </c>
      <c r="G3" s="40">
        <v>55.825546271634984</v>
      </c>
      <c r="H3" s="40">
        <v>54.475846938506436</v>
      </c>
      <c r="I3" s="40">
        <v>57.853388180288256</v>
      </c>
      <c r="J3" s="40">
        <v>67.742803423275049</v>
      </c>
      <c r="K3" s="40">
        <v>85.959284230333338</v>
      </c>
      <c r="L3" s="40">
        <v>93.812853904974034</v>
      </c>
      <c r="M3" s="40">
        <v>91.981008705363408</v>
      </c>
      <c r="N3" s="40">
        <v>94.481498829713018</v>
      </c>
      <c r="O3" s="40">
        <v>89.733776210968358</v>
      </c>
      <c r="P3" s="40">
        <v>89.550116277619495</v>
      </c>
      <c r="Q3" s="40">
        <v>91.61874163896583</v>
      </c>
      <c r="R3" s="40">
        <v>84.805017369070143</v>
      </c>
      <c r="S3" s="40">
        <v>92.881518206755743</v>
      </c>
      <c r="T3" s="40">
        <v>97.960933793254739</v>
      </c>
      <c r="U3" s="40">
        <v>96.781913277377043</v>
      </c>
      <c r="V3" s="40">
        <v>98.998492814650064</v>
      </c>
      <c r="W3" s="40">
        <v>94.984031699819639</v>
      </c>
      <c r="X3" s="40">
        <v>88.692462002982907</v>
      </c>
      <c r="Y3" s="40">
        <v>75.671630226669095</v>
      </c>
      <c r="Z3" s="40">
        <v>73.209319028588126</v>
      </c>
      <c r="AA3" s="40">
        <v>60.053447708231523</v>
      </c>
    </row>
    <row r="4" spans="1:27" x14ac:dyDescent="0.25">
      <c r="A4" s="12">
        <v>1</v>
      </c>
      <c r="B4" s="13">
        <v>1</v>
      </c>
      <c r="C4" s="13">
        <v>3</v>
      </c>
      <c r="D4" s="40">
        <v>120.53936842216446</v>
      </c>
      <c r="E4" s="40">
        <v>116.1795351392293</v>
      </c>
      <c r="F4" s="40">
        <v>110.62430088936014</v>
      </c>
      <c r="G4" s="40">
        <v>99.617019771185511</v>
      </c>
      <c r="H4" s="40">
        <v>101.78218885197946</v>
      </c>
      <c r="I4" s="40">
        <v>110.19163560662466</v>
      </c>
      <c r="J4" s="40">
        <v>133.87982262027899</v>
      </c>
      <c r="K4" s="40">
        <v>145.61019711145968</v>
      </c>
      <c r="L4" s="40">
        <v>163.46633230449561</v>
      </c>
      <c r="M4" s="40">
        <v>169.80726850753902</v>
      </c>
      <c r="N4" s="40">
        <v>170.93017026909217</v>
      </c>
      <c r="O4" s="40">
        <v>176.95230177688478</v>
      </c>
      <c r="P4" s="40">
        <v>169.4097169944792</v>
      </c>
      <c r="Q4" s="40">
        <v>173.03940232884418</v>
      </c>
      <c r="R4" s="40">
        <v>170.99217434080856</v>
      </c>
      <c r="S4" s="40">
        <v>171.14570352564567</v>
      </c>
      <c r="T4" s="40">
        <v>171.9853293022</v>
      </c>
      <c r="U4" s="40">
        <v>176.11447671209953</v>
      </c>
      <c r="V4" s="40">
        <v>184.03204600997827</v>
      </c>
      <c r="W4" s="40">
        <v>169.59870174228828</v>
      </c>
      <c r="X4" s="40">
        <v>163.8860675790423</v>
      </c>
      <c r="Y4" s="40">
        <v>143.19402141855829</v>
      </c>
      <c r="Z4" s="40">
        <v>131.73259636958122</v>
      </c>
      <c r="AA4" s="40">
        <v>117.33151451883568</v>
      </c>
    </row>
    <row r="5" spans="1:27" x14ac:dyDescent="0.25">
      <c r="A5" s="12">
        <v>1</v>
      </c>
      <c r="B5" s="13">
        <v>1</v>
      </c>
      <c r="C5" s="13">
        <v>4</v>
      </c>
      <c r="D5" s="40">
        <v>47.440983796977669</v>
      </c>
      <c r="E5" s="40">
        <v>44.974117844440734</v>
      </c>
      <c r="F5" s="40">
        <v>44.746215521953303</v>
      </c>
      <c r="G5" s="40">
        <v>41.114560482903435</v>
      </c>
      <c r="H5" s="40">
        <v>41.519631814588223</v>
      </c>
      <c r="I5" s="40">
        <v>45.718409211334652</v>
      </c>
      <c r="J5" s="40">
        <v>53.65831910901224</v>
      </c>
      <c r="K5" s="40">
        <v>61.933642967060663</v>
      </c>
      <c r="L5" s="40">
        <v>67.910152757925616</v>
      </c>
      <c r="M5" s="40">
        <v>68.753985052235606</v>
      </c>
      <c r="N5" s="40">
        <v>72.004266647817843</v>
      </c>
      <c r="O5" s="40">
        <v>68.431528850623124</v>
      </c>
      <c r="P5" s="40">
        <v>67.916888531430757</v>
      </c>
      <c r="Q5" s="40">
        <v>68.72001235084015</v>
      </c>
      <c r="R5" s="40">
        <v>65.323319408498151</v>
      </c>
      <c r="S5" s="40">
        <v>66.145676642546093</v>
      </c>
      <c r="T5" s="40">
        <v>75.619872192473991</v>
      </c>
      <c r="U5" s="40">
        <v>72.20005123707017</v>
      </c>
      <c r="V5" s="40">
        <v>71.068530543958389</v>
      </c>
      <c r="W5" s="40">
        <v>73.08539896941781</v>
      </c>
      <c r="X5" s="40">
        <v>69.892473115296198</v>
      </c>
      <c r="Y5" s="40">
        <v>62.668889918067535</v>
      </c>
      <c r="Z5" s="40">
        <v>52.051616770885147</v>
      </c>
      <c r="AA5" s="40">
        <v>47.249304974071791</v>
      </c>
    </row>
    <row r="6" spans="1:27" x14ac:dyDescent="0.25">
      <c r="A6" s="12">
        <v>1</v>
      </c>
      <c r="B6" s="13">
        <v>1</v>
      </c>
      <c r="C6" s="13">
        <v>5</v>
      </c>
      <c r="D6" s="40">
        <v>45.183207770167435</v>
      </c>
      <c r="E6" s="41">
        <v>44.28187358627784</v>
      </c>
      <c r="F6" s="41">
        <v>40.384409459072259</v>
      </c>
      <c r="G6" s="41">
        <v>41.233595123837681</v>
      </c>
      <c r="H6" s="41">
        <v>40.822442243819559</v>
      </c>
      <c r="I6" s="41">
        <v>41.506523294819239</v>
      </c>
      <c r="J6" s="41">
        <v>54.394129198888578</v>
      </c>
      <c r="K6" s="41">
        <v>61.216630117301186</v>
      </c>
      <c r="L6" s="41">
        <v>65.592963420369543</v>
      </c>
      <c r="M6" s="41">
        <v>69.672403336191536</v>
      </c>
      <c r="N6" s="41">
        <v>64.677921919457177</v>
      </c>
      <c r="O6" s="41">
        <v>63.855772485190002</v>
      </c>
      <c r="P6" s="41">
        <v>65.214200946730415</v>
      </c>
      <c r="Q6" s="41">
        <v>66.211938486368467</v>
      </c>
      <c r="R6" s="41">
        <v>64.821128844231652</v>
      </c>
      <c r="S6" s="41">
        <v>69.015481086807995</v>
      </c>
      <c r="T6" s="41">
        <v>71.403032542995547</v>
      </c>
      <c r="U6" s="40">
        <v>67.041641786793221</v>
      </c>
      <c r="V6" s="41">
        <v>71.924258167564531</v>
      </c>
      <c r="W6" s="41">
        <v>64.331486662905306</v>
      </c>
      <c r="X6" s="41">
        <v>67.165849163208108</v>
      </c>
      <c r="Y6" s="41">
        <v>60.065738867553385</v>
      </c>
      <c r="Z6" s="41">
        <v>49.755986843608312</v>
      </c>
      <c r="AA6" s="42">
        <v>42.61440350458615</v>
      </c>
    </row>
    <row r="7" spans="1:27" x14ac:dyDescent="0.25">
      <c r="A7" s="12">
        <v>1</v>
      </c>
      <c r="B7" s="13">
        <v>1</v>
      </c>
      <c r="C7" s="13">
        <v>6</v>
      </c>
      <c r="D7" s="40">
        <v>88.885762879636957</v>
      </c>
      <c r="E7" s="41">
        <v>88.391259808941683</v>
      </c>
      <c r="F7" s="41">
        <v>79.607256659090226</v>
      </c>
      <c r="G7" s="41">
        <v>82.517240999459389</v>
      </c>
      <c r="H7" s="41">
        <v>80.538721225389423</v>
      </c>
      <c r="I7" s="41">
        <v>83.981812900610592</v>
      </c>
      <c r="J7" s="41">
        <v>102.30685283803309</v>
      </c>
      <c r="K7" s="41">
        <v>122.00268254155731</v>
      </c>
      <c r="L7" s="41">
        <v>131.31169154397932</v>
      </c>
      <c r="M7" s="41">
        <v>128.39823581968005</v>
      </c>
      <c r="N7" s="41">
        <v>123.36758918688244</v>
      </c>
      <c r="O7" s="41">
        <v>122.92194805992484</v>
      </c>
      <c r="P7" s="41">
        <v>133.82875315167115</v>
      </c>
      <c r="Q7" s="41">
        <v>133.29114934588188</v>
      </c>
      <c r="R7" s="41">
        <v>131.41500779362354</v>
      </c>
      <c r="S7" s="41">
        <v>128.64427339573913</v>
      </c>
      <c r="T7" s="41">
        <v>136.56625166605701</v>
      </c>
      <c r="U7" s="40">
        <v>133.68662615605905</v>
      </c>
      <c r="V7" s="41">
        <v>141.36334672186925</v>
      </c>
      <c r="W7" s="41">
        <v>131.39861277168802</v>
      </c>
      <c r="X7" s="41">
        <v>122.11335327793628</v>
      </c>
      <c r="Y7" s="41">
        <v>110.84609230209404</v>
      </c>
      <c r="Z7" s="41">
        <v>102.96346865962191</v>
      </c>
      <c r="AA7" s="42">
        <v>86.828760686985689</v>
      </c>
    </row>
    <row r="8" spans="1:27" s="10" customFormat="1" x14ac:dyDescent="0.25">
      <c r="A8" s="12">
        <v>1</v>
      </c>
      <c r="B8" s="13">
        <v>1</v>
      </c>
      <c r="C8" s="13">
        <v>7</v>
      </c>
      <c r="D8" s="40">
        <v>84.891075327077331</v>
      </c>
      <c r="E8" s="40">
        <v>79.077139356597968</v>
      </c>
      <c r="F8" s="40">
        <v>72.580062925668926</v>
      </c>
      <c r="G8" s="40">
        <v>71.614088878484765</v>
      </c>
      <c r="H8" s="40">
        <v>73.568124010058895</v>
      </c>
      <c r="I8" s="40">
        <v>77.817721779270357</v>
      </c>
      <c r="J8" s="40">
        <v>91.68777348754395</v>
      </c>
      <c r="K8" s="40">
        <v>109.39012856908785</v>
      </c>
      <c r="L8" s="40">
        <v>118.31468066632414</v>
      </c>
      <c r="M8" s="40">
        <v>120.26715934971854</v>
      </c>
      <c r="N8" s="40">
        <v>120.98190770905805</v>
      </c>
      <c r="O8" s="40">
        <v>112.36468672785995</v>
      </c>
      <c r="P8" s="40">
        <v>113.3352865533859</v>
      </c>
      <c r="Q8" s="40">
        <v>116.10631947125094</v>
      </c>
      <c r="R8" s="40">
        <v>112.86818061703595</v>
      </c>
      <c r="S8" s="40">
        <v>122.23157202283301</v>
      </c>
      <c r="T8" s="40">
        <v>117.25078855089738</v>
      </c>
      <c r="U8" s="40">
        <v>130.09238210666894</v>
      </c>
      <c r="V8" s="40">
        <v>123.33954866399893</v>
      </c>
      <c r="W8" s="40">
        <v>117.22034192914586</v>
      </c>
      <c r="X8" s="40">
        <v>114.84822323107586</v>
      </c>
      <c r="Y8" s="40">
        <v>103.2313698771397</v>
      </c>
      <c r="Z8" s="40">
        <v>89.601199804563365</v>
      </c>
      <c r="AA8" s="40">
        <v>80.596436186625738</v>
      </c>
    </row>
    <row r="9" spans="1:27" s="10" customFormat="1" x14ac:dyDescent="0.25">
      <c r="A9" s="12">
        <v>1</v>
      </c>
      <c r="B9" s="13">
        <v>1</v>
      </c>
      <c r="C9" s="13">
        <v>8</v>
      </c>
      <c r="D9" s="40">
        <v>115.96877322337265</v>
      </c>
      <c r="E9" s="40">
        <v>106.23255203499195</v>
      </c>
      <c r="F9" s="40">
        <v>99.912121306342883</v>
      </c>
      <c r="G9" s="40">
        <v>98.680970137142978</v>
      </c>
      <c r="H9" s="40">
        <v>99.398173286983365</v>
      </c>
      <c r="I9" s="40">
        <v>100.81561176075307</v>
      </c>
      <c r="J9" s="40">
        <v>123.92175422514352</v>
      </c>
      <c r="K9" s="40">
        <v>152.29094372660765</v>
      </c>
      <c r="L9" s="40">
        <v>154.77702412967369</v>
      </c>
      <c r="M9" s="40">
        <v>163.51343644367688</v>
      </c>
      <c r="N9" s="40">
        <v>164.84853429103063</v>
      </c>
      <c r="O9" s="40">
        <v>153.83261410565973</v>
      </c>
      <c r="P9" s="40">
        <v>158.21552949240299</v>
      </c>
      <c r="Q9" s="40">
        <v>159.84301678757458</v>
      </c>
      <c r="R9" s="40">
        <v>151.55616765663967</v>
      </c>
      <c r="S9" s="40">
        <v>165.26812480864797</v>
      </c>
      <c r="T9" s="40">
        <v>161.31172615954915</v>
      </c>
      <c r="U9" s="40">
        <v>169.0965478614925</v>
      </c>
      <c r="V9" s="40">
        <v>167.42790581246931</v>
      </c>
      <c r="W9" s="40">
        <v>160.5762354574961</v>
      </c>
      <c r="X9" s="40">
        <v>161.25619236380342</v>
      </c>
      <c r="Y9" s="40">
        <v>140.07079349990806</v>
      </c>
      <c r="Z9" s="40">
        <v>126.32772993621835</v>
      </c>
      <c r="AA9" s="40">
        <v>103.72315134182999</v>
      </c>
    </row>
    <row r="10" spans="1:27" s="10" customFormat="1" x14ac:dyDescent="0.25">
      <c r="A10" s="12">
        <v>1</v>
      </c>
      <c r="B10" s="13">
        <v>1</v>
      </c>
      <c r="C10" s="13">
        <v>9</v>
      </c>
      <c r="D10" s="40">
        <v>111.22076577688087</v>
      </c>
      <c r="E10" s="40">
        <v>110.27771384671088</v>
      </c>
      <c r="F10" s="40">
        <v>101.71699163423492</v>
      </c>
      <c r="G10" s="40">
        <v>105.34570584510151</v>
      </c>
      <c r="H10" s="40">
        <v>99.989946131609216</v>
      </c>
      <c r="I10" s="40">
        <v>104.95294390464269</v>
      </c>
      <c r="J10" s="40">
        <v>131.08848258235568</v>
      </c>
      <c r="K10" s="40">
        <v>150.17831123359096</v>
      </c>
      <c r="L10" s="40">
        <v>170.18919396036</v>
      </c>
      <c r="M10" s="40">
        <v>158.64262994387741</v>
      </c>
      <c r="N10" s="40">
        <v>161.10322558563112</v>
      </c>
      <c r="O10" s="40">
        <v>167.49431028982681</v>
      </c>
      <c r="P10" s="40">
        <v>164.00627667680516</v>
      </c>
      <c r="Q10" s="40">
        <v>155.75214231906668</v>
      </c>
      <c r="R10" s="40">
        <v>163.78465879665771</v>
      </c>
      <c r="S10" s="40">
        <v>154.98951939443924</v>
      </c>
      <c r="T10" s="40">
        <v>169.81522757594666</v>
      </c>
      <c r="U10" s="40">
        <v>177.79103755825514</v>
      </c>
      <c r="V10" s="40">
        <v>174.13766487942522</v>
      </c>
      <c r="W10" s="40">
        <v>164.2454167352731</v>
      </c>
      <c r="X10" s="40">
        <v>159.10222806976449</v>
      </c>
      <c r="Y10" s="40">
        <v>143.58997606572206</v>
      </c>
      <c r="Z10" s="40">
        <v>121.38757022306434</v>
      </c>
      <c r="AA10" s="40">
        <v>107.70377140572511</v>
      </c>
    </row>
    <row r="11" spans="1:27" s="10" customFormat="1" x14ac:dyDescent="0.25">
      <c r="A11" s="12">
        <v>1</v>
      </c>
      <c r="B11" s="13">
        <v>1</v>
      </c>
      <c r="C11" s="13">
        <v>10</v>
      </c>
      <c r="D11" s="40">
        <v>131.89091615210643</v>
      </c>
      <c r="E11" s="40">
        <v>115.54043388102902</v>
      </c>
      <c r="F11" s="40">
        <v>112.96522033215388</v>
      </c>
      <c r="G11" s="40">
        <v>110.58807006772848</v>
      </c>
      <c r="H11" s="40">
        <v>115.60228382359166</v>
      </c>
      <c r="I11" s="40">
        <v>109.81063170702348</v>
      </c>
      <c r="J11" s="40">
        <v>140.62111607274221</v>
      </c>
      <c r="K11" s="40">
        <v>161.57540350605285</v>
      </c>
      <c r="L11" s="40">
        <v>178.49806825717749</v>
      </c>
      <c r="M11" s="40">
        <v>192.44387865463315</v>
      </c>
      <c r="N11" s="40">
        <v>176.60902371509496</v>
      </c>
      <c r="O11" s="40">
        <v>190.84814811562887</v>
      </c>
      <c r="P11" s="40">
        <v>176.08036152360998</v>
      </c>
      <c r="Q11" s="40">
        <v>180.94833980835574</v>
      </c>
      <c r="R11" s="40">
        <v>172.29108917951743</v>
      </c>
      <c r="S11" s="40">
        <v>178.84950828138162</v>
      </c>
      <c r="T11" s="40">
        <v>184.80787527696333</v>
      </c>
      <c r="U11" s="40">
        <v>197.14643257168706</v>
      </c>
      <c r="V11" s="40">
        <v>183.52343605798893</v>
      </c>
      <c r="W11" s="40">
        <v>191.6698835611862</v>
      </c>
      <c r="X11" s="40">
        <v>180.76303402459584</v>
      </c>
      <c r="Y11" s="40">
        <v>160.77867893872829</v>
      </c>
      <c r="Z11" s="40">
        <v>141.42979439932157</v>
      </c>
      <c r="AA11" s="40">
        <v>120.31186507818444</v>
      </c>
    </row>
    <row r="12" spans="1:27" s="10" customFormat="1" x14ac:dyDescent="0.25">
      <c r="A12" s="12">
        <v>1</v>
      </c>
      <c r="B12" s="13">
        <v>1</v>
      </c>
      <c r="C12" s="13">
        <v>11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</row>
    <row r="13" spans="1:27" s="10" customFormat="1" x14ac:dyDescent="0.25">
      <c r="A13" s="12">
        <v>1</v>
      </c>
      <c r="B13" s="13">
        <v>1</v>
      </c>
      <c r="C13" s="13">
        <v>12</v>
      </c>
      <c r="D13" s="40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0</v>
      </c>
      <c r="T13" s="41">
        <v>0</v>
      </c>
      <c r="U13" s="40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2">
        <v>0</v>
      </c>
    </row>
    <row r="14" spans="1:27" x14ac:dyDescent="0.25">
      <c r="A14" s="12">
        <v>1</v>
      </c>
      <c r="B14" s="13">
        <v>1</v>
      </c>
      <c r="C14" s="13">
        <v>13</v>
      </c>
      <c r="D14" s="40">
        <v>171.07308994984314</v>
      </c>
      <c r="E14" s="40">
        <v>162.9923141332342</v>
      </c>
      <c r="F14" s="40">
        <v>151.10109016445563</v>
      </c>
      <c r="G14" s="40">
        <v>159.55224119280874</v>
      </c>
      <c r="H14" s="40">
        <v>154.75261175581184</v>
      </c>
      <c r="I14" s="40">
        <v>159.80730458674793</v>
      </c>
      <c r="J14" s="40">
        <v>187.81218980782867</v>
      </c>
      <c r="K14" s="40">
        <v>218.94720017226871</v>
      </c>
      <c r="L14" s="40">
        <v>259.42699178076782</v>
      </c>
      <c r="M14" s="40">
        <v>250.77042495818372</v>
      </c>
      <c r="N14" s="40">
        <v>248.26349142978734</v>
      </c>
      <c r="O14" s="40">
        <v>256.00926976423233</v>
      </c>
      <c r="P14" s="40">
        <v>242.20864200031693</v>
      </c>
      <c r="Q14" s="40">
        <v>247.50446253342827</v>
      </c>
      <c r="R14" s="40">
        <v>247.22509879299361</v>
      </c>
      <c r="S14" s="40">
        <v>238.21688458574769</v>
      </c>
      <c r="T14" s="40">
        <v>268.5385962635836</v>
      </c>
      <c r="U14" s="40">
        <v>265.65430507007142</v>
      </c>
      <c r="V14" s="40">
        <v>256.66777526049873</v>
      </c>
      <c r="W14" s="40">
        <v>255.05152643351266</v>
      </c>
      <c r="X14" s="40">
        <v>248.52666919281546</v>
      </c>
      <c r="Y14" s="40">
        <v>221.61579336310177</v>
      </c>
      <c r="Z14" s="40">
        <v>192.79391284522717</v>
      </c>
      <c r="AA14" s="40">
        <v>166.6569007513821</v>
      </c>
    </row>
    <row r="15" spans="1:27" x14ac:dyDescent="0.25">
      <c r="A15" s="12">
        <v>1</v>
      </c>
      <c r="B15" s="13">
        <v>1</v>
      </c>
      <c r="C15" s="13">
        <v>14</v>
      </c>
      <c r="D15" s="40">
        <v>133.31938771055755</v>
      </c>
      <c r="E15" s="40">
        <v>120.68258398695795</v>
      </c>
      <c r="F15" s="40">
        <v>110.70574310023453</v>
      </c>
      <c r="G15" s="40">
        <v>114.58056539850212</v>
      </c>
      <c r="H15" s="40">
        <v>116.77484746285079</v>
      </c>
      <c r="I15" s="40">
        <v>118.59504364692958</v>
      </c>
      <c r="J15" s="40">
        <v>145.83350184549806</v>
      </c>
      <c r="K15" s="40">
        <v>172.89806274649473</v>
      </c>
      <c r="L15" s="40">
        <v>181.51532670812659</v>
      </c>
      <c r="M15" s="40">
        <v>187.8900631050661</v>
      </c>
      <c r="N15" s="40">
        <v>185.62268706521093</v>
      </c>
      <c r="O15" s="40">
        <v>178.57931460321288</v>
      </c>
      <c r="P15" s="40">
        <v>189.94717234608927</v>
      </c>
      <c r="Q15" s="40">
        <v>181.87295386462566</v>
      </c>
      <c r="R15" s="40">
        <v>180.62090080524143</v>
      </c>
      <c r="S15" s="40">
        <v>174.91204818796595</v>
      </c>
      <c r="T15" s="40">
        <v>198.89339200028346</v>
      </c>
      <c r="U15" s="40">
        <v>198.39104159566446</v>
      </c>
      <c r="V15" s="40">
        <v>194.92872287598846</v>
      </c>
      <c r="W15" s="40">
        <v>191.18991790832794</v>
      </c>
      <c r="X15" s="40">
        <v>173.03174639330848</v>
      </c>
      <c r="Y15" s="40">
        <v>163.01162377041376</v>
      </c>
      <c r="Z15" s="40">
        <v>146.19154753037827</v>
      </c>
      <c r="AA15" s="40">
        <v>114.85188301135413</v>
      </c>
    </row>
    <row r="16" spans="1:27" x14ac:dyDescent="0.25">
      <c r="A16" s="12">
        <v>1</v>
      </c>
      <c r="B16" s="13">
        <v>1</v>
      </c>
      <c r="C16" s="13">
        <v>15</v>
      </c>
      <c r="D16" s="40">
        <v>199.74430808513819</v>
      </c>
      <c r="E16" s="40">
        <v>188.25054198039928</v>
      </c>
      <c r="F16" s="40">
        <v>193.99847252524921</v>
      </c>
      <c r="G16" s="40">
        <v>191.68150299563604</v>
      </c>
      <c r="H16" s="40">
        <v>184.98761000571983</v>
      </c>
      <c r="I16" s="40">
        <v>192.39822289017289</v>
      </c>
      <c r="J16" s="40">
        <v>226.24150675807843</v>
      </c>
      <c r="K16" s="40">
        <v>264.96064707048441</v>
      </c>
      <c r="L16" s="40">
        <v>299.84277637075849</v>
      </c>
      <c r="M16" s="40">
        <v>311.97258890119514</v>
      </c>
      <c r="N16" s="40">
        <v>309.3540652798149</v>
      </c>
      <c r="O16" s="40">
        <v>295.90085670953761</v>
      </c>
      <c r="P16" s="40">
        <v>284.96514328553536</v>
      </c>
      <c r="Q16" s="40">
        <v>299.52470241610297</v>
      </c>
      <c r="R16" s="40">
        <v>280.38591275379287</v>
      </c>
      <c r="S16" s="40">
        <v>284.57893194393631</v>
      </c>
      <c r="T16" s="40">
        <v>309.93816446954406</v>
      </c>
      <c r="U16" s="40">
        <v>319.81765943301588</v>
      </c>
      <c r="V16" s="40">
        <v>322.05223159032545</v>
      </c>
      <c r="W16" s="40">
        <v>308.79967406342752</v>
      </c>
      <c r="X16" s="40">
        <v>279.31113721638792</v>
      </c>
      <c r="Y16" s="40">
        <v>251.28607213247878</v>
      </c>
      <c r="Z16" s="40">
        <v>228.60714514896947</v>
      </c>
      <c r="AA16" s="40">
        <v>188.06616441292468</v>
      </c>
    </row>
    <row r="17" spans="1:27" x14ac:dyDescent="0.25">
      <c r="A17" s="12">
        <v>1</v>
      </c>
      <c r="B17" s="13">
        <v>1</v>
      </c>
      <c r="C17" s="13">
        <v>16</v>
      </c>
      <c r="D17" s="40">
        <v>68.08441725630793</v>
      </c>
      <c r="E17" s="40">
        <v>62.425148317243554</v>
      </c>
      <c r="F17" s="40">
        <v>61.701896714736371</v>
      </c>
      <c r="G17" s="40">
        <v>56.338935472134906</v>
      </c>
      <c r="H17" s="40">
        <v>56.754031861870565</v>
      </c>
      <c r="I17" s="40">
        <v>61.912662730941115</v>
      </c>
      <c r="J17" s="40">
        <v>73.218908644322283</v>
      </c>
      <c r="K17" s="40">
        <v>86.759875718731934</v>
      </c>
      <c r="L17" s="40">
        <v>93.038697579984969</v>
      </c>
      <c r="M17" s="40">
        <v>91.045419628269002</v>
      </c>
      <c r="N17" s="40">
        <v>92.265618328558745</v>
      </c>
      <c r="O17" s="40">
        <v>89.451843675713221</v>
      </c>
      <c r="P17" s="40">
        <v>92.455463490469356</v>
      </c>
      <c r="Q17" s="40">
        <v>95.824506834180482</v>
      </c>
      <c r="R17" s="40">
        <v>89.424268395890195</v>
      </c>
      <c r="S17" s="40">
        <v>92.366437026929688</v>
      </c>
      <c r="T17" s="40">
        <v>94.575891257634524</v>
      </c>
      <c r="U17" s="40">
        <v>102.52047481986108</v>
      </c>
      <c r="V17" s="40">
        <v>100.49366319687056</v>
      </c>
      <c r="W17" s="40">
        <v>94.392803542496992</v>
      </c>
      <c r="X17" s="40">
        <v>92.431941551115003</v>
      </c>
      <c r="Y17" s="40">
        <v>82.1792235377509</v>
      </c>
      <c r="Z17" s="40">
        <v>75.050525835294508</v>
      </c>
      <c r="AA17" s="40">
        <v>62.583935173341722</v>
      </c>
    </row>
    <row r="18" spans="1:27" x14ac:dyDescent="0.25">
      <c r="A18" s="12">
        <v>1</v>
      </c>
      <c r="B18" s="13">
        <v>1</v>
      </c>
      <c r="C18" s="13">
        <v>17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</row>
    <row r="19" spans="1:27" x14ac:dyDescent="0.25">
      <c r="A19" s="12">
        <v>1</v>
      </c>
      <c r="B19" s="13">
        <v>1</v>
      </c>
      <c r="C19" s="13">
        <v>18</v>
      </c>
      <c r="D19" s="40">
        <v>223.55447034824866</v>
      </c>
      <c r="E19" s="40">
        <v>213.02140392515869</v>
      </c>
      <c r="F19" s="40">
        <v>195.53645002835717</v>
      </c>
      <c r="G19" s="40">
        <v>198.903013540156</v>
      </c>
      <c r="H19" s="40">
        <v>200.37393805193301</v>
      </c>
      <c r="I19" s="40">
        <v>192.12533315995378</v>
      </c>
      <c r="J19" s="40">
        <v>246.46002093142414</v>
      </c>
      <c r="K19" s="40">
        <v>280.10342762342049</v>
      </c>
      <c r="L19" s="40">
        <v>313.36548100758716</v>
      </c>
      <c r="M19" s="40">
        <v>321.90926087488594</v>
      </c>
      <c r="N19" s="40">
        <v>321.99661981474662</v>
      </c>
      <c r="O19" s="40">
        <v>297.91779081378553</v>
      </c>
      <c r="P19" s="40">
        <v>318.18547204069472</v>
      </c>
      <c r="Q19" s="40">
        <v>316.04133240019672</v>
      </c>
      <c r="R19" s="40">
        <v>296.09864058455685</v>
      </c>
      <c r="S19" s="40">
        <v>301.86484542870909</v>
      </c>
      <c r="T19" s="40">
        <v>330.65315976540688</v>
      </c>
      <c r="U19" s="40">
        <v>320.62675636119712</v>
      </c>
      <c r="V19" s="40">
        <v>341.5154048374834</v>
      </c>
      <c r="W19" s="40">
        <v>305.27874387070682</v>
      </c>
      <c r="X19" s="40">
        <v>312.87495329752716</v>
      </c>
      <c r="Y19" s="40">
        <v>267.87950148872886</v>
      </c>
      <c r="Z19" s="40">
        <v>230.16945770509008</v>
      </c>
      <c r="AA19" s="40">
        <v>215.85412474861889</v>
      </c>
    </row>
    <row r="20" spans="1:27" x14ac:dyDescent="0.25">
      <c r="A20" s="12">
        <v>1</v>
      </c>
      <c r="B20" s="13">
        <v>1</v>
      </c>
      <c r="C20" s="13">
        <v>19</v>
      </c>
      <c r="D20" s="40">
        <v>126.43060224996752</v>
      </c>
      <c r="E20" s="40">
        <v>110.02304393974174</v>
      </c>
      <c r="F20" s="40">
        <v>104.81123624283744</v>
      </c>
      <c r="G20" s="40">
        <v>104.06137213686834</v>
      </c>
      <c r="H20" s="40">
        <v>106.87860931396315</v>
      </c>
      <c r="I20" s="40">
        <v>104.48038003896285</v>
      </c>
      <c r="J20" s="40">
        <v>128.28419313281057</v>
      </c>
      <c r="K20" s="40">
        <v>148.54947023780528</v>
      </c>
      <c r="L20" s="40">
        <v>167.95329263130421</v>
      </c>
      <c r="M20" s="40">
        <v>165.85061563686253</v>
      </c>
      <c r="N20" s="40">
        <v>174.91936913971134</v>
      </c>
      <c r="O20" s="40">
        <v>169.00689426436557</v>
      </c>
      <c r="P20" s="40">
        <v>175.92851245637826</v>
      </c>
      <c r="Q20" s="40">
        <v>171.0949442190778</v>
      </c>
      <c r="R20" s="40">
        <v>173.16842878572169</v>
      </c>
      <c r="S20" s="40">
        <v>172.20628168121809</v>
      </c>
      <c r="T20" s="40">
        <v>180.5506302854559</v>
      </c>
      <c r="U20" s="40">
        <v>177.46471011555906</v>
      </c>
      <c r="V20" s="40">
        <v>188.54071226128724</v>
      </c>
      <c r="W20" s="40">
        <v>178.87905238724352</v>
      </c>
      <c r="X20" s="40">
        <v>167.14907416541212</v>
      </c>
      <c r="Y20" s="40">
        <v>152.71906736135682</v>
      </c>
      <c r="Z20" s="40">
        <v>130.65348998601058</v>
      </c>
      <c r="AA20" s="40">
        <v>111.29014893742024</v>
      </c>
    </row>
    <row r="21" spans="1:27" x14ac:dyDescent="0.25">
      <c r="A21" s="12">
        <v>1</v>
      </c>
      <c r="B21" s="13">
        <v>1</v>
      </c>
      <c r="C21" s="13">
        <v>20</v>
      </c>
      <c r="D21" s="40">
        <v>87.509817072328786</v>
      </c>
      <c r="E21" s="40">
        <v>78.845950605164745</v>
      </c>
      <c r="F21" s="40">
        <v>73.220763466041589</v>
      </c>
      <c r="G21" s="40">
        <v>71.515887886228214</v>
      </c>
      <c r="H21" s="40">
        <v>74.7251751540756</v>
      </c>
      <c r="I21" s="40">
        <v>78.183269929516769</v>
      </c>
      <c r="J21" s="40">
        <v>92.800179749330511</v>
      </c>
      <c r="K21" s="40">
        <v>107.81961978335815</v>
      </c>
      <c r="L21" s="40">
        <v>119.51370970905906</v>
      </c>
      <c r="M21" s="40">
        <v>122.74009074207856</v>
      </c>
      <c r="N21" s="40">
        <v>126.71736755791913</v>
      </c>
      <c r="O21" s="40">
        <v>126.16896468016779</v>
      </c>
      <c r="P21" s="40">
        <v>117.96851588630086</v>
      </c>
      <c r="Q21" s="40">
        <v>124.77535354846042</v>
      </c>
      <c r="R21" s="40">
        <v>113.89219340650992</v>
      </c>
      <c r="S21" s="40">
        <v>117.82255067205105</v>
      </c>
      <c r="T21" s="40">
        <v>128.41792876617995</v>
      </c>
      <c r="U21" s="40">
        <v>127.58901712580662</v>
      </c>
      <c r="V21" s="40">
        <v>126.62795090233183</v>
      </c>
      <c r="W21" s="40">
        <v>125.09027433548121</v>
      </c>
      <c r="X21" s="40">
        <v>113.04040694956532</v>
      </c>
      <c r="Y21" s="40">
        <v>110.28508546704268</v>
      </c>
      <c r="Z21" s="40">
        <v>89.014943538888573</v>
      </c>
      <c r="AA21" s="40">
        <v>80.188886487438936</v>
      </c>
    </row>
    <row r="22" spans="1:27" x14ac:dyDescent="0.25">
      <c r="A22" s="12">
        <v>1</v>
      </c>
      <c r="B22" s="13">
        <v>1</v>
      </c>
      <c r="C22" s="13">
        <v>21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</row>
    <row r="23" spans="1:27" x14ac:dyDescent="0.25">
      <c r="A23" s="12">
        <v>1</v>
      </c>
      <c r="B23" s="13">
        <v>1</v>
      </c>
      <c r="C23" s="13">
        <v>22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</row>
    <row r="24" spans="1:27" x14ac:dyDescent="0.25">
      <c r="A24" s="12">
        <v>1</v>
      </c>
      <c r="B24" s="13">
        <v>1</v>
      </c>
      <c r="C24" s="13">
        <v>23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</row>
    <row r="25" spans="1:27" x14ac:dyDescent="0.25">
      <c r="A25" s="12">
        <v>1</v>
      </c>
      <c r="B25" s="13">
        <v>1</v>
      </c>
      <c r="C25" s="13">
        <v>24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</row>
    <row r="28" spans="1:27" ht="15.6" x14ac:dyDescent="0.35">
      <c r="A28" t="s">
        <v>275</v>
      </c>
    </row>
  </sheetData>
  <sortState xmlns:xlrd2="http://schemas.microsoft.com/office/spreadsheetml/2017/richdata2" ref="A2:AA13">
    <sortCondition ref="C1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79998168889431442"/>
  </sheetPr>
  <dimension ref="A1:AA13"/>
  <sheetViews>
    <sheetView workbookViewId="0">
      <selection activeCell="I9" sqref="I9"/>
    </sheetView>
  </sheetViews>
  <sheetFormatPr defaultRowHeight="13.8" x14ac:dyDescent="0.25"/>
  <cols>
    <col min="3" max="3" width="9.109375" bestFit="1" customWidth="1"/>
  </cols>
  <sheetData>
    <row r="1" spans="1:27" ht="27.6" x14ac:dyDescent="0.25">
      <c r="A1" s="7" t="s">
        <v>20</v>
      </c>
      <c r="B1" s="2" t="s">
        <v>2</v>
      </c>
      <c r="C1" s="8" t="s">
        <v>47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54</v>
      </c>
      <c r="K1" s="8" t="s">
        <v>55</v>
      </c>
      <c r="L1" s="8" t="s">
        <v>56</v>
      </c>
      <c r="M1" s="8" t="s">
        <v>57</v>
      </c>
      <c r="N1" s="8" t="s">
        <v>58</v>
      </c>
      <c r="O1" s="8" t="s">
        <v>59</v>
      </c>
      <c r="P1" s="8" t="s">
        <v>60</v>
      </c>
      <c r="Q1" s="8" t="s">
        <v>61</v>
      </c>
      <c r="R1" s="8" t="s">
        <v>62</v>
      </c>
      <c r="S1" s="8" t="s">
        <v>63</v>
      </c>
      <c r="T1" s="8" t="s">
        <v>64</v>
      </c>
      <c r="U1" s="8" t="s">
        <v>65</v>
      </c>
      <c r="V1" s="8" t="s">
        <v>66</v>
      </c>
      <c r="W1" s="8" t="s">
        <v>67</v>
      </c>
      <c r="X1" s="8" t="s">
        <v>68</v>
      </c>
      <c r="Y1" s="8" t="s">
        <v>69</v>
      </c>
      <c r="Z1" s="8" t="s">
        <v>70</v>
      </c>
    </row>
    <row r="2" spans="1:27" x14ac:dyDescent="0.25">
      <c r="A2" s="11">
        <v>1</v>
      </c>
      <c r="B2" s="11" t="s">
        <v>5</v>
      </c>
      <c r="C2" s="53">
        <v>0.441818181818182</v>
      </c>
      <c r="D2" s="53">
        <v>0.45272727272727298</v>
      </c>
      <c r="E2" s="53">
        <v>0.39818181818181803</v>
      </c>
      <c r="F2" s="53">
        <v>0.25636363636363602</v>
      </c>
      <c r="G2" s="53">
        <v>0.37636363636363601</v>
      </c>
      <c r="H2" s="53">
        <v>0.41454545454545499</v>
      </c>
      <c r="I2" s="53">
        <v>0.41454545454545499</v>
      </c>
      <c r="J2" s="53">
        <v>0.43636363636363601</v>
      </c>
      <c r="K2" s="53">
        <v>0.43636363636363601</v>
      </c>
      <c r="L2" s="53">
        <v>0.42</v>
      </c>
      <c r="M2" s="53">
        <v>0.321818181818182</v>
      </c>
      <c r="N2" s="53">
        <v>0.22909090909090901</v>
      </c>
      <c r="O2" s="53">
        <v>0.16909090909090899</v>
      </c>
      <c r="P2" s="53">
        <v>0.20181818181818201</v>
      </c>
      <c r="Q2" s="53">
        <v>0.18</v>
      </c>
      <c r="R2" s="53">
        <v>0.15818181818181801</v>
      </c>
      <c r="S2" s="53">
        <v>0.163636363636364</v>
      </c>
      <c r="T2" s="53">
        <v>0.22363636363636399</v>
      </c>
      <c r="U2" s="53">
        <v>0.13636363636363599</v>
      </c>
      <c r="V2" s="53">
        <v>0.18</v>
      </c>
      <c r="W2" s="53">
        <v>0.18</v>
      </c>
      <c r="X2" s="53">
        <v>0.130909090909091</v>
      </c>
      <c r="Y2" s="53">
        <v>0.12545454545454501</v>
      </c>
      <c r="Z2" s="53">
        <v>0.15272727272727299</v>
      </c>
      <c r="AA2" s="53"/>
    </row>
    <row r="3" spans="1:27" ht="14.4" x14ac:dyDescent="0.25">
      <c r="A3" s="11">
        <v>1</v>
      </c>
      <c r="B3" s="56" t="s">
        <v>442</v>
      </c>
      <c r="C3" s="53">
        <v>0.34210909090909064</v>
      </c>
      <c r="D3" s="53">
        <v>0.38059636363636301</v>
      </c>
      <c r="E3" s="53">
        <v>0.38059636363636329</v>
      </c>
      <c r="F3" s="53">
        <v>0.38059636363636329</v>
      </c>
      <c r="G3" s="53">
        <v>0.37204363636363669</v>
      </c>
      <c r="H3" s="53">
        <v>0.39770181818181799</v>
      </c>
      <c r="I3" s="53">
        <v>0.42763636363636326</v>
      </c>
      <c r="J3" s="53">
        <v>0.42336000000000007</v>
      </c>
      <c r="K3" s="53">
        <v>0.36776727272727266</v>
      </c>
      <c r="L3" s="53">
        <v>0.35066181818181796</v>
      </c>
      <c r="M3" s="53">
        <v>0.27796363636363675</v>
      </c>
      <c r="N3" s="53">
        <v>0.28223999999999999</v>
      </c>
      <c r="O3" s="53">
        <v>0.1753309090909094</v>
      </c>
      <c r="P3" s="53">
        <v>0.18388363636363672</v>
      </c>
      <c r="Q3" s="53">
        <v>0.23947636363636404</v>
      </c>
      <c r="R3" s="53">
        <v>0.22664727272727267</v>
      </c>
      <c r="S3" s="53">
        <v>0.20954181818181797</v>
      </c>
      <c r="T3" s="53">
        <v>0.15822545454545472</v>
      </c>
      <c r="U3" s="53">
        <v>0.13256727272727264</v>
      </c>
      <c r="V3" s="53">
        <v>0.16677818181818205</v>
      </c>
      <c r="W3" s="53">
        <v>0.25230545454545467</v>
      </c>
      <c r="X3" s="53">
        <v>0.29934545454545475</v>
      </c>
      <c r="Y3" s="53">
        <v>0.27796363636363675</v>
      </c>
      <c r="Z3" s="53">
        <v>0.26513454545454529</v>
      </c>
      <c r="AA3" s="53"/>
    </row>
    <row r="4" spans="1:27" x14ac:dyDescent="0.25">
      <c r="A4" s="11">
        <v>2</v>
      </c>
      <c r="B4" s="11" t="s">
        <v>5</v>
      </c>
      <c r="C4" s="53">
        <v>0.130909090909091</v>
      </c>
      <c r="D4" s="53">
        <v>0.39818181818181803</v>
      </c>
      <c r="E4" s="53">
        <v>0.441818181818182</v>
      </c>
      <c r="F4" s="53">
        <v>0.45272727272727298</v>
      </c>
      <c r="G4" s="53">
        <v>0.45272727272727298</v>
      </c>
      <c r="H4" s="53">
        <v>0.44727272727272699</v>
      </c>
      <c r="I4" s="53">
        <v>0.37636363636363601</v>
      </c>
      <c r="J4" s="53">
        <v>0.38727272727272699</v>
      </c>
      <c r="K4" s="53">
        <v>0.42545454545454497</v>
      </c>
      <c r="L4" s="53">
        <v>0.41454545454545499</v>
      </c>
      <c r="M4" s="53">
        <v>0.42545454545454497</v>
      </c>
      <c r="N4" s="53">
        <v>0.32727272727272699</v>
      </c>
      <c r="O4" s="53">
        <v>0.27272727272727298</v>
      </c>
      <c r="P4" s="53">
        <v>0.321818181818182</v>
      </c>
      <c r="Q4" s="53">
        <v>0.267272727272727</v>
      </c>
      <c r="R4" s="53">
        <v>0.25090909090909103</v>
      </c>
      <c r="S4" s="53">
        <v>0.267272727272727</v>
      </c>
      <c r="T4" s="53">
        <v>0.22363636363636399</v>
      </c>
      <c r="U4" s="53">
        <v>0.15818181818181801</v>
      </c>
      <c r="V4" s="53">
        <v>0.24</v>
      </c>
      <c r="W4" s="53">
        <v>0.24545454545454501</v>
      </c>
      <c r="X4" s="53">
        <v>0.28363636363636402</v>
      </c>
      <c r="Y4" s="53">
        <v>0.28363636363636402</v>
      </c>
      <c r="Z4" s="53">
        <v>0.234545454545455</v>
      </c>
      <c r="AA4" s="53"/>
    </row>
    <row r="5" spans="1:27" ht="14.4" x14ac:dyDescent="0.25">
      <c r="A5" s="11">
        <v>2</v>
      </c>
      <c r="B5" s="56" t="s">
        <v>442</v>
      </c>
      <c r="C5" s="53">
        <v>0.294545454545455</v>
      </c>
      <c r="D5" s="53">
        <v>0.40363636363636402</v>
      </c>
      <c r="E5" s="53">
        <v>0.39272727272727298</v>
      </c>
      <c r="F5" s="53">
        <v>0.39818181818181803</v>
      </c>
      <c r="G5" s="53">
        <v>0.43636363636363601</v>
      </c>
      <c r="H5" s="53">
        <v>0.44727272727272699</v>
      </c>
      <c r="I5" s="53">
        <v>0.37636363636363601</v>
      </c>
      <c r="J5" s="53">
        <v>0.33272727272727298</v>
      </c>
      <c r="K5" s="53">
        <v>0.37090909090909102</v>
      </c>
      <c r="L5" s="53">
        <v>0.39272727272727298</v>
      </c>
      <c r="M5" s="53">
        <v>0.40909090909090901</v>
      </c>
      <c r="N5" s="53">
        <v>0.39272727272727298</v>
      </c>
      <c r="O5" s="53">
        <v>0.37636363636363601</v>
      </c>
      <c r="P5" s="53">
        <v>0.33818181818181797</v>
      </c>
      <c r="Q5" s="53">
        <v>0.32727272727272699</v>
      </c>
      <c r="R5" s="53">
        <v>0.3</v>
      </c>
      <c r="S5" s="53">
        <v>0.24</v>
      </c>
      <c r="T5" s="53">
        <v>0.190909090909091</v>
      </c>
      <c r="U5" s="53">
        <v>0.24</v>
      </c>
      <c r="V5" s="53">
        <v>0.24</v>
      </c>
      <c r="W5" s="53">
        <v>0.174545454545455</v>
      </c>
      <c r="X5" s="53">
        <v>0.15272727272727299</v>
      </c>
      <c r="Y5" s="53">
        <v>0.147272727272727</v>
      </c>
      <c r="Z5" s="53">
        <v>0.13636363636363599</v>
      </c>
      <c r="AA5" s="53"/>
    </row>
    <row r="6" spans="1:27" x14ac:dyDescent="0.25">
      <c r="A6" s="11">
        <v>3</v>
      </c>
      <c r="B6" s="11" t="s">
        <v>5</v>
      </c>
      <c r="C6" s="53">
        <v>0.38727272727272699</v>
      </c>
      <c r="D6" s="53">
        <v>0.25636363636363602</v>
      </c>
      <c r="E6" s="53">
        <v>0.19636363636363599</v>
      </c>
      <c r="F6" s="53">
        <v>0.41454545454545499</v>
      </c>
      <c r="G6" s="53">
        <v>0.44727272727272699</v>
      </c>
      <c r="H6" s="53">
        <v>0.43090909090909102</v>
      </c>
      <c r="I6" s="53">
        <v>0.14181818181818201</v>
      </c>
      <c r="J6" s="53">
        <v>0.15272727272727299</v>
      </c>
      <c r="K6" s="53">
        <v>0.207272727272727</v>
      </c>
      <c r="L6" s="53">
        <v>0.174545454545455</v>
      </c>
      <c r="M6" s="53">
        <v>0.24545454545454501</v>
      </c>
      <c r="N6" s="53">
        <v>0.33272727272727298</v>
      </c>
      <c r="O6" s="53">
        <v>0.49090909090909102</v>
      </c>
      <c r="P6" s="53">
        <v>0.45818181818181802</v>
      </c>
      <c r="Q6" s="53">
        <v>0.49090909090909102</v>
      </c>
      <c r="R6" s="53">
        <v>0.52909090909090895</v>
      </c>
      <c r="S6" s="53">
        <v>0.49090909090909102</v>
      </c>
      <c r="T6" s="53">
        <v>0.44727272727272699</v>
      </c>
      <c r="U6" s="53">
        <v>0.49090909090909102</v>
      </c>
      <c r="V6" s="53">
        <v>0.49090909090909102</v>
      </c>
      <c r="W6" s="53">
        <v>0.47454545454545499</v>
      </c>
      <c r="X6" s="53">
        <v>0.39818181818181803</v>
      </c>
      <c r="Y6" s="53">
        <v>0.354545454545455</v>
      </c>
      <c r="Z6" s="53">
        <v>0.381818181818182</v>
      </c>
      <c r="AA6" s="53"/>
    </row>
    <row r="7" spans="1:27" ht="14.4" x14ac:dyDescent="0.25">
      <c r="A7" s="11">
        <v>3</v>
      </c>
      <c r="B7" s="56" t="s">
        <v>442</v>
      </c>
      <c r="C7" s="53">
        <v>0.31832727272727279</v>
      </c>
      <c r="D7" s="53">
        <v>0.39211636363636349</v>
      </c>
      <c r="E7" s="53">
        <v>0.38666181818181811</v>
      </c>
      <c r="F7" s="53">
        <v>0.38938909090909068</v>
      </c>
      <c r="G7" s="53">
        <v>0.40420363636363632</v>
      </c>
      <c r="H7" s="53">
        <v>0.42248727272727249</v>
      </c>
      <c r="I7" s="53">
        <v>0.40199999999999964</v>
      </c>
      <c r="J7" s="53">
        <v>0.37804363636363653</v>
      </c>
      <c r="K7" s="53">
        <v>0.36933818181818184</v>
      </c>
      <c r="L7" s="53">
        <v>0.3716945454545455</v>
      </c>
      <c r="M7" s="53">
        <v>0.3435272727272729</v>
      </c>
      <c r="N7" s="53">
        <v>0.33748363636363649</v>
      </c>
      <c r="O7" s="53">
        <v>0.27584727272727272</v>
      </c>
      <c r="P7" s="53">
        <v>0.26103272727272736</v>
      </c>
      <c r="Q7" s="53">
        <v>0.28337454545454555</v>
      </c>
      <c r="R7" s="53">
        <v>0.26332363636363632</v>
      </c>
      <c r="S7" s="53">
        <v>0.22477090909090897</v>
      </c>
      <c r="T7" s="53">
        <v>0.17456727272727285</v>
      </c>
      <c r="U7" s="53">
        <v>0.18628363636363632</v>
      </c>
      <c r="V7" s="53">
        <v>0.20338909090909102</v>
      </c>
      <c r="W7" s="53">
        <v>0.21342545454545483</v>
      </c>
      <c r="X7" s="53">
        <v>0.22603636363636387</v>
      </c>
      <c r="Y7" s="53">
        <v>0.21261818181818187</v>
      </c>
      <c r="Z7" s="53">
        <v>0.20074909090909066</v>
      </c>
      <c r="AA7" s="53"/>
    </row>
    <row r="13" spans="1:27" ht="15.6" x14ac:dyDescent="0.35">
      <c r="A13" t="s">
        <v>276</v>
      </c>
    </row>
  </sheetData>
  <sortState xmlns:xlrd2="http://schemas.microsoft.com/office/spreadsheetml/2017/richdata2" ref="A2:Z4">
    <sortCondition ref="A1:A4"/>
  </sortState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FBEE-1EAB-4BA6-B505-7ED85A77C6A9}">
  <sheetPr>
    <tabColor theme="9" tint="0.79998168889431442"/>
  </sheetPr>
  <dimension ref="A1:Y6"/>
  <sheetViews>
    <sheetView topLeftCell="K1" workbookViewId="0">
      <selection activeCell="B3" sqref="B3:Y3"/>
    </sheetView>
  </sheetViews>
  <sheetFormatPr defaultColWidth="9" defaultRowHeight="13.8" x14ac:dyDescent="0.25"/>
  <cols>
    <col min="1" max="1" width="17.44140625" style="10" bestFit="1" customWidth="1"/>
    <col min="2" max="2" width="12.44140625" style="10" bestFit="1" customWidth="1"/>
    <col min="3" max="25" width="12.33203125" style="10" bestFit="1" customWidth="1"/>
    <col min="26" max="26" width="10.109375" style="10" bestFit="1" customWidth="1"/>
    <col min="27" max="16384" width="9" style="10"/>
  </cols>
  <sheetData>
    <row r="1" spans="1:25" x14ac:dyDescent="0.25">
      <c r="A1" s="7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32</v>
      </c>
      <c r="N1" s="8" t="s">
        <v>33</v>
      </c>
      <c r="O1" s="8" t="s">
        <v>34</v>
      </c>
      <c r="P1" s="8" t="s">
        <v>35</v>
      </c>
      <c r="Q1" s="8" t="s">
        <v>36</v>
      </c>
      <c r="R1" s="8" t="s">
        <v>37</v>
      </c>
      <c r="S1" s="8" t="s">
        <v>38</v>
      </c>
      <c r="T1" s="8" t="s">
        <v>39</v>
      </c>
      <c r="U1" s="8" t="s">
        <v>40</v>
      </c>
      <c r="V1" s="8" t="s">
        <v>41</v>
      </c>
      <c r="W1" s="8" t="s">
        <v>42</v>
      </c>
      <c r="X1" s="8" t="s">
        <v>43</v>
      </c>
      <c r="Y1" s="9" t="s">
        <v>44</v>
      </c>
    </row>
    <row r="2" spans="1:25" x14ac:dyDescent="0.25">
      <c r="A2" s="11">
        <v>1</v>
      </c>
      <c r="B2" s="54">
        <v>0.56316831683168278</v>
      </c>
      <c r="C2" s="54">
        <v>0.51326732673267361</v>
      </c>
      <c r="D2" s="54">
        <v>0.48712871287128723</v>
      </c>
      <c r="E2" s="54">
        <v>0.47524752475247517</v>
      </c>
      <c r="F2" s="54">
        <v>0.47287128712871279</v>
      </c>
      <c r="G2" s="54">
        <v>0.48475247524752474</v>
      </c>
      <c r="H2" s="54">
        <v>0.52277227722772313</v>
      </c>
      <c r="I2" s="54">
        <v>0.62257425742574279</v>
      </c>
      <c r="J2" s="54">
        <v>0.70574257425742559</v>
      </c>
      <c r="K2" s="54">
        <v>0.73663366336633673</v>
      </c>
      <c r="L2" s="54">
        <v>0.75326732673267349</v>
      </c>
      <c r="M2" s="54">
        <v>0.76752475247524787</v>
      </c>
      <c r="N2" s="54">
        <v>0.77227722772277285</v>
      </c>
      <c r="O2" s="54">
        <v>0.76752475247524787</v>
      </c>
      <c r="P2" s="54">
        <v>0.76990099009901047</v>
      </c>
      <c r="Q2" s="54">
        <v>0.76039603960396074</v>
      </c>
      <c r="R2" s="54">
        <v>0.75089108910891111</v>
      </c>
      <c r="S2" s="54">
        <v>0.73900990099009911</v>
      </c>
      <c r="T2" s="54">
        <v>0.72237623762376235</v>
      </c>
      <c r="U2" s="54">
        <v>0.70099009900990084</v>
      </c>
      <c r="V2" s="54">
        <v>0.6914851485148511</v>
      </c>
      <c r="W2" s="54">
        <v>0.71049504950495046</v>
      </c>
      <c r="X2" s="54">
        <v>0.6914851485148511</v>
      </c>
      <c r="Y2" s="54">
        <v>0.62970297029702993</v>
      </c>
    </row>
    <row r="3" spans="1:25" x14ac:dyDescent="0.25">
      <c r="A3" s="11">
        <v>2</v>
      </c>
      <c r="B3" s="54">
        <v>0.5784525618887949</v>
      </c>
      <c r="C3" s="54">
        <v>0.54167781656129732</v>
      </c>
      <c r="D3" s="54">
        <v>0.51455887865571714</v>
      </c>
      <c r="E3" s="54">
        <v>0.51156661857401109</v>
      </c>
      <c r="F3" s="54">
        <v>0.51080521027888348</v>
      </c>
      <c r="G3" s="54">
        <v>0.52274550822039589</v>
      </c>
      <c r="H3" s="54">
        <v>0.63699390039007064</v>
      </c>
      <c r="I3" s="54">
        <v>0.74397776871712373</v>
      </c>
      <c r="J3" s="54">
        <v>0.82137651930803479</v>
      </c>
      <c r="K3" s="54">
        <v>0.83322400649670914</v>
      </c>
      <c r="L3" s="54">
        <v>0.83282251625864689</v>
      </c>
      <c r="M3" s="54">
        <v>0.81488137678379957</v>
      </c>
      <c r="N3" s="54">
        <v>0.81501648575454422</v>
      </c>
      <c r="O3" s="54">
        <v>0.82263772901861809</v>
      </c>
      <c r="P3" s="54">
        <v>0.79751139422654649</v>
      </c>
      <c r="Q3" s="54">
        <v>0.80667609882163749</v>
      </c>
      <c r="R3" s="54">
        <v>0.8605946420030931</v>
      </c>
      <c r="S3" s="54">
        <v>0.86908714125826714</v>
      </c>
      <c r="T3" s="54">
        <v>0.874</v>
      </c>
      <c r="U3" s="54">
        <v>0.83619709593912872</v>
      </c>
      <c r="V3" s="54">
        <v>0.80100292955240593</v>
      </c>
      <c r="W3" s="54">
        <v>0.71722263815317666</v>
      </c>
      <c r="X3" s="54">
        <v>0.63096237713957737</v>
      </c>
      <c r="Y3" s="54">
        <v>0.54352548275462131</v>
      </c>
    </row>
    <row r="4" spans="1:25" x14ac:dyDescent="0.25">
      <c r="A4" s="11">
        <v>3</v>
      </c>
      <c r="B4" s="54">
        <v>0.58693069306930679</v>
      </c>
      <c r="C4" s="54">
        <v>0.53227722772277275</v>
      </c>
      <c r="D4" s="54">
        <v>0.51089108910891123</v>
      </c>
      <c r="E4" s="54">
        <v>0.48950495049504961</v>
      </c>
      <c r="F4" s="54">
        <v>0.48475247524752474</v>
      </c>
      <c r="G4" s="54">
        <v>0.49425742574257442</v>
      </c>
      <c r="H4" s="54">
        <v>0.53465346534653513</v>
      </c>
      <c r="I4" s="54">
        <v>0.63207920792079231</v>
      </c>
      <c r="J4" s="54">
        <v>0.72237623762376235</v>
      </c>
      <c r="K4" s="54">
        <v>0.76752475247524787</v>
      </c>
      <c r="L4" s="54">
        <v>0.79603960396039553</v>
      </c>
      <c r="M4" s="54">
        <v>0.82217821782178191</v>
      </c>
      <c r="N4" s="54">
        <v>0.8364356435643564</v>
      </c>
      <c r="O4" s="54">
        <v>0.84118811881188116</v>
      </c>
      <c r="P4" s="54">
        <v>0.85069306930693078</v>
      </c>
      <c r="Q4" s="54">
        <v>0.85306930693069316</v>
      </c>
      <c r="R4" s="54">
        <v>0.8483168316831684</v>
      </c>
      <c r="S4" s="54">
        <v>0.84594059405940603</v>
      </c>
      <c r="T4" s="54">
        <v>0.82455445544554429</v>
      </c>
      <c r="U4" s="54">
        <v>0.79366336633663315</v>
      </c>
      <c r="V4" s="54">
        <v>0.77227722772277285</v>
      </c>
      <c r="W4" s="54">
        <v>0.79128712871287077</v>
      </c>
      <c r="X4" s="54">
        <v>0.76039603960396074</v>
      </c>
      <c r="Y4" s="54">
        <v>0.68910891089108872</v>
      </c>
    </row>
    <row r="6" spans="1:25" x14ac:dyDescent="0.25">
      <c r="A6" t="s">
        <v>418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66CA-3FE4-46B4-BBAA-6EB490BE7339}">
  <sheetPr>
    <tabColor theme="9" tint="0.79998168889431442"/>
  </sheetPr>
  <dimension ref="A1:AA14"/>
  <sheetViews>
    <sheetView workbookViewId="0">
      <selection activeCell="A10" activeCellId="2" sqref="A4:XFD4 A7:XFD7 A10:XFD10"/>
    </sheetView>
  </sheetViews>
  <sheetFormatPr defaultRowHeight="13.8" x14ac:dyDescent="0.25"/>
  <cols>
    <col min="3" max="3" width="9.109375" bestFit="1" customWidth="1"/>
  </cols>
  <sheetData>
    <row r="1" spans="1:27" ht="27.6" x14ac:dyDescent="0.25">
      <c r="A1" s="7" t="s">
        <v>20</v>
      </c>
      <c r="B1" s="2" t="s">
        <v>2</v>
      </c>
      <c r="C1" s="8" t="s">
        <v>47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54</v>
      </c>
      <c r="K1" s="8" t="s">
        <v>55</v>
      </c>
      <c r="L1" s="8" t="s">
        <v>56</v>
      </c>
      <c r="M1" s="8" t="s">
        <v>57</v>
      </c>
      <c r="N1" s="8" t="s">
        <v>58</v>
      </c>
      <c r="O1" s="8" t="s">
        <v>59</v>
      </c>
      <c r="P1" s="8" t="s">
        <v>60</v>
      </c>
      <c r="Q1" s="8" t="s">
        <v>61</v>
      </c>
      <c r="R1" s="8" t="s">
        <v>62</v>
      </c>
      <c r="S1" s="8" t="s">
        <v>63</v>
      </c>
      <c r="T1" s="8" t="s">
        <v>64</v>
      </c>
      <c r="U1" s="8" t="s">
        <v>65</v>
      </c>
      <c r="V1" s="8" t="s">
        <v>66</v>
      </c>
      <c r="W1" s="8" t="s">
        <v>67</v>
      </c>
      <c r="X1" s="8" t="s">
        <v>68</v>
      </c>
      <c r="Y1" s="8" t="s">
        <v>69</v>
      </c>
      <c r="Z1" s="8" t="s">
        <v>70</v>
      </c>
    </row>
    <row r="2" spans="1:27" x14ac:dyDescent="0.25">
      <c r="A2" s="11">
        <v>1</v>
      </c>
      <c r="B2" s="11" t="s">
        <v>71</v>
      </c>
      <c r="C2" s="53">
        <v>0.28865454545454589</v>
      </c>
      <c r="D2" s="53">
        <v>0.31003636363636328</v>
      </c>
      <c r="E2" s="53">
        <v>0.43298181818181836</v>
      </c>
      <c r="F2" s="53">
        <v>0.44901818181818165</v>
      </c>
      <c r="G2" s="53">
        <v>0.49178181818181838</v>
      </c>
      <c r="H2" s="53">
        <v>0.46505454545454589</v>
      </c>
      <c r="I2" s="53">
        <v>0.44901818181818165</v>
      </c>
      <c r="J2" s="53">
        <v>0.48109090909090918</v>
      </c>
      <c r="K2" s="53">
        <v>0.39021818181818163</v>
      </c>
      <c r="L2" s="53">
        <v>0.34210909090909081</v>
      </c>
      <c r="M2" s="53">
        <v>0.32072727272727247</v>
      </c>
      <c r="N2" s="53">
        <v>0.32072727272727247</v>
      </c>
      <c r="O2" s="53">
        <v>0.29399999999999998</v>
      </c>
      <c r="P2" s="53">
        <v>0.25123636363636331</v>
      </c>
      <c r="Q2" s="53">
        <v>0.19243636363636327</v>
      </c>
      <c r="R2" s="53">
        <v>0.20312727272727246</v>
      </c>
      <c r="S2" s="53">
        <v>0.13898181818181837</v>
      </c>
      <c r="T2" s="53">
        <v>0.1122545454545459</v>
      </c>
      <c r="U2" s="53">
        <v>0.1176</v>
      </c>
      <c r="V2" s="53">
        <v>0.14432727272727247</v>
      </c>
      <c r="W2" s="53">
        <v>0.23519999999999999</v>
      </c>
      <c r="X2" s="53">
        <v>0.24589090909090919</v>
      </c>
      <c r="Y2" s="53">
        <v>0.32072727272727247</v>
      </c>
      <c r="Z2" s="53">
        <v>0.3688363636363633</v>
      </c>
      <c r="AA2" s="53"/>
    </row>
    <row r="3" spans="1:27" ht="14.4" x14ac:dyDescent="0.25">
      <c r="A3" s="11">
        <v>1</v>
      </c>
      <c r="B3" s="56" t="s">
        <v>442</v>
      </c>
      <c r="C3" s="53">
        <v>0.38968363636363645</v>
      </c>
      <c r="D3" s="53">
        <v>0.3593749090909093</v>
      </c>
      <c r="E3" s="53">
        <v>0.3290661818181822</v>
      </c>
      <c r="F3" s="53">
        <v>0.33772581818181779</v>
      </c>
      <c r="G3" s="53">
        <v>0.25545927272727287</v>
      </c>
      <c r="H3" s="53">
        <v>0.13855418181818219</v>
      </c>
      <c r="I3" s="53">
        <v>0.10391563636363643</v>
      </c>
      <c r="J3" s="53">
        <v>0.16886290909090929</v>
      </c>
      <c r="K3" s="53">
        <v>0.16453309090909068</v>
      </c>
      <c r="L3" s="53">
        <v>0.14721381818181781</v>
      </c>
      <c r="M3" s="53">
        <v>0.20783127272727286</v>
      </c>
      <c r="N3" s="53">
        <v>0.25978909090909064</v>
      </c>
      <c r="O3" s="53">
        <v>0.24679963636363647</v>
      </c>
      <c r="P3" s="53">
        <v>0.32040654545454578</v>
      </c>
      <c r="Q3" s="53">
        <v>0.35071527272727288</v>
      </c>
      <c r="R3" s="53">
        <v>0.37236436363636355</v>
      </c>
      <c r="S3" s="53">
        <v>0.3290661818181822</v>
      </c>
      <c r="T3" s="53">
        <v>0.3247363636363636</v>
      </c>
      <c r="U3" s="53">
        <v>0.32040654545454578</v>
      </c>
      <c r="V3" s="53">
        <v>0.26411890909090929</v>
      </c>
      <c r="W3" s="53">
        <v>0.29875745454545427</v>
      </c>
      <c r="X3" s="53">
        <v>0.21649090909090932</v>
      </c>
      <c r="Y3" s="53">
        <v>0.3247363636363636</v>
      </c>
      <c r="Z3" s="53">
        <v>0.2771083636363636</v>
      </c>
      <c r="AA3" s="53"/>
    </row>
    <row r="4" spans="1:27" ht="14.4" x14ac:dyDescent="0.25">
      <c r="A4" s="11">
        <v>1</v>
      </c>
      <c r="B4" s="56" t="s">
        <v>443</v>
      </c>
      <c r="C4" s="53">
        <v>0.441818181818182</v>
      </c>
      <c r="D4" s="53">
        <v>0.45272727272727298</v>
      </c>
      <c r="E4" s="53">
        <v>0.39818181818181803</v>
      </c>
      <c r="F4" s="53">
        <v>0.25636363636363602</v>
      </c>
      <c r="G4" s="53">
        <v>0.37636363636363601</v>
      </c>
      <c r="H4" s="53">
        <v>0.41454545454545499</v>
      </c>
      <c r="I4" s="53">
        <v>0.41454545454545499</v>
      </c>
      <c r="J4" s="53">
        <v>0.43636363636363601</v>
      </c>
      <c r="K4" s="53">
        <v>0.43636363636363601</v>
      </c>
      <c r="L4" s="53">
        <v>0.42</v>
      </c>
      <c r="M4" s="53">
        <v>0.321818181818182</v>
      </c>
      <c r="N4" s="53">
        <v>0.22909090909090901</v>
      </c>
      <c r="O4" s="53">
        <v>0.16909090909090899</v>
      </c>
      <c r="P4" s="53">
        <v>0.20181818181818201</v>
      </c>
      <c r="Q4" s="53">
        <v>0.18</v>
      </c>
      <c r="R4" s="53">
        <v>0.15818181818181801</v>
      </c>
      <c r="S4" s="53">
        <v>0.163636363636364</v>
      </c>
      <c r="T4" s="53">
        <v>0.22363636363636399</v>
      </c>
      <c r="U4" s="53">
        <v>0.13636363636363599</v>
      </c>
      <c r="V4" s="53">
        <v>0.18</v>
      </c>
      <c r="W4" s="53">
        <v>0.18</v>
      </c>
      <c r="X4" s="53">
        <v>0.130909090909091</v>
      </c>
      <c r="Y4" s="53">
        <v>0.12545454545454501</v>
      </c>
      <c r="Z4" s="53">
        <v>0.15272727272727299</v>
      </c>
      <c r="AA4" s="53"/>
    </row>
    <row r="5" spans="1:27" x14ac:dyDescent="0.25">
      <c r="A5" s="11">
        <v>2</v>
      </c>
      <c r="B5" s="11" t="s">
        <v>71</v>
      </c>
      <c r="C5" s="53">
        <v>0.1817454545454541</v>
      </c>
      <c r="D5" s="53">
        <v>0.1817454545454541</v>
      </c>
      <c r="E5" s="53">
        <v>0.14967272727272754</v>
      </c>
      <c r="F5" s="53">
        <v>0.39021818181818163</v>
      </c>
      <c r="G5" s="53">
        <v>0.4436727272727275</v>
      </c>
      <c r="H5" s="53">
        <v>0.43832727272727245</v>
      </c>
      <c r="I5" s="53">
        <v>0.39556363636363673</v>
      </c>
      <c r="J5" s="53">
        <v>0.41159999999999997</v>
      </c>
      <c r="K5" s="53">
        <v>0.43832727272727245</v>
      </c>
      <c r="L5" s="53">
        <v>0.33141818181818161</v>
      </c>
      <c r="M5" s="53">
        <v>0.28865454545454589</v>
      </c>
      <c r="N5" s="53">
        <v>0.26192727272727245</v>
      </c>
      <c r="O5" s="53">
        <v>0.20847272727272753</v>
      </c>
      <c r="P5" s="53">
        <v>0.1764</v>
      </c>
      <c r="Q5" s="53">
        <v>0.22450909090909082</v>
      </c>
      <c r="R5" s="53">
        <v>0.1817454545454541</v>
      </c>
      <c r="S5" s="53">
        <v>0.29399999999999998</v>
      </c>
      <c r="T5" s="53">
        <v>0.33676363636363671</v>
      </c>
      <c r="U5" s="53">
        <v>0.3528</v>
      </c>
      <c r="V5" s="53">
        <v>0.3688363636363633</v>
      </c>
      <c r="W5" s="53">
        <v>0.3688363636363633</v>
      </c>
      <c r="X5" s="53">
        <v>0.3688363636363633</v>
      </c>
      <c r="Y5" s="53">
        <v>0.37418181818181834</v>
      </c>
      <c r="Z5" s="53">
        <v>0.34210909090909081</v>
      </c>
      <c r="AA5" s="53"/>
    </row>
    <row r="6" spans="1:27" ht="14.4" x14ac:dyDescent="0.25">
      <c r="A6" s="11">
        <v>2</v>
      </c>
      <c r="B6" s="56" t="s">
        <v>442</v>
      </c>
      <c r="C6" s="53">
        <v>0.2597890909090913</v>
      </c>
      <c r="D6" s="53">
        <v>0.27903272727272693</v>
      </c>
      <c r="E6" s="53">
        <v>0.38968363636363651</v>
      </c>
      <c r="F6" s="53">
        <v>0.4041163636363635</v>
      </c>
      <c r="G6" s="53">
        <v>0.44260363636363653</v>
      </c>
      <c r="H6" s="53">
        <v>0.41854909090909131</v>
      </c>
      <c r="I6" s="53">
        <v>0.4041163636363635</v>
      </c>
      <c r="J6" s="53">
        <v>0.43298181818181825</v>
      </c>
      <c r="K6" s="53">
        <v>0.35119636363636347</v>
      </c>
      <c r="L6" s="53">
        <v>0.30789818181818174</v>
      </c>
      <c r="M6" s="53">
        <v>0.28865454545454522</v>
      </c>
      <c r="N6" s="53">
        <v>0.28865454545454522</v>
      </c>
      <c r="O6" s="53">
        <v>0.2646</v>
      </c>
      <c r="P6" s="53">
        <v>0.22611272727272699</v>
      </c>
      <c r="Q6" s="53">
        <v>0.17319272727272694</v>
      </c>
      <c r="R6" s="53">
        <v>0.18281454545454523</v>
      </c>
      <c r="S6" s="53">
        <v>0.12508363636363654</v>
      </c>
      <c r="T6" s="53">
        <v>0.1010290909090913</v>
      </c>
      <c r="U6" s="53">
        <v>0.10584</v>
      </c>
      <c r="V6" s="53">
        <v>0.12989454545454523</v>
      </c>
      <c r="W6" s="53">
        <v>0.21168000000000001</v>
      </c>
      <c r="X6" s="53">
        <v>0.22130181818181827</v>
      </c>
      <c r="Y6" s="53">
        <v>0.28865454545454522</v>
      </c>
      <c r="Z6" s="53">
        <v>0.33195272727272696</v>
      </c>
      <c r="AA6" s="53"/>
    </row>
    <row r="7" spans="1:27" ht="14.4" x14ac:dyDescent="0.25">
      <c r="A7" s="11">
        <v>2</v>
      </c>
      <c r="B7" s="56" t="s">
        <v>443</v>
      </c>
      <c r="C7" s="53">
        <v>0.130909090909091</v>
      </c>
      <c r="D7" s="53">
        <v>0.39818181818181803</v>
      </c>
      <c r="E7" s="53">
        <v>0.441818181818182</v>
      </c>
      <c r="F7" s="53">
        <v>0.45272727272727298</v>
      </c>
      <c r="G7" s="53">
        <v>0.45272727272727298</v>
      </c>
      <c r="H7" s="53">
        <v>0.44727272727272699</v>
      </c>
      <c r="I7" s="53">
        <v>0.37636363636363601</v>
      </c>
      <c r="J7" s="53">
        <v>0.38727272727272699</v>
      </c>
      <c r="K7" s="53">
        <v>0.42545454545454497</v>
      </c>
      <c r="L7" s="53">
        <v>0.41454545454545499</v>
      </c>
      <c r="M7" s="53">
        <v>0.42545454545454497</v>
      </c>
      <c r="N7" s="53">
        <v>0.32727272727272699</v>
      </c>
      <c r="O7" s="53">
        <v>0.27272727272727298</v>
      </c>
      <c r="P7" s="53">
        <v>0.321818181818182</v>
      </c>
      <c r="Q7" s="53">
        <v>0.267272727272727</v>
      </c>
      <c r="R7" s="53">
        <v>0.25090909090909103</v>
      </c>
      <c r="S7" s="53">
        <v>0.267272727272727</v>
      </c>
      <c r="T7" s="53">
        <v>0.22363636363636399</v>
      </c>
      <c r="U7" s="53">
        <v>0.15818181818181801</v>
      </c>
      <c r="V7" s="53">
        <v>0.24</v>
      </c>
      <c r="W7" s="53">
        <v>0.24545454545454501</v>
      </c>
      <c r="X7" s="53">
        <v>0.28363636363636402</v>
      </c>
      <c r="Y7" s="53">
        <v>0.28363636363636402</v>
      </c>
      <c r="Z7" s="53">
        <v>0.234545454545455</v>
      </c>
      <c r="AA7" s="53"/>
    </row>
    <row r="8" spans="1:27" x14ac:dyDescent="0.25">
      <c r="A8" s="11">
        <v>3</v>
      </c>
      <c r="B8" s="11" t="s">
        <v>71</v>
      </c>
      <c r="C8" s="53">
        <v>0.34210909090909064</v>
      </c>
      <c r="D8" s="53">
        <v>0.38059636363636329</v>
      </c>
      <c r="E8" s="53">
        <v>0.38059636363636329</v>
      </c>
      <c r="F8" s="53">
        <v>0.38059636363636329</v>
      </c>
      <c r="G8" s="53">
        <v>0.37204363636363669</v>
      </c>
      <c r="H8" s="53">
        <v>0.39770181818181799</v>
      </c>
      <c r="I8" s="53">
        <v>0.42763636363636326</v>
      </c>
      <c r="J8" s="53">
        <v>0.42336000000000007</v>
      </c>
      <c r="K8" s="53">
        <v>0.36776727272727266</v>
      </c>
      <c r="L8" s="53">
        <v>0.35066181818181796</v>
      </c>
      <c r="M8" s="53">
        <v>0.27796363636363675</v>
      </c>
      <c r="N8" s="53">
        <v>0.28223999999999999</v>
      </c>
      <c r="O8" s="53">
        <v>0.1753309090909094</v>
      </c>
      <c r="P8" s="53">
        <v>0.18388363636363672</v>
      </c>
      <c r="Q8" s="53">
        <v>0.23947636363636404</v>
      </c>
      <c r="R8" s="53">
        <v>0.22664727272727267</v>
      </c>
      <c r="S8" s="53">
        <v>0.20954181818181797</v>
      </c>
      <c r="T8" s="53">
        <v>0.15822545454545472</v>
      </c>
      <c r="U8" s="53">
        <v>0.13256727272727264</v>
      </c>
      <c r="V8" s="53">
        <v>0.16677818181818205</v>
      </c>
      <c r="W8" s="53">
        <v>0.25230545454545467</v>
      </c>
      <c r="X8" s="53">
        <v>0.29934545454545475</v>
      </c>
      <c r="Y8" s="53">
        <v>0.27796363636363675</v>
      </c>
      <c r="Z8" s="53">
        <v>0.26513454545454529</v>
      </c>
      <c r="AA8" s="53"/>
    </row>
    <row r="9" spans="1:27" ht="14.4" x14ac:dyDescent="0.25">
      <c r="A9" s="11">
        <v>3</v>
      </c>
      <c r="B9" s="56" t="s">
        <v>442</v>
      </c>
      <c r="C9" s="53">
        <v>0.294545454545455</v>
      </c>
      <c r="D9" s="53">
        <v>0.40363636363636402</v>
      </c>
      <c r="E9" s="53">
        <v>0.39272727272727298</v>
      </c>
      <c r="F9" s="53">
        <v>0.39818181818181803</v>
      </c>
      <c r="G9" s="53">
        <v>0.43636363636363601</v>
      </c>
      <c r="H9" s="53">
        <v>0.44727272727272699</v>
      </c>
      <c r="I9" s="53">
        <v>0.37636363636363601</v>
      </c>
      <c r="J9" s="53">
        <v>0.33272727272727298</v>
      </c>
      <c r="K9" s="53">
        <v>0.37090909090909102</v>
      </c>
      <c r="L9" s="53">
        <v>0.39272727272727298</v>
      </c>
      <c r="M9" s="53">
        <v>0.40909090909090901</v>
      </c>
      <c r="N9" s="53">
        <v>0.39272727272727298</v>
      </c>
      <c r="O9" s="53">
        <v>0.37636363636363601</v>
      </c>
      <c r="P9" s="53">
        <v>0.33818181818181797</v>
      </c>
      <c r="Q9" s="53">
        <v>0.32727272727272699</v>
      </c>
      <c r="R9" s="53">
        <v>0.3</v>
      </c>
      <c r="S9" s="53">
        <v>0.24</v>
      </c>
      <c r="T9" s="53">
        <v>0.190909090909091</v>
      </c>
      <c r="U9" s="53">
        <v>0.24</v>
      </c>
      <c r="V9" s="53">
        <v>0.24</v>
      </c>
      <c r="W9" s="53">
        <v>0.174545454545455</v>
      </c>
      <c r="X9" s="53">
        <v>0.15272727272727299</v>
      </c>
      <c r="Y9" s="53">
        <v>0.147272727272727</v>
      </c>
      <c r="Z9" s="53">
        <v>0.13636363636363599</v>
      </c>
      <c r="AA9" s="53"/>
    </row>
    <row r="10" spans="1:27" ht="14.4" x14ac:dyDescent="0.25">
      <c r="A10" s="11">
        <v>3</v>
      </c>
      <c r="B10" s="56" t="s">
        <v>443</v>
      </c>
      <c r="C10" s="53">
        <v>0.38727272727272699</v>
      </c>
      <c r="D10" s="53">
        <v>0.25636363636363602</v>
      </c>
      <c r="E10" s="53">
        <v>0.19636363636363599</v>
      </c>
      <c r="F10" s="53">
        <v>0.41454545454545499</v>
      </c>
      <c r="G10" s="53">
        <v>0.44727272727272699</v>
      </c>
      <c r="H10" s="53">
        <v>0.43090909090909102</v>
      </c>
      <c r="I10" s="53">
        <v>0.14181818181818201</v>
      </c>
      <c r="J10" s="53">
        <v>0.15272727272727299</v>
      </c>
      <c r="K10" s="53">
        <v>0.207272727272727</v>
      </c>
      <c r="L10" s="53">
        <v>0.174545454545455</v>
      </c>
      <c r="M10" s="53">
        <v>0.24545454545454501</v>
      </c>
      <c r="N10" s="53">
        <v>0.33272727272727298</v>
      </c>
      <c r="O10" s="53">
        <v>0.49090909090909102</v>
      </c>
      <c r="P10" s="53">
        <v>0.45818181818181802</v>
      </c>
      <c r="Q10" s="53">
        <v>0.49090909090909102</v>
      </c>
      <c r="R10" s="53">
        <v>0.52909090909090895</v>
      </c>
      <c r="S10" s="53">
        <v>0.49090909090909102</v>
      </c>
      <c r="T10" s="53">
        <v>0.44727272727272699</v>
      </c>
      <c r="U10" s="53">
        <v>0.49090909090909102</v>
      </c>
      <c r="V10" s="53">
        <v>0.49090909090909102</v>
      </c>
      <c r="W10" s="53">
        <v>0.47454545454545499</v>
      </c>
      <c r="X10" s="53">
        <v>0.39818181818181803</v>
      </c>
      <c r="Y10" s="53">
        <v>0.354545454545455</v>
      </c>
      <c r="Z10" s="53">
        <v>0.381818181818182</v>
      </c>
      <c r="AA10" s="53"/>
    </row>
    <row r="14" spans="1:27" ht="15.6" x14ac:dyDescent="0.35">
      <c r="A14" t="s">
        <v>276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CW45"/>
  <sheetViews>
    <sheetView workbookViewId="0">
      <selection activeCell="L22" sqref="L22"/>
    </sheetView>
  </sheetViews>
  <sheetFormatPr defaultRowHeight="13.8" x14ac:dyDescent="0.25"/>
  <sheetData>
    <row r="1" spans="1:101" x14ac:dyDescent="0.25">
      <c r="B1" t="s">
        <v>316</v>
      </c>
      <c r="C1" t="s">
        <v>317</v>
      </c>
      <c r="D1" t="s">
        <v>318</v>
      </c>
      <c r="E1" t="s">
        <v>319</v>
      </c>
      <c r="F1" t="s">
        <v>320</v>
      </c>
      <c r="G1" t="s">
        <v>321</v>
      </c>
      <c r="H1" t="s">
        <v>322</v>
      </c>
      <c r="I1" t="s">
        <v>323</v>
      </c>
      <c r="J1" t="s">
        <v>324</v>
      </c>
      <c r="K1" t="s">
        <v>325</v>
      </c>
      <c r="L1" t="s">
        <v>326</v>
      </c>
      <c r="M1" t="s">
        <v>327</v>
      </c>
      <c r="N1" t="s">
        <v>328</v>
      </c>
      <c r="O1" t="s">
        <v>329</v>
      </c>
      <c r="P1" t="s">
        <v>330</v>
      </c>
      <c r="Q1" t="s">
        <v>331</v>
      </c>
      <c r="R1" t="s">
        <v>332</v>
      </c>
      <c r="S1" t="s">
        <v>333</v>
      </c>
      <c r="T1" t="s">
        <v>334</v>
      </c>
      <c r="U1" t="s">
        <v>335</v>
      </c>
      <c r="V1" t="s">
        <v>336</v>
      </c>
      <c r="W1" t="s">
        <v>337</v>
      </c>
      <c r="X1" t="s">
        <v>338</v>
      </c>
      <c r="Y1" t="s">
        <v>339</v>
      </c>
      <c r="Z1" t="s">
        <v>340</v>
      </c>
      <c r="AA1" t="s">
        <v>341</v>
      </c>
      <c r="AB1" t="s">
        <v>342</v>
      </c>
      <c r="AC1" t="s">
        <v>343</v>
      </c>
      <c r="AD1" t="s">
        <v>344</v>
      </c>
      <c r="AE1" t="s">
        <v>345</v>
      </c>
      <c r="AF1" t="s">
        <v>346</v>
      </c>
      <c r="AG1" t="s">
        <v>347</v>
      </c>
      <c r="AH1" t="s">
        <v>348</v>
      </c>
      <c r="AI1" t="s">
        <v>349</v>
      </c>
      <c r="AJ1" t="s">
        <v>350</v>
      </c>
      <c r="AK1" t="s">
        <v>351</v>
      </c>
      <c r="AL1" t="s">
        <v>352</v>
      </c>
      <c r="AM1" t="s">
        <v>353</v>
      </c>
      <c r="AN1" t="s">
        <v>354</v>
      </c>
      <c r="AO1" t="s">
        <v>355</v>
      </c>
      <c r="AP1" t="s">
        <v>356</v>
      </c>
      <c r="AQ1" t="s">
        <v>357</v>
      </c>
      <c r="AR1" t="s">
        <v>358</v>
      </c>
      <c r="AS1" t="s">
        <v>359</v>
      </c>
      <c r="AT1" t="s">
        <v>360</v>
      </c>
      <c r="AU1" t="s">
        <v>361</v>
      </c>
      <c r="AV1" t="s">
        <v>362</v>
      </c>
      <c r="AW1" t="s">
        <v>363</v>
      </c>
      <c r="AX1" t="s">
        <v>364</v>
      </c>
      <c r="AY1" t="s">
        <v>365</v>
      </c>
      <c r="AZ1" t="s">
        <v>366</v>
      </c>
      <c r="BA1" t="s">
        <v>367</v>
      </c>
      <c r="BB1" t="s">
        <v>368</v>
      </c>
      <c r="BC1" t="s">
        <v>369</v>
      </c>
      <c r="BD1" t="s">
        <v>370</v>
      </c>
      <c r="BE1" t="s">
        <v>371</v>
      </c>
      <c r="BF1" t="s">
        <v>372</v>
      </c>
      <c r="BG1" t="s">
        <v>373</v>
      </c>
      <c r="BH1" t="s">
        <v>374</v>
      </c>
      <c r="BI1" t="s">
        <v>375</v>
      </c>
      <c r="BJ1" t="s">
        <v>376</v>
      </c>
      <c r="BK1" t="s">
        <v>377</v>
      </c>
      <c r="BL1" t="s">
        <v>378</v>
      </c>
      <c r="BM1" t="s">
        <v>379</v>
      </c>
      <c r="BN1" t="s">
        <v>380</v>
      </c>
      <c r="BO1" t="s">
        <v>381</v>
      </c>
      <c r="BP1" t="s">
        <v>382</v>
      </c>
      <c r="BQ1" t="s">
        <v>383</v>
      </c>
      <c r="BR1" t="s">
        <v>384</v>
      </c>
      <c r="BS1" t="s">
        <v>385</v>
      </c>
      <c r="BT1" t="s">
        <v>386</v>
      </c>
      <c r="BU1" t="s">
        <v>387</v>
      </c>
      <c r="BV1" t="s">
        <v>388</v>
      </c>
      <c r="BW1" t="s">
        <v>389</v>
      </c>
      <c r="BX1" t="s">
        <v>390</v>
      </c>
      <c r="BY1" t="s">
        <v>391</v>
      </c>
      <c r="BZ1" t="s">
        <v>392</v>
      </c>
      <c r="CA1" t="s">
        <v>393</v>
      </c>
      <c r="CB1" t="s">
        <v>394</v>
      </c>
      <c r="CC1" t="s">
        <v>395</v>
      </c>
      <c r="CD1" t="s">
        <v>396</v>
      </c>
      <c r="CE1" t="s">
        <v>397</v>
      </c>
      <c r="CF1" t="s">
        <v>398</v>
      </c>
      <c r="CG1" t="s">
        <v>399</v>
      </c>
      <c r="CH1" t="s">
        <v>400</v>
      </c>
      <c r="CI1" t="s">
        <v>401</v>
      </c>
      <c r="CJ1" t="s">
        <v>402</v>
      </c>
      <c r="CK1" t="s">
        <v>403</v>
      </c>
      <c r="CL1" t="s">
        <v>404</v>
      </c>
      <c r="CM1" t="s">
        <v>405</v>
      </c>
      <c r="CN1" t="s">
        <v>406</v>
      </c>
      <c r="CO1" t="s">
        <v>407</v>
      </c>
      <c r="CP1" t="s">
        <v>408</v>
      </c>
      <c r="CQ1" t="s">
        <v>409</v>
      </c>
      <c r="CR1" t="s">
        <v>410</v>
      </c>
      <c r="CS1" t="s">
        <v>411</v>
      </c>
      <c r="CT1" t="s">
        <v>412</v>
      </c>
      <c r="CU1" t="s">
        <v>413</v>
      </c>
      <c r="CV1" t="s">
        <v>414</v>
      </c>
      <c r="CW1" t="s">
        <v>415</v>
      </c>
    </row>
    <row r="2" spans="1:101" x14ac:dyDescent="0.25">
      <c r="A2">
        <v>1</v>
      </c>
      <c r="B2">
        <v>0.38446043227181198</v>
      </c>
      <c r="C2">
        <v>0.50770026512486099</v>
      </c>
      <c r="D2">
        <v>0.46400146792498398</v>
      </c>
      <c r="E2">
        <v>0.47685438784579798</v>
      </c>
      <c r="F2">
        <v>0.48001019053591798</v>
      </c>
      <c r="G2">
        <v>0.354536609476722</v>
      </c>
      <c r="H2">
        <v>0.60302011459772797</v>
      </c>
      <c r="I2">
        <v>0.63656053276982305</v>
      </c>
      <c r="J2">
        <v>0.470492310041842</v>
      </c>
      <c r="K2">
        <v>0.51149280973261602</v>
      </c>
      <c r="L2">
        <v>0.60638890219245001</v>
      </c>
      <c r="M2">
        <v>0.41681604102215503</v>
      </c>
      <c r="N2">
        <v>0.49044971462062498</v>
      </c>
      <c r="O2">
        <v>0.62607518883265001</v>
      </c>
      <c r="P2">
        <v>0.62489176789076095</v>
      </c>
      <c r="Q2">
        <v>0.45334592024534598</v>
      </c>
      <c r="R2">
        <v>0.47386696847960302</v>
      </c>
      <c r="S2">
        <v>0.46320890147390598</v>
      </c>
      <c r="T2">
        <v>0.48092661201741699</v>
      </c>
      <c r="U2">
        <v>0.70697671794576999</v>
      </c>
      <c r="V2">
        <v>0.50212455633575104</v>
      </c>
      <c r="W2">
        <v>0.61104251710532997</v>
      </c>
      <c r="X2">
        <v>0.551822930641098</v>
      </c>
      <c r="Y2">
        <v>0.36429863306397497</v>
      </c>
      <c r="Z2">
        <v>0.62691276912217098</v>
      </c>
      <c r="AA2">
        <v>0.54100077070403196</v>
      </c>
      <c r="AB2">
        <v>0.48707540908408697</v>
      </c>
      <c r="AC2">
        <v>0.62799877996026698</v>
      </c>
      <c r="AD2">
        <v>0.45250883775948297</v>
      </c>
      <c r="AE2">
        <v>0.45993510805312598</v>
      </c>
      <c r="AF2">
        <v>0.62600353231734496</v>
      </c>
      <c r="AG2">
        <v>0.61883448745486902</v>
      </c>
      <c r="AH2">
        <v>0.76132250392874801</v>
      </c>
      <c r="AI2">
        <v>0.54625795135184796</v>
      </c>
      <c r="AJ2">
        <v>0.56017147879282903</v>
      </c>
      <c r="AK2">
        <v>0.381015335647094</v>
      </c>
      <c r="AL2">
        <v>0.68441716134081398</v>
      </c>
      <c r="AM2">
        <v>0.52661461863107994</v>
      </c>
      <c r="AN2">
        <v>0.47587085078570801</v>
      </c>
      <c r="AO2">
        <v>0.56133210376898501</v>
      </c>
      <c r="AP2">
        <v>0.467410458056293</v>
      </c>
      <c r="AQ2">
        <v>0.58370970835821201</v>
      </c>
      <c r="AR2">
        <v>0.674227732035525</v>
      </c>
      <c r="AS2">
        <v>0.54904530177240196</v>
      </c>
      <c r="AT2">
        <v>0.52267639907654695</v>
      </c>
      <c r="AU2">
        <v>0.53022277657696304</v>
      </c>
      <c r="AV2">
        <v>0.415527349748816</v>
      </c>
      <c r="AW2">
        <v>0.65032474452095301</v>
      </c>
      <c r="AX2">
        <v>0.57134819598791697</v>
      </c>
      <c r="AY2">
        <v>0.415865689147564</v>
      </c>
      <c r="AZ2">
        <v>0.53539548157190897</v>
      </c>
      <c r="BA2">
        <v>0.57756248832741897</v>
      </c>
      <c r="BB2">
        <v>0.54471261273559302</v>
      </c>
      <c r="BC2">
        <v>0.54357253273244099</v>
      </c>
      <c r="BD2">
        <v>0.57058972354305904</v>
      </c>
      <c r="BE2">
        <v>0.44137788772369002</v>
      </c>
      <c r="BF2">
        <v>0.25514332391484301</v>
      </c>
      <c r="BG2">
        <v>0.59168996727196999</v>
      </c>
      <c r="BH2">
        <v>0.45917446654265798</v>
      </c>
      <c r="BI2">
        <v>0.64606928285176202</v>
      </c>
      <c r="BJ2">
        <v>0.42605342710956901</v>
      </c>
      <c r="BK2">
        <v>0.31294882635263999</v>
      </c>
      <c r="BL2">
        <v>0.71128821100601003</v>
      </c>
      <c r="BM2">
        <v>0.54013200518978</v>
      </c>
      <c r="BN2">
        <v>0.526171896157133</v>
      </c>
      <c r="BO2">
        <v>0.59261190860382396</v>
      </c>
      <c r="BP2">
        <v>0.59765267086941298</v>
      </c>
      <c r="BQ2">
        <v>0.48031259145439897</v>
      </c>
      <c r="BR2">
        <v>0.49560709850655699</v>
      </c>
      <c r="BS2">
        <v>0.455750153644217</v>
      </c>
      <c r="BT2">
        <v>0.57010424069740995</v>
      </c>
      <c r="BU2">
        <v>0.61412886006054401</v>
      </c>
      <c r="BV2">
        <v>0.62719394188024902</v>
      </c>
      <c r="BW2">
        <v>0.50695941795933697</v>
      </c>
      <c r="BX2">
        <v>0.466467057171081</v>
      </c>
      <c r="BY2">
        <v>0.45741750513781598</v>
      </c>
      <c r="BZ2">
        <v>0.62038231880734096</v>
      </c>
      <c r="CA2">
        <v>0.37234910880780597</v>
      </c>
      <c r="CB2">
        <v>0.491647734245306</v>
      </c>
      <c r="CC2">
        <v>0.67626716469582204</v>
      </c>
      <c r="CD2">
        <v>0.39585833180711399</v>
      </c>
      <c r="CE2">
        <v>0.39380990770680802</v>
      </c>
      <c r="CF2">
        <v>0.65704357030903904</v>
      </c>
      <c r="CG2">
        <v>0.66992594590168897</v>
      </c>
      <c r="CH2">
        <v>0.48030809775442501</v>
      </c>
      <c r="CI2">
        <v>0.48296144303058403</v>
      </c>
      <c r="CJ2">
        <v>0.60582689488774699</v>
      </c>
      <c r="CK2">
        <v>0.65729963496115595</v>
      </c>
      <c r="CL2">
        <v>0.47671992454830497</v>
      </c>
      <c r="CM2">
        <v>0.47389795232870702</v>
      </c>
      <c r="CN2">
        <v>0.44739919248549398</v>
      </c>
      <c r="CO2">
        <v>0.59282727918678502</v>
      </c>
      <c r="CP2">
        <v>0.56533719864002496</v>
      </c>
      <c r="CQ2">
        <v>0.42908571708979598</v>
      </c>
      <c r="CR2">
        <v>0.52301039318443998</v>
      </c>
      <c r="CS2">
        <v>0.47984830097125802</v>
      </c>
      <c r="CT2">
        <v>0.63946880368081205</v>
      </c>
      <c r="CU2">
        <v>0.45456310589584598</v>
      </c>
      <c r="CV2">
        <v>0.492116818653064</v>
      </c>
      <c r="CW2">
        <v>0.722910112529908</v>
      </c>
    </row>
    <row r="3" spans="1:101" x14ac:dyDescent="0.25">
      <c r="A3">
        <v>2</v>
      </c>
      <c r="B3">
        <v>0.33413826532171398</v>
      </c>
      <c r="C3">
        <v>0.45499458141148102</v>
      </c>
      <c r="D3">
        <v>0.54583714987244702</v>
      </c>
      <c r="E3">
        <v>0.53968580793413801</v>
      </c>
      <c r="F3">
        <v>0.51808091470277995</v>
      </c>
      <c r="G3">
        <v>0.56309192328317703</v>
      </c>
      <c r="H3">
        <v>0.68423560144503304</v>
      </c>
      <c r="I3">
        <v>0.68117344068389396</v>
      </c>
      <c r="J3">
        <v>0.47544139284485398</v>
      </c>
      <c r="K3">
        <v>0.44028309270945398</v>
      </c>
      <c r="L3">
        <v>0.66261468315420002</v>
      </c>
      <c r="M3">
        <v>0.51075007189844102</v>
      </c>
      <c r="N3">
        <v>0.561861083072281</v>
      </c>
      <c r="O3">
        <v>0.70935563032619298</v>
      </c>
      <c r="P3">
        <v>0.70035904339368604</v>
      </c>
      <c r="Q3">
        <v>0.52516898463588002</v>
      </c>
      <c r="R3">
        <v>0.63276242641579294</v>
      </c>
      <c r="S3">
        <v>0.53693294023357596</v>
      </c>
      <c r="T3">
        <v>0.60753968021569904</v>
      </c>
      <c r="U3">
        <v>0.71614128001225097</v>
      </c>
      <c r="V3">
        <v>0.61199908891989996</v>
      </c>
      <c r="W3">
        <v>0.61390293536019303</v>
      </c>
      <c r="X3">
        <v>0.64004730659425402</v>
      </c>
      <c r="Y3">
        <v>0.44994826757020001</v>
      </c>
      <c r="Z3">
        <v>0.53764255090840896</v>
      </c>
      <c r="AA3">
        <v>0.58467262094852401</v>
      </c>
      <c r="AB3">
        <v>0.57244637464110903</v>
      </c>
      <c r="AC3">
        <v>0.60226370570826804</v>
      </c>
      <c r="AD3">
        <v>0.65325482078312602</v>
      </c>
      <c r="AE3">
        <v>0.56132020136907601</v>
      </c>
      <c r="AF3">
        <v>0.70071535548153696</v>
      </c>
      <c r="AG3">
        <v>0.66408506666580902</v>
      </c>
      <c r="AH3">
        <v>0.82878348052791295</v>
      </c>
      <c r="AI3">
        <v>0.60885309987010106</v>
      </c>
      <c r="AJ3">
        <v>0.63930889793020296</v>
      </c>
      <c r="AK3">
        <v>0.50805883345177205</v>
      </c>
      <c r="AL3">
        <v>0.76333470117610402</v>
      </c>
      <c r="AM3">
        <v>0.60662850939797897</v>
      </c>
      <c r="AN3">
        <v>0.58033650330680597</v>
      </c>
      <c r="AO3">
        <v>0.654285808504667</v>
      </c>
      <c r="AP3">
        <v>0.601355256555407</v>
      </c>
      <c r="AQ3">
        <v>0.63208268376211396</v>
      </c>
      <c r="AR3">
        <v>0.67478637376703499</v>
      </c>
      <c r="AS3">
        <v>0.59238132474455596</v>
      </c>
      <c r="AT3">
        <v>0.588240873883357</v>
      </c>
      <c r="AU3">
        <v>0.56993135077880497</v>
      </c>
      <c r="AV3">
        <v>0.54570628440869196</v>
      </c>
      <c r="AW3">
        <v>0.61559555913741204</v>
      </c>
      <c r="AX3">
        <v>0.698650911801036</v>
      </c>
      <c r="AY3">
        <v>0.51222263811350499</v>
      </c>
      <c r="AZ3">
        <v>0.62615659825938197</v>
      </c>
      <c r="BA3">
        <v>0.63487426300121297</v>
      </c>
      <c r="BB3">
        <v>0.577906921818511</v>
      </c>
      <c r="BC3">
        <v>0.55388712918133798</v>
      </c>
      <c r="BD3">
        <v>0.61413217659769803</v>
      </c>
      <c r="BE3">
        <v>0.48172095776825102</v>
      </c>
      <c r="BF3">
        <v>0.50392684358135997</v>
      </c>
      <c r="BG3">
        <v>0.52746238115267297</v>
      </c>
      <c r="BH3">
        <v>0.50289276014842499</v>
      </c>
      <c r="BI3">
        <v>0.64374508560660204</v>
      </c>
      <c r="BJ3">
        <v>0.52088133570094097</v>
      </c>
      <c r="BK3">
        <v>0.45847098050033003</v>
      </c>
      <c r="BL3">
        <v>0.76436868775100097</v>
      </c>
      <c r="BM3">
        <v>0.70855632283440795</v>
      </c>
      <c r="BN3">
        <v>0.57680425755410003</v>
      </c>
      <c r="BO3">
        <v>0.71468014986842898</v>
      </c>
      <c r="BP3">
        <v>0.65017726842356904</v>
      </c>
      <c r="BQ3">
        <v>0.43716673185404997</v>
      </c>
      <c r="BR3">
        <v>0.61554869762774</v>
      </c>
      <c r="BS3">
        <v>0.45231816329675401</v>
      </c>
      <c r="BT3">
        <v>0.65442774293343198</v>
      </c>
      <c r="BU3">
        <v>0.68578094092689401</v>
      </c>
      <c r="BV3">
        <v>0.71637358171730203</v>
      </c>
      <c r="BW3">
        <v>0.63769310476889396</v>
      </c>
      <c r="BX3">
        <v>0.52424499978376904</v>
      </c>
      <c r="BY3">
        <v>0.61948539628226695</v>
      </c>
      <c r="BZ3">
        <v>0.59764352798075904</v>
      </c>
      <c r="CA3">
        <v>0.31562885592420098</v>
      </c>
      <c r="CB3">
        <v>0.55032266246595196</v>
      </c>
      <c r="CC3">
        <v>0.80946043689976199</v>
      </c>
      <c r="CD3">
        <v>0.43113937119644902</v>
      </c>
      <c r="CE3">
        <v>0.31421415537798802</v>
      </c>
      <c r="CF3">
        <v>0.69539102628205696</v>
      </c>
      <c r="CG3">
        <v>0.74280861687917399</v>
      </c>
      <c r="CH3">
        <v>0.65607867147940302</v>
      </c>
      <c r="CI3">
        <v>0.49641656909308002</v>
      </c>
      <c r="CJ3">
        <v>0.62656756627317101</v>
      </c>
      <c r="CK3">
        <v>0.82575959784805897</v>
      </c>
      <c r="CL3">
        <v>0.49439898362199702</v>
      </c>
      <c r="CM3">
        <v>0.58219968063373695</v>
      </c>
      <c r="CN3">
        <v>0.55175796956266299</v>
      </c>
      <c r="CO3">
        <v>0.70290136088031696</v>
      </c>
      <c r="CP3">
        <v>0.56238635818820204</v>
      </c>
      <c r="CQ3">
        <v>0.474245481696494</v>
      </c>
      <c r="CR3">
        <v>0.54845207219882097</v>
      </c>
      <c r="CS3">
        <v>0.55236825141983803</v>
      </c>
      <c r="CT3">
        <v>0.68877274127875898</v>
      </c>
      <c r="CU3">
        <v>0.50507524835625495</v>
      </c>
      <c r="CV3">
        <v>0.52971429470004205</v>
      </c>
      <c r="CW3">
        <v>0.80014237093613405</v>
      </c>
    </row>
    <row r="4" spans="1:101" x14ac:dyDescent="0.25">
      <c r="A4">
        <v>3</v>
      </c>
      <c r="B4">
        <v>0.39211021799672002</v>
      </c>
      <c r="C4">
        <v>0.58479510784809596</v>
      </c>
      <c r="D4">
        <v>0.71440061490624196</v>
      </c>
      <c r="E4">
        <v>0.67390100289400601</v>
      </c>
      <c r="F4">
        <v>0.64138239320789503</v>
      </c>
      <c r="G4">
        <v>0.669161280575025</v>
      </c>
      <c r="H4">
        <v>0.72124441482558799</v>
      </c>
      <c r="I4">
        <v>0.72491217475776404</v>
      </c>
      <c r="J4">
        <v>0.70437263655362703</v>
      </c>
      <c r="K4">
        <v>0.55168471967738397</v>
      </c>
      <c r="L4">
        <v>0.74310703445288895</v>
      </c>
      <c r="M4">
        <v>0.68874660640817598</v>
      </c>
      <c r="N4">
        <v>0.59320585779032697</v>
      </c>
      <c r="O4">
        <v>0.73294866350003396</v>
      </c>
      <c r="P4">
        <v>0.74844114311062004</v>
      </c>
      <c r="Q4">
        <v>0.51560799091638199</v>
      </c>
      <c r="R4">
        <v>0.67843575511596299</v>
      </c>
      <c r="S4">
        <v>0.56245671434273903</v>
      </c>
      <c r="T4">
        <v>0.712530805458232</v>
      </c>
      <c r="U4">
        <v>0.75744242860029098</v>
      </c>
      <c r="V4">
        <v>0.69851219558495103</v>
      </c>
      <c r="W4">
        <v>0.70983249735958798</v>
      </c>
      <c r="X4">
        <v>0.67616288761378995</v>
      </c>
      <c r="Y4">
        <v>0.51951364377774101</v>
      </c>
      <c r="Z4">
        <v>0.70931356035495197</v>
      </c>
      <c r="AA4">
        <v>0.73472543624570297</v>
      </c>
      <c r="AB4">
        <v>0.72754112550764405</v>
      </c>
      <c r="AC4">
        <v>0.67428135071152495</v>
      </c>
      <c r="AD4">
        <v>0.70286889171389899</v>
      </c>
      <c r="AE4">
        <v>0.52987006567303097</v>
      </c>
      <c r="AF4">
        <v>0.75212179903796195</v>
      </c>
      <c r="AG4">
        <v>0.72147660515664602</v>
      </c>
      <c r="AH4">
        <v>0.80763911327933802</v>
      </c>
      <c r="AI4">
        <v>0.69422787092450999</v>
      </c>
      <c r="AJ4">
        <v>0.64005599693652304</v>
      </c>
      <c r="AK4">
        <v>0.56476590973704499</v>
      </c>
      <c r="AL4">
        <v>0.79904980545307902</v>
      </c>
      <c r="AM4">
        <v>0.703760861485075</v>
      </c>
      <c r="AN4">
        <v>0.72082849643582203</v>
      </c>
      <c r="AO4">
        <v>0.740756957100138</v>
      </c>
      <c r="AP4">
        <v>0.73218086650765302</v>
      </c>
      <c r="AQ4">
        <v>0.75105681117289302</v>
      </c>
      <c r="AR4">
        <v>0.74462774083974803</v>
      </c>
      <c r="AS4">
        <v>0.680327561441877</v>
      </c>
      <c r="AT4">
        <v>0.73451871166804406</v>
      </c>
      <c r="AU4">
        <v>0.67573341688760102</v>
      </c>
      <c r="AV4">
        <v>0.71405903293422701</v>
      </c>
      <c r="AW4">
        <v>0.73215944523694299</v>
      </c>
      <c r="AX4">
        <v>0.75131546091008705</v>
      </c>
      <c r="AY4">
        <v>0.60202412597561905</v>
      </c>
      <c r="AZ4">
        <v>0.72432376991768999</v>
      </c>
      <c r="BA4">
        <v>0.76486877073953097</v>
      </c>
      <c r="BB4">
        <v>0.68841407276200905</v>
      </c>
      <c r="BC4">
        <v>0.72970364155886702</v>
      </c>
      <c r="BD4">
        <v>0.74313779497016397</v>
      </c>
      <c r="BE4">
        <v>0.67313189810032903</v>
      </c>
      <c r="BF4">
        <v>0.60938389876743604</v>
      </c>
      <c r="BG4">
        <v>0.60453755306163603</v>
      </c>
      <c r="BH4">
        <v>0.56410732332288505</v>
      </c>
      <c r="BI4">
        <v>0.74237420112331998</v>
      </c>
      <c r="BJ4">
        <v>0.57481759141449995</v>
      </c>
      <c r="BK4">
        <v>0.60079387695539199</v>
      </c>
      <c r="BL4">
        <v>0.79317927400363497</v>
      </c>
      <c r="BM4">
        <v>0.74785316637034605</v>
      </c>
      <c r="BN4">
        <v>0.64808379400580096</v>
      </c>
      <c r="BO4">
        <v>0.75512608128498504</v>
      </c>
      <c r="BP4">
        <v>0.71272636759730301</v>
      </c>
      <c r="BQ4">
        <v>0.44150431758494102</v>
      </c>
      <c r="BR4">
        <v>0.69181629298678504</v>
      </c>
      <c r="BS4">
        <v>0.68337602604450298</v>
      </c>
      <c r="BT4">
        <v>0.75824976591757798</v>
      </c>
      <c r="BU4">
        <v>0.740441632542162</v>
      </c>
      <c r="BV4">
        <v>0.75230384303605002</v>
      </c>
      <c r="BW4">
        <v>0.66147880629608902</v>
      </c>
      <c r="BX4">
        <v>0.65133143802425997</v>
      </c>
      <c r="BY4">
        <v>0.60360310809538398</v>
      </c>
      <c r="BZ4">
        <v>0.70747257764143101</v>
      </c>
      <c r="CA4">
        <v>0.37659018655597398</v>
      </c>
      <c r="CB4">
        <v>0.69427648969829203</v>
      </c>
      <c r="CC4">
        <v>0.80413818954526695</v>
      </c>
      <c r="CD4">
        <v>0.38905756680461201</v>
      </c>
      <c r="CE4">
        <v>0.68217791166158503</v>
      </c>
      <c r="CF4">
        <v>0.76444629337478298</v>
      </c>
      <c r="CG4">
        <v>0.71836963119686903</v>
      </c>
      <c r="CH4">
        <v>0.76162435970379005</v>
      </c>
      <c r="CI4">
        <v>0.59914232521391197</v>
      </c>
      <c r="CJ4">
        <v>0.76317708085101599</v>
      </c>
      <c r="CK4">
        <v>0.80831374108280096</v>
      </c>
      <c r="CL4">
        <v>0.675172967348599</v>
      </c>
      <c r="CM4">
        <v>0.73756200145097595</v>
      </c>
      <c r="CN4">
        <v>0.66408977623419396</v>
      </c>
      <c r="CO4">
        <v>0.761170035239076</v>
      </c>
      <c r="CP4">
        <v>0.617379441451126</v>
      </c>
      <c r="CQ4">
        <v>0.59223152588807604</v>
      </c>
      <c r="CR4">
        <v>0.60207006548316899</v>
      </c>
      <c r="CS4">
        <v>0.66711019743922895</v>
      </c>
      <c r="CT4">
        <v>0.77777113242383</v>
      </c>
      <c r="CU4">
        <v>0.63130910852185995</v>
      </c>
      <c r="CV4">
        <v>0.68559048963186497</v>
      </c>
      <c r="CW4">
        <v>0.80418507552740304</v>
      </c>
    </row>
    <row r="5" spans="1:101" x14ac:dyDescent="0.25">
      <c r="A5">
        <v>4</v>
      </c>
      <c r="B5">
        <v>0.320718432808069</v>
      </c>
      <c r="C5">
        <v>0.67124301148432597</v>
      </c>
      <c r="D5">
        <v>0.79785115199653001</v>
      </c>
      <c r="E5">
        <v>0.66831809437043699</v>
      </c>
      <c r="F5">
        <v>0.71484316939328596</v>
      </c>
      <c r="G5">
        <v>0.77116669003651594</v>
      </c>
      <c r="H5">
        <v>0.73541894565710197</v>
      </c>
      <c r="I5">
        <v>0.80125739278856001</v>
      </c>
      <c r="J5">
        <v>0.770115187272298</v>
      </c>
      <c r="K5">
        <v>0.72100946241337205</v>
      </c>
      <c r="L5">
        <v>0.81495876593702599</v>
      </c>
      <c r="M5">
        <v>0.79223483933650096</v>
      </c>
      <c r="N5">
        <v>0.77299900665612997</v>
      </c>
      <c r="O5">
        <v>0.77547145571801701</v>
      </c>
      <c r="P5">
        <v>0.79915768271463805</v>
      </c>
      <c r="Q5">
        <v>0.62288922182856499</v>
      </c>
      <c r="R5">
        <v>0.75332281651671995</v>
      </c>
      <c r="S5">
        <v>0.68458532126139204</v>
      </c>
      <c r="T5">
        <v>0.79900331610713504</v>
      </c>
      <c r="U5">
        <v>0.81639793352631795</v>
      </c>
      <c r="V5">
        <v>0.72348874540948804</v>
      </c>
      <c r="W5">
        <v>0.75933128742915501</v>
      </c>
      <c r="X5">
        <v>0.76160668463209102</v>
      </c>
      <c r="Y5">
        <v>0.40459593616282302</v>
      </c>
      <c r="Z5">
        <v>0.755128023573158</v>
      </c>
      <c r="AA5">
        <v>0.79523469666647495</v>
      </c>
      <c r="AB5">
        <v>0.76775324432675296</v>
      </c>
      <c r="AC5">
        <v>0.80583300213280795</v>
      </c>
      <c r="AD5">
        <v>0.70617171154824498</v>
      </c>
      <c r="AE5">
        <v>0.74233676888174804</v>
      </c>
      <c r="AF5">
        <v>0.79077707937680597</v>
      </c>
      <c r="AG5">
        <v>0.751832696593422</v>
      </c>
      <c r="AH5">
        <v>0.88986561309353696</v>
      </c>
      <c r="AI5">
        <v>0.780133116797186</v>
      </c>
      <c r="AJ5">
        <v>0.74606936337771002</v>
      </c>
      <c r="AK5">
        <v>0.64398728495538005</v>
      </c>
      <c r="AL5">
        <v>0.857708813596472</v>
      </c>
      <c r="AM5">
        <v>0.81294587066979795</v>
      </c>
      <c r="AN5">
        <v>0.80554680704482395</v>
      </c>
      <c r="AO5">
        <v>0.82860823665320804</v>
      </c>
      <c r="AP5">
        <v>0.72849502072965899</v>
      </c>
      <c r="AQ5">
        <v>0.85620251916850398</v>
      </c>
      <c r="AR5">
        <v>0.84552786156632997</v>
      </c>
      <c r="AS5">
        <v>0.47870757278838</v>
      </c>
      <c r="AT5">
        <v>0.79220852949554299</v>
      </c>
      <c r="AU5">
        <v>0.74569079183995601</v>
      </c>
      <c r="AV5">
        <v>0.79737304509570595</v>
      </c>
      <c r="AW5">
        <v>0.77670124348074299</v>
      </c>
      <c r="AX5">
        <v>0.79084196229677195</v>
      </c>
      <c r="AY5">
        <v>0.63658618582184201</v>
      </c>
      <c r="AZ5">
        <v>0.73771510878464497</v>
      </c>
      <c r="BA5">
        <v>0.80507310728071901</v>
      </c>
      <c r="BB5">
        <v>0.79355544301561098</v>
      </c>
      <c r="BC5">
        <v>0.78622127197970004</v>
      </c>
      <c r="BD5">
        <v>0.80510903717539595</v>
      </c>
      <c r="BE5">
        <v>0.63922285227833597</v>
      </c>
      <c r="BF5">
        <v>0.729154308310068</v>
      </c>
      <c r="BG5">
        <v>0.77311488533228601</v>
      </c>
      <c r="BH5">
        <v>0.72847636771595503</v>
      </c>
      <c r="BI5">
        <v>0.833766328286912</v>
      </c>
      <c r="BJ5">
        <v>0.61370779065907799</v>
      </c>
      <c r="BK5">
        <v>0.67894585214916703</v>
      </c>
      <c r="BL5">
        <v>0.80366585186539796</v>
      </c>
      <c r="BM5">
        <v>0.85362169559789902</v>
      </c>
      <c r="BN5">
        <v>0.64413437180591704</v>
      </c>
      <c r="BO5">
        <v>0.84753310132947801</v>
      </c>
      <c r="BP5">
        <v>0.77850157922975705</v>
      </c>
      <c r="BQ5">
        <v>0.57436977771367903</v>
      </c>
      <c r="BR5">
        <v>0.77813868309453604</v>
      </c>
      <c r="BS5">
        <v>0.76329935555362505</v>
      </c>
      <c r="BT5">
        <v>0.80402767334862901</v>
      </c>
      <c r="BU5">
        <v>0.80186615292611296</v>
      </c>
      <c r="BV5">
        <v>0.809968708384042</v>
      </c>
      <c r="BW5">
        <v>0.75248492965866798</v>
      </c>
      <c r="BX5">
        <v>0.71988497465224299</v>
      </c>
      <c r="BY5">
        <v>0.74404252068808197</v>
      </c>
      <c r="BZ5">
        <v>0.79576318822501402</v>
      </c>
      <c r="CA5">
        <v>0.36706049860221801</v>
      </c>
      <c r="CB5">
        <v>0.76878313588834502</v>
      </c>
      <c r="CC5">
        <v>0.81152024114628496</v>
      </c>
      <c r="CD5">
        <v>0.38548145609739998</v>
      </c>
      <c r="CE5">
        <v>0.76900611413856501</v>
      </c>
      <c r="CF5">
        <v>0.80273301023738297</v>
      </c>
      <c r="CG5">
        <v>0.77127966768798595</v>
      </c>
      <c r="CH5">
        <v>0.79148146699433197</v>
      </c>
      <c r="CI5">
        <v>0.513792489522643</v>
      </c>
      <c r="CJ5">
        <v>0.800547893620843</v>
      </c>
      <c r="CK5">
        <v>0.84969279157380195</v>
      </c>
      <c r="CL5">
        <v>0.54654881325083904</v>
      </c>
      <c r="CM5">
        <v>0.78392183161589302</v>
      </c>
      <c r="CN5">
        <v>0.71194031339391195</v>
      </c>
      <c r="CO5">
        <v>0.80438295133594995</v>
      </c>
      <c r="CP5">
        <v>0.64114603039506102</v>
      </c>
      <c r="CQ5">
        <v>0.73365519555778602</v>
      </c>
      <c r="CR5">
        <v>0.68919268890052698</v>
      </c>
      <c r="CS5">
        <v>0.54419896417798297</v>
      </c>
      <c r="CT5">
        <v>0.82023906865649698</v>
      </c>
      <c r="CU5">
        <v>0.73222204040757599</v>
      </c>
      <c r="CV5">
        <v>0.76483569148901798</v>
      </c>
      <c r="CW5">
        <v>0.85809938526523899</v>
      </c>
    </row>
    <row r="6" spans="1:101" x14ac:dyDescent="0.25">
      <c r="A6">
        <v>5</v>
      </c>
      <c r="B6">
        <v>0.51109783322658497</v>
      </c>
      <c r="C6">
        <v>0.72753736842386096</v>
      </c>
      <c r="D6">
        <v>0.80471867990878898</v>
      </c>
      <c r="E6">
        <v>0.82651631620740995</v>
      </c>
      <c r="F6">
        <v>0.72015200017094905</v>
      </c>
      <c r="G6">
        <v>0.80744788897268305</v>
      </c>
      <c r="H6">
        <v>0.77264492705219301</v>
      </c>
      <c r="I6">
        <v>0.82079371163952097</v>
      </c>
      <c r="J6">
        <v>0.76805122055541597</v>
      </c>
      <c r="K6">
        <v>0.68702390421290005</v>
      </c>
      <c r="L6">
        <v>0.84810426651017501</v>
      </c>
      <c r="M6">
        <v>0.82336121342846802</v>
      </c>
      <c r="N6">
        <v>0.80089976166624599</v>
      </c>
      <c r="O6">
        <v>0.79223578820215201</v>
      </c>
      <c r="P6">
        <v>0.85817633464158205</v>
      </c>
      <c r="Q6">
        <v>0.438353477250778</v>
      </c>
      <c r="R6">
        <v>0.71884603273838799</v>
      </c>
      <c r="S6">
        <v>0.73493368294273997</v>
      </c>
      <c r="T6">
        <v>0.81964649060888695</v>
      </c>
      <c r="U6">
        <v>0.82828807128807702</v>
      </c>
      <c r="V6">
        <v>0.75633581087790702</v>
      </c>
      <c r="W6">
        <v>0.81606079887976601</v>
      </c>
      <c r="X6">
        <v>0.81943195181335904</v>
      </c>
      <c r="Y6">
        <v>0.37418835488191898</v>
      </c>
      <c r="Z6">
        <v>0.79113394526073799</v>
      </c>
      <c r="AA6">
        <v>0.839694184893653</v>
      </c>
      <c r="AB6">
        <v>0.81624106828846898</v>
      </c>
      <c r="AC6">
        <v>0.84833116914190199</v>
      </c>
      <c r="AD6">
        <v>0.76730057225227499</v>
      </c>
      <c r="AE6">
        <v>0.81404448424843401</v>
      </c>
      <c r="AF6">
        <v>0.761198910005628</v>
      </c>
      <c r="AG6">
        <v>0.82337337699487201</v>
      </c>
      <c r="AH6">
        <v>0.84266617735965099</v>
      </c>
      <c r="AI6">
        <v>0.80885638296170703</v>
      </c>
      <c r="AJ6">
        <v>0.77152566310731996</v>
      </c>
      <c r="AK6">
        <v>0.72233871822877105</v>
      </c>
      <c r="AL6">
        <v>0.86088045692696202</v>
      </c>
      <c r="AM6">
        <v>0.86960333063371198</v>
      </c>
      <c r="AN6">
        <v>0.80850487420212303</v>
      </c>
      <c r="AO6">
        <v>0.83985107966720296</v>
      </c>
      <c r="AP6">
        <v>0.77559196775427197</v>
      </c>
      <c r="AQ6">
        <v>0.88546162969145803</v>
      </c>
      <c r="AR6">
        <v>0.84953131852427999</v>
      </c>
      <c r="AS6">
        <v>0.444665513246704</v>
      </c>
      <c r="AT6">
        <v>0.84217471763294305</v>
      </c>
      <c r="AU6">
        <v>0.75889948195976198</v>
      </c>
      <c r="AV6">
        <v>0.79186485543014695</v>
      </c>
      <c r="AW6">
        <v>0.82953821723158805</v>
      </c>
      <c r="AX6">
        <v>0.80214687097110204</v>
      </c>
      <c r="AY6">
        <v>0.67880545037720297</v>
      </c>
      <c r="AZ6">
        <v>0.74981168767759698</v>
      </c>
      <c r="BA6">
        <v>0.791617655950549</v>
      </c>
      <c r="BB6">
        <v>0.82453187578582698</v>
      </c>
      <c r="BC6">
        <v>0.82244361023986401</v>
      </c>
      <c r="BD6">
        <v>0.88921878161601897</v>
      </c>
      <c r="BE6">
        <v>0.63845142248089004</v>
      </c>
      <c r="BF6">
        <v>0.82184732051182097</v>
      </c>
      <c r="BG6">
        <v>0.83448442016151703</v>
      </c>
      <c r="BH6">
        <v>0.74111348273201505</v>
      </c>
      <c r="BI6">
        <v>0.85905633226509104</v>
      </c>
      <c r="BJ6">
        <v>0.42322741072976799</v>
      </c>
      <c r="BK6">
        <v>0.78761301515732296</v>
      </c>
      <c r="BL6">
        <v>0.82137962292317102</v>
      </c>
      <c r="BM6">
        <v>0.90518209501299896</v>
      </c>
      <c r="BN6">
        <v>0.643695840962903</v>
      </c>
      <c r="BO6">
        <v>0.88706872607026099</v>
      </c>
      <c r="BP6">
        <v>0.79383776476500501</v>
      </c>
      <c r="BQ6">
        <v>0.69710680034065198</v>
      </c>
      <c r="BR6">
        <v>0.79711155246509802</v>
      </c>
      <c r="BS6">
        <v>0.70192503826107899</v>
      </c>
      <c r="BT6">
        <v>0.86244533104371301</v>
      </c>
      <c r="BU6">
        <v>0.78037008440715905</v>
      </c>
      <c r="BV6">
        <v>0.84263854347327205</v>
      </c>
      <c r="BW6">
        <v>0.73535223687968498</v>
      </c>
      <c r="BX6">
        <v>0.75925811436715196</v>
      </c>
      <c r="BY6">
        <v>0.78236095482368495</v>
      </c>
      <c r="BZ6">
        <v>0.86296506300873199</v>
      </c>
      <c r="CA6">
        <v>0.62303063751134202</v>
      </c>
      <c r="CB6">
        <v>0.71658281314884698</v>
      </c>
      <c r="CC6">
        <v>0.83033711315367598</v>
      </c>
      <c r="CD6">
        <v>0.659876153828859</v>
      </c>
      <c r="CE6">
        <v>0.83722871600585602</v>
      </c>
      <c r="CF6">
        <v>0.87341712489922696</v>
      </c>
      <c r="CG6">
        <v>0.641033541809929</v>
      </c>
      <c r="CH6">
        <v>0.78001889400132995</v>
      </c>
      <c r="CI6">
        <v>0.59340640169987102</v>
      </c>
      <c r="CJ6">
        <v>0.83087783450254205</v>
      </c>
      <c r="CK6">
        <v>0.85104264926567996</v>
      </c>
      <c r="CL6">
        <v>0.71122486688192799</v>
      </c>
      <c r="CM6">
        <v>0.82080729966011101</v>
      </c>
      <c r="CN6">
        <v>0.737816224093923</v>
      </c>
      <c r="CO6">
        <v>0.88426740192462705</v>
      </c>
      <c r="CP6">
        <v>0.58977510870508199</v>
      </c>
      <c r="CQ6">
        <v>0.81230615336880296</v>
      </c>
      <c r="CR6">
        <v>0.75730584936477896</v>
      </c>
      <c r="CS6">
        <v>0.36282350170970501</v>
      </c>
      <c r="CT6">
        <v>0.83561075708795196</v>
      </c>
      <c r="CU6">
        <v>0.67836006531875503</v>
      </c>
      <c r="CV6">
        <v>0.71791007637395798</v>
      </c>
      <c r="CW6">
        <v>0.95467647234061404</v>
      </c>
    </row>
    <row r="7" spans="1:101" x14ac:dyDescent="0.25">
      <c r="A7">
        <v>6</v>
      </c>
      <c r="B7">
        <v>0.67019500887380101</v>
      </c>
      <c r="C7">
        <v>0.65556245547079595</v>
      </c>
      <c r="D7">
        <v>0.78511440967500101</v>
      </c>
      <c r="E7">
        <v>0.80913782793381495</v>
      </c>
      <c r="F7">
        <v>0.72318075693519002</v>
      </c>
      <c r="G7">
        <v>0.77611142793729804</v>
      </c>
      <c r="H7">
        <v>0.67884602711236397</v>
      </c>
      <c r="I7">
        <v>0.80896345468758102</v>
      </c>
      <c r="J7">
        <v>0.857584709400112</v>
      </c>
      <c r="K7">
        <v>0.55636717224950405</v>
      </c>
      <c r="L7">
        <v>0.91290886113496705</v>
      </c>
      <c r="M7">
        <v>0.78213145437262599</v>
      </c>
      <c r="N7">
        <v>0.81482177812703704</v>
      </c>
      <c r="O7">
        <v>0.74505976830587195</v>
      </c>
      <c r="P7">
        <v>0.80983297532265497</v>
      </c>
      <c r="Q7">
        <v>0.62551414447556997</v>
      </c>
      <c r="R7">
        <v>0.77907974433318905</v>
      </c>
      <c r="S7">
        <v>0.77598273091088299</v>
      </c>
      <c r="T7">
        <v>0.79529905289471803</v>
      </c>
      <c r="U7">
        <v>0.77260565817961502</v>
      </c>
      <c r="V7">
        <v>0.65281920997693299</v>
      </c>
      <c r="W7">
        <v>0.80918465143903096</v>
      </c>
      <c r="X7">
        <v>0.81640752833124297</v>
      </c>
      <c r="Y7">
        <v>0.48478387300918402</v>
      </c>
      <c r="Z7">
        <v>0.83170378596594396</v>
      </c>
      <c r="AA7">
        <v>0.86827010396910997</v>
      </c>
      <c r="AB7">
        <v>0.87766483332800704</v>
      </c>
      <c r="AC7">
        <v>0.85891235910101205</v>
      </c>
      <c r="AD7">
        <v>0.76308535489963103</v>
      </c>
      <c r="AE7">
        <v>0.852047170934777</v>
      </c>
      <c r="AF7">
        <v>0.79873608032505905</v>
      </c>
      <c r="AG7">
        <v>0.76680442378389302</v>
      </c>
      <c r="AH7">
        <v>0.82780482810120604</v>
      </c>
      <c r="AI7">
        <v>0.785460217895256</v>
      </c>
      <c r="AJ7">
        <v>0.830695711326083</v>
      </c>
      <c r="AK7">
        <v>0.74935095174495603</v>
      </c>
      <c r="AL7">
        <v>0.86897266080835001</v>
      </c>
      <c r="AM7">
        <v>0.80137496895379901</v>
      </c>
      <c r="AN7">
        <v>0.77443571738318195</v>
      </c>
      <c r="AO7">
        <v>0.83760264714933896</v>
      </c>
      <c r="AP7">
        <v>0.70532257921045705</v>
      </c>
      <c r="AQ7">
        <v>0.84685534238257598</v>
      </c>
      <c r="AR7">
        <v>0.83305032759758602</v>
      </c>
      <c r="AS7">
        <v>0.46327981196273699</v>
      </c>
      <c r="AT7">
        <v>0.89779677937739399</v>
      </c>
      <c r="AU7">
        <v>0.84007046776042804</v>
      </c>
      <c r="AV7">
        <v>0.79876575191899601</v>
      </c>
      <c r="AW7">
        <v>0.837245456746876</v>
      </c>
      <c r="AX7">
        <v>0.81412025288532097</v>
      </c>
      <c r="AY7">
        <v>0.47302293602349399</v>
      </c>
      <c r="AZ7">
        <v>0.71726244090020197</v>
      </c>
      <c r="BA7">
        <v>0.79916418094964903</v>
      </c>
      <c r="BB7">
        <v>0.76492209790508103</v>
      </c>
      <c r="BC7">
        <v>0.85245138613832205</v>
      </c>
      <c r="BD7">
        <v>0.881599391859475</v>
      </c>
      <c r="BE7">
        <v>0.69864180820758803</v>
      </c>
      <c r="BF7">
        <v>0.81959401995896297</v>
      </c>
      <c r="BG7">
        <v>0.84675760896071695</v>
      </c>
      <c r="BH7">
        <v>0.83631252679030299</v>
      </c>
      <c r="BI7">
        <v>0.85312393587356505</v>
      </c>
      <c r="BJ7">
        <v>0.48437874913712098</v>
      </c>
      <c r="BK7">
        <v>0.84236999375921195</v>
      </c>
      <c r="BL7">
        <v>0.86294416779363303</v>
      </c>
      <c r="BM7">
        <v>0.947862118935347</v>
      </c>
      <c r="BN7">
        <v>0.786484035380281</v>
      </c>
      <c r="BO7">
        <v>0.90630772426950001</v>
      </c>
      <c r="BP7">
        <v>0.70322905863651297</v>
      </c>
      <c r="BQ7">
        <v>0.73539108454559199</v>
      </c>
      <c r="BR7">
        <v>0.78568322450896699</v>
      </c>
      <c r="BS7">
        <v>0.720803377802683</v>
      </c>
      <c r="BT7">
        <v>0.83347394528324403</v>
      </c>
      <c r="BU7">
        <v>0.82287905001143202</v>
      </c>
      <c r="BV7">
        <v>0.82563440142833</v>
      </c>
      <c r="BW7">
        <v>0.46354368689822401</v>
      </c>
      <c r="BX7">
        <v>0.75723821296749805</v>
      </c>
      <c r="BY7">
        <v>0.73203492007796001</v>
      </c>
      <c r="BZ7">
        <v>0.88287100444265798</v>
      </c>
      <c r="CA7">
        <v>0.769967450798835</v>
      </c>
      <c r="CB7">
        <v>0.70673410898553601</v>
      </c>
      <c r="CC7">
        <v>0.84269236644582302</v>
      </c>
      <c r="CD7">
        <v>0.70610984890537898</v>
      </c>
      <c r="CE7">
        <v>0.77028331612108802</v>
      </c>
      <c r="CF7">
        <v>0.89863582677503995</v>
      </c>
      <c r="CG7">
        <v>0.70865798208907704</v>
      </c>
      <c r="CH7">
        <v>0.71484157256368197</v>
      </c>
      <c r="CI7">
        <v>0.68823736968137805</v>
      </c>
      <c r="CJ7">
        <v>0.83771245730097699</v>
      </c>
      <c r="CK7">
        <v>0.84395654834477196</v>
      </c>
      <c r="CL7">
        <v>0.82854090634261002</v>
      </c>
      <c r="CM7">
        <v>0.76715200836904196</v>
      </c>
      <c r="CN7">
        <v>0.79473864572854003</v>
      </c>
      <c r="CO7">
        <v>0.88429003152177099</v>
      </c>
      <c r="CP7">
        <v>0.73508263605203605</v>
      </c>
      <c r="CQ7">
        <v>0.81798655924828201</v>
      </c>
      <c r="CR7">
        <v>0.68126853896935002</v>
      </c>
      <c r="CS7">
        <v>0.54097344377414203</v>
      </c>
      <c r="CT7">
        <v>0.83226889251176595</v>
      </c>
      <c r="CU7">
        <v>0.66677261596596904</v>
      </c>
      <c r="CV7">
        <v>0.76668709057248297</v>
      </c>
      <c r="CW7">
        <v>0.92627373104118804</v>
      </c>
    </row>
    <row r="8" spans="1:101" x14ac:dyDescent="0.25">
      <c r="A8">
        <v>7</v>
      </c>
      <c r="B8">
        <v>0.73258285676644697</v>
      </c>
      <c r="C8">
        <v>0.76834863691622002</v>
      </c>
      <c r="D8">
        <v>0.70783038665257003</v>
      </c>
      <c r="E8">
        <v>0.799635018185334</v>
      </c>
      <c r="F8">
        <v>0.76429847449326505</v>
      </c>
      <c r="G8">
        <v>0.76802047221004299</v>
      </c>
      <c r="H8">
        <v>0.71214810301631504</v>
      </c>
      <c r="I8">
        <v>0.82749562979146396</v>
      </c>
      <c r="J8">
        <v>0.86757562387716403</v>
      </c>
      <c r="K8">
        <v>0.47015367945530601</v>
      </c>
      <c r="L8">
        <v>0.94319856504555899</v>
      </c>
      <c r="M8">
        <v>0.85783110361231296</v>
      </c>
      <c r="N8">
        <v>0.86204516137221998</v>
      </c>
      <c r="O8">
        <v>0.72358620082890202</v>
      </c>
      <c r="P8">
        <v>0.77398132358687899</v>
      </c>
      <c r="Q8">
        <v>0.74886278388239202</v>
      </c>
      <c r="R8">
        <v>0.721023926684354</v>
      </c>
      <c r="S8">
        <v>0.78581602140274298</v>
      </c>
      <c r="T8">
        <v>0.83764774443407597</v>
      </c>
      <c r="U8">
        <v>0.85539337373107505</v>
      </c>
      <c r="V8">
        <v>0.59895138368172296</v>
      </c>
      <c r="W8">
        <v>0.84259780314730104</v>
      </c>
      <c r="X8">
        <v>0.76275973536154795</v>
      </c>
      <c r="Y8">
        <v>0.65173696149399996</v>
      </c>
      <c r="Z8">
        <v>0.79517751210665499</v>
      </c>
      <c r="AA8">
        <v>0.92081911539685601</v>
      </c>
      <c r="AB8">
        <v>0.86268456899098001</v>
      </c>
      <c r="AC8">
        <v>0.84580107998810405</v>
      </c>
      <c r="AD8">
        <v>0.69002018153576905</v>
      </c>
      <c r="AE8">
        <v>0.861963065045525</v>
      </c>
      <c r="AF8">
        <v>0.77563675813528898</v>
      </c>
      <c r="AG8">
        <v>0.77924612539763904</v>
      </c>
      <c r="AH8">
        <v>0.70650497464255702</v>
      </c>
      <c r="AI8">
        <v>0.79761667697780603</v>
      </c>
      <c r="AJ8">
        <v>0.84180722007258901</v>
      </c>
      <c r="AK8">
        <v>0.74030361215287499</v>
      </c>
      <c r="AL8">
        <v>0.86094142897789006</v>
      </c>
      <c r="AM8">
        <v>0.83997346363733105</v>
      </c>
      <c r="AN8">
        <v>0.77828558971804895</v>
      </c>
      <c r="AO8">
        <v>0.86926698342036501</v>
      </c>
      <c r="AP8">
        <v>0.66711938986280594</v>
      </c>
      <c r="AQ8">
        <v>0.86146541483593597</v>
      </c>
      <c r="AR8">
        <v>0.76596282638754998</v>
      </c>
      <c r="AS8">
        <v>0.38923579954090398</v>
      </c>
      <c r="AT8">
        <v>0.88917822661684098</v>
      </c>
      <c r="AU8">
        <v>0.84968354568014104</v>
      </c>
      <c r="AV8">
        <v>0.77708665419494904</v>
      </c>
      <c r="AW8">
        <v>0.88840916262499303</v>
      </c>
      <c r="AX8">
        <v>0.83538917849038197</v>
      </c>
      <c r="AY8">
        <v>0.57551316439497602</v>
      </c>
      <c r="AZ8">
        <v>0.68388044323958397</v>
      </c>
      <c r="BA8">
        <v>0.74376875521913699</v>
      </c>
      <c r="BB8">
        <v>0.78332515030750205</v>
      </c>
      <c r="BC8">
        <v>0.87264953460155803</v>
      </c>
      <c r="BD8">
        <v>0.95198927897072905</v>
      </c>
      <c r="BE8">
        <v>0.65794838652277898</v>
      </c>
      <c r="BF8">
        <v>0.83120790574735504</v>
      </c>
      <c r="BG8">
        <v>0.81264195779437598</v>
      </c>
      <c r="BH8">
        <v>0.86514927192532798</v>
      </c>
      <c r="BI8">
        <v>0.81916316940204703</v>
      </c>
      <c r="BJ8">
        <v>0.70714011878105598</v>
      </c>
      <c r="BK8">
        <v>0.83124681554627</v>
      </c>
      <c r="BL8">
        <v>0.85741667772139396</v>
      </c>
      <c r="BM8">
        <v>0.86484096997277504</v>
      </c>
      <c r="BN8">
        <v>0.82782656037862201</v>
      </c>
      <c r="BO8">
        <v>0.90047804662011699</v>
      </c>
      <c r="BP8">
        <v>0.73504715176605595</v>
      </c>
      <c r="BQ8">
        <v>0.68601707596879502</v>
      </c>
      <c r="BR8">
        <v>0.83476935107115502</v>
      </c>
      <c r="BS8">
        <v>0.74724254416354596</v>
      </c>
      <c r="BT8">
        <v>0.83917807266571298</v>
      </c>
      <c r="BU8">
        <v>0.78333451806434395</v>
      </c>
      <c r="BV8">
        <v>0.81575882206293004</v>
      </c>
      <c r="BW8">
        <v>0.35433233457435698</v>
      </c>
      <c r="BX8">
        <v>0.82075121597529899</v>
      </c>
      <c r="BY8">
        <v>0.80800495698671004</v>
      </c>
      <c r="BZ8">
        <v>0.88951120312070298</v>
      </c>
      <c r="CA8">
        <v>0.77809340803423299</v>
      </c>
      <c r="CB8">
        <v>0.69001289469854199</v>
      </c>
      <c r="CC8">
        <v>0.84668683325804805</v>
      </c>
      <c r="CD8">
        <v>0.75720908254420505</v>
      </c>
      <c r="CE8">
        <v>0.78467942217961995</v>
      </c>
      <c r="CF8">
        <v>0.86179866249902604</v>
      </c>
      <c r="CG8">
        <v>0.51990089106286397</v>
      </c>
      <c r="CH8">
        <v>0.73979853348726499</v>
      </c>
      <c r="CI8">
        <v>0.69446034635444298</v>
      </c>
      <c r="CJ8">
        <v>0.79691641963964299</v>
      </c>
      <c r="CK8">
        <v>0.79256172187740603</v>
      </c>
      <c r="CL8">
        <v>0.82891619185018695</v>
      </c>
      <c r="CM8">
        <v>0.84832769458187196</v>
      </c>
      <c r="CN8">
        <v>0.84308888892687595</v>
      </c>
      <c r="CO8">
        <v>0.93926871593561001</v>
      </c>
      <c r="CP8">
        <v>0.84266302301753704</v>
      </c>
      <c r="CQ8">
        <v>0.78999332640076603</v>
      </c>
      <c r="CR8">
        <v>0.78084346777645297</v>
      </c>
      <c r="CS8">
        <v>0.69062845266730799</v>
      </c>
      <c r="CT8">
        <v>0.84965370878162405</v>
      </c>
      <c r="CU8">
        <v>0.408688784789147</v>
      </c>
      <c r="CV8">
        <v>0.70815211422406499</v>
      </c>
      <c r="CW8">
        <v>0.90486214318020397</v>
      </c>
    </row>
    <row r="9" spans="1:101" x14ac:dyDescent="0.25">
      <c r="A9">
        <v>8</v>
      </c>
      <c r="B9">
        <v>0.71587904335831498</v>
      </c>
      <c r="C9">
        <v>0.81696195454881204</v>
      </c>
      <c r="D9">
        <v>0.77646966176258203</v>
      </c>
      <c r="E9">
        <v>0.85402353401624098</v>
      </c>
      <c r="F9">
        <v>0.79321438095850205</v>
      </c>
      <c r="G9">
        <v>0.82153315348748801</v>
      </c>
      <c r="H9">
        <v>0.71423865367519401</v>
      </c>
      <c r="I9">
        <v>0.82439414331152605</v>
      </c>
      <c r="J9">
        <v>0.86666333876155999</v>
      </c>
      <c r="K9">
        <v>0.38544095502869702</v>
      </c>
      <c r="L9">
        <v>0.94080234356808901</v>
      </c>
      <c r="M9">
        <v>0.83643063958971697</v>
      </c>
      <c r="N9">
        <v>0.869959811306939</v>
      </c>
      <c r="O9">
        <v>0.71424280771284998</v>
      </c>
      <c r="P9">
        <v>0.78782491743071903</v>
      </c>
      <c r="Q9">
        <v>0.760024997559823</v>
      </c>
      <c r="R9">
        <v>0.77218895969557599</v>
      </c>
      <c r="S9">
        <v>0.84324545507340298</v>
      </c>
      <c r="T9">
        <v>0.82073985327560095</v>
      </c>
      <c r="U9">
        <v>0.86460102553616003</v>
      </c>
      <c r="V9">
        <v>0.65068415098384902</v>
      </c>
      <c r="W9">
        <v>0.85296762750953403</v>
      </c>
      <c r="X9">
        <v>0.80822300771253397</v>
      </c>
      <c r="Y9">
        <v>0.66974080662518998</v>
      </c>
      <c r="Z9">
        <v>0.82555239335779396</v>
      </c>
      <c r="AA9">
        <v>0.89634901935981004</v>
      </c>
      <c r="AB9">
        <v>0.84776254414665397</v>
      </c>
      <c r="AC9">
        <v>0.79990531607899695</v>
      </c>
      <c r="AD9">
        <v>0.65139225734931405</v>
      </c>
      <c r="AE9">
        <v>0.79735285755308105</v>
      </c>
      <c r="AF9">
        <v>0.78878831687301898</v>
      </c>
      <c r="AG9">
        <v>0.73852816450098502</v>
      </c>
      <c r="AH9">
        <v>0.69982642954198404</v>
      </c>
      <c r="AI9">
        <v>0.82850759474198499</v>
      </c>
      <c r="AJ9">
        <v>0.82632142935026398</v>
      </c>
      <c r="AK9">
        <v>0.81497789675477394</v>
      </c>
      <c r="AL9">
        <v>0.86307178319567002</v>
      </c>
      <c r="AM9">
        <v>0.829456568296566</v>
      </c>
      <c r="AN9">
        <v>0.824787708356719</v>
      </c>
      <c r="AO9">
        <v>0.86249759691842998</v>
      </c>
      <c r="AP9">
        <v>0.694683875246074</v>
      </c>
      <c r="AQ9">
        <v>0.85527849611291595</v>
      </c>
      <c r="AR9">
        <v>0.70818471850625597</v>
      </c>
      <c r="AS9">
        <v>0.62364218601973997</v>
      </c>
      <c r="AT9">
        <v>0.87746228510312696</v>
      </c>
      <c r="AU9">
        <v>0.81626608677207102</v>
      </c>
      <c r="AV9">
        <v>0.68613347343866404</v>
      </c>
      <c r="AW9">
        <v>0.85071534696145101</v>
      </c>
      <c r="AX9">
        <v>0.87091065791251299</v>
      </c>
      <c r="AY9">
        <v>0.64852416705073701</v>
      </c>
      <c r="AZ9">
        <v>0.82794610164065596</v>
      </c>
      <c r="BA9">
        <v>0.78846939006039796</v>
      </c>
      <c r="BB9">
        <v>0.74831929869407299</v>
      </c>
      <c r="BC9">
        <v>0.84255844874772001</v>
      </c>
      <c r="BD9">
        <v>0.90910368216440196</v>
      </c>
      <c r="BE9">
        <v>0.65144489374091596</v>
      </c>
      <c r="BF9">
        <v>0.79840228589339501</v>
      </c>
      <c r="BG9">
        <v>0.80112189869739503</v>
      </c>
      <c r="BH9">
        <v>0.82791019486384898</v>
      </c>
      <c r="BI9">
        <v>0.798346963075239</v>
      </c>
      <c r="BJ9">
        <v>0.74606861222020304</v>
      </c>
      <c r="BK9">
        <v>0.77854957425801097</v>
      </c>
      <c r="BL9">
        <v>0.82212057987605702</v>
      </c>
      <c r="BM9">
        <v>0.86284036819448995</v>
      </c>
      <c r="BN9">
        <v>0.83290578388617398</v>
      </c>
      <c r="BO9">
        <v>0.86738445675336695</v>
      </c>
      <c r="BP9">
        <v>0.69271831606220102</v>
      </c>
      <c r="BQ9">
        <v>0.64672471907169304</v>
      </c>
      <c r="BR9">
        <v>0.873447315565686</v>
      </c>
      <c r="BS9">
        <v>0.76025871682045698</v>
      </c>
      <c r="BT9">
        <v>0.816593310077251</v>
      </c>
      <c r="BU9">
        <v>0.81540820472197995</v>
      </c>
      <c r="BV9">
        <v>0.68670490307277898</v>
      </c>
      <c r="BW9">
        <v>0.41591777046628198</v>
      </c>
      <c r="BX9">
        <v>0.85114369633512499</v>
      </c>
      <c r="BY9">
        <v>0.81761428634077904</v>
      </c>
      <c r="BZ9">
        <v>0.87416536966803604</v>
      </c>
      <c r="CA9">
        <v>0.80473518108934505</v>
      </c>
      <c r="CB9">
        <v>0.70439124344698001</v>
      </c>
      <c r="CC9">
        <v>0.88512571739361101</v>
      </c>
      <c r="CD9">
        <v>0.826530227781062</v>
      </c>
      <c r="CE9">
        <v>0.82695743318606596</v>
      </c>
      <c r="CF9">
        <v>0.84433038036408103</v>
      </c>
      <c r="CG9">
        <v>0.69027212127779403</v>
      </c>
      <c r="CH9">
        <v>0.81095136059833195</v>
      </c>
      <c r="CI9">
        <v>0.62963817116186105</v>
      </c>
      <c r="CJ9">
        <v>0.82440794256221805</v>
      </c>
      <c r="CK9">
        <v>0.77179023176481798</v>
      </c>
      <c r="CL9">
        <v>0.81452242608117398</v>
      </c>
      <c r="CM9">
        <v>0.836950768146278</v>
      </c>
      <c r="CN9">
        <v>0.84801095503370805</v>
      </c>
      <c r="CO9">
        <v>0.98655681776415205</v>
      </c>
      <c r="CP9">
        <v>0.82198669143307401</v>
      </c>
      <c r="CQ9">
        <v>0.83381594605172205</v>
      </c>
      <c r="CR9">
        <v>0.70430669762314102</v>
      </c>
      <c r="CS9">
        <v>0.70779183443676896</v>
      </c>
      <c r="CT9">
        <v>0.84718712638873706</v>
      </c>
      <c r="CU9">
        <v>0.47675509394257398</v>
      </c>
      <c r="CV9">
        <v>0.82647866123046398</v>
      </c>
      <c r="CW9">
        <v>0.84676380587736899</v>
      </c>
    </row>
    <row r="10" spans="1:101" x14ac:dyDescent="0.25">
      <c r="A10">
        <v>9</v>
      </c>
      <c r="B10">
        <v>0.81648374993382999</v>
      </c>
      <c r="C10">
        <v>0.72240086095590295</v>
      </c>
      <c r="D10">
        <v>0.86319123230973505</v>
      </c>
      <c r="E10">
        <v>0.92659017097977003</v>
      </c>
      <c r="F10">
        <v>0.75450382023287699</v>
      </c>
      <c r="G10">
        <v>0.83278765797908505</v>
      </c>
      <c r="H10">
        <v>0.70993859861548303</v>
      </c>
      <c r="I10">
        <v>0.82891275752564197</v>
      </c>
      <c r="J10">
        <v>0.82141525660328696</v>
      </c>
      <c r="K10">
        <v>0.54528100815822</v>
      </c>
      <c r="L10">
        <v>0.96326494008533303</v>
      </c>
      <c r="M10">
        <v>0.80792700769138504</v>
      </c>
      <c r="N10">
        <v>0.82412147605264297</v>
      </c>
      <c r="O10">
        <v>0.63706051557369603</v>
      </c>
      <c r="P10">
        <v>0.69479320475716599</v>
      </c>
      <c r="Q10">
        <v>0.64046089307211895</v>
      </c>
      <c r="R10">
        <v>0.82997621484526596</v>
      </c>
      <c r="S10">
        <v>0.81854807272809604</v>
      </c>
      <c r="T10">
        <v>0.65583645509773902</v>
      </c>
      <c r="U10">
        <v>0.81599775212837899</v>
      </c>
      <c r="V10">
        <v>0.48554658375666798</v>
      </c>
      <c r="W10">
        <v>0.84780103930991502</v>
      </c>
      <c r="X10">
        <v>0.81008327885140796</v>
      </c>
      <c r="Y10">
        <v>0.66314904313044598</v>
      </c>
      <c r="Z10">
        <v>0.64810218263398001</v>
      </c>
      <c r="AA10">
        <v>0.87286857906499504</v>
      </c>
      <c r="AB10">
        <v>0.77270068603925302</v>
      </c>
      <c r="AC10">
        <v>0.72694606882914203</v>
      </c>
      <c r="AD10">
        <v>0.69250189717710997</v>
      </c>
      <c r="AE10">
        <v>0.72766850839685804</v>
      </c>
      <c r="AF10">
        <v>0.81328616789800801</v>
      </c>
      <c r="AG10">
        <v>0.76139850224080696</v>
      </c>
      <c r="AH10">
        <v>0.76499128058619204</v>
      </c>
      <c r="AI10">
        <v>0.80249515435908503</v>
      </c>
      <c r="AJ10">
        <v>0.80184111690510196</v>
      </c>
      <c r="AK10">
        <v>0.84060005377162195</v>
      </c>
      <c r="AL10">
        <v>0.83045283445927298</v>
      </c>
      <c r="AM10">
        <v>0.927455215492753</v>
      </c>
      <c r="AN10">
        <v>0.85932663145650301</v>
      </c>
      <c r="AO10">
        <v>0.87256140931981097</v>
      </c>
      <c r="AP10">
        <v>0.51801062476898396</v>
      </c>
      <c r="AQ10">
        <v>0.76154017617026704</v>
      </c>
      <c r="AR10">
        <v>0.74239315732524203</v>
      </c>
      <c r="AS10">
        <v>0.70745435890084896</v>
      </c>
      <c r="AT10">
        <v>0.87026050106153696</v>
      </c>
      <c r="AU10">
        <v>0.640652147040776</v>
      </c>
      <c r="AV10">
        <v>0.66270719620196705</v>
      </c>
      <c r="AW10">
        <v>0.85415413350152702</v>
      </c>
      <c r="AX10">
        <v>0.82858883217949197</v>
      </c>
      <c r="AY10">
        <v>0.67589745801386603</v>
      </c>
      <c r="AZ10">
        <v>0.82540977237426405</v>
      </c>
      <c r="BA10">
        <v>0.74036099083628903</v>
      </c>
      <c r="BB10">
        <v>0.79962108187032199</v>
      </c>
      <c r="BC10">
        <v>0.87492122091202595</v>
      </c>
      <c r="BD10">
        <v>0.883677749321369</v>
      </c>
      <c r="BE10">
        <v>0.51019059134296496</v>
      </c>
      <c r="BF10">
        <v>0.830660051583058</v>
      </c>
      <c r="BG10">
        <v>0.75708604649139</v>
      </c>
      <c r="BH10">
        <v>0.87319460339786104</v>
      </c>
      <c r="BI10">
        <v>0.86143197867320798</v>
      </c>
      <c r="BJ10">
        <v>0.80657457848107805</v>
      </c>
      <c r="BK10">
        <v>0.71933377605555104</v>
      </c>
      <c r="BL10">
        <v>0.79984026024624599</v>
      </c>
      <c r="BM10">
        <v>0.84834849465366702</v>
      </c>
      <c r="BN10">
        <v>0.83243263524348099</v>
      </c>
      <c r="BO10">
        <v>0.85426832986165402</v>
      </c>
      <c r="BP10">
        <v>0.65498077108737895</v>
      </c>
      <c r="BQ10">
        <v>0.76653384061888696</v>
      </c>
      <c r="BR10">
        <v>0.82733806595616</v>
      </c>
      <c r="BS10">
        <v>0.75407776367790202</v>
      </c>
      <c r="BT10">
        <v>0.78575242476361196</v>
      </c>
      <c r="BU10">
        <v>0.83606914601343396</v>
      </c>
      <c r="BV10">
        <v>0.65934631440682101</v>
      </c>
      <c r="BW10">
        <v>0.61337009621878702</v>
      </c>
      <c r="BX10">
        <v>0.83548492859245205</v>
      </c>
      <c r="BY10">
        <v>0.78874279057957397</v>
      </c>
      <c r="BZ10">
        <v>0.83805092423002403</v>
      </c>
      <c r="CA10">
        <v>0.831837323637038</v>
      </c>
      <c r="CB10">
        <v>0.74105333775038496</v>
      </c>
      <c r="CC10">
        <v>0.84299259657300396</v>
      </c>
      <c r="CD10">
        <v>0.83525101681881997</v>
      </c>
      <c r="CE10">
        <v>0.81827825604140503</v>
      </c>
      <c r="CF10">
        <v>0.80629352439756796</v>
      </c>
      <c r="CG10">
        <v>0.72020999463527502</v>
      </c>
      <c r="CH10">
        <v>0.81858190636744899</v>
      </c>
      <c r="CI10">
        <v>0.75213148123710105</v>
      </c>
      <c r="CJ10">
        <v>0.83121383085379796</v>
      </c>
      <c r="CK10">
        <v>0.72729837628008798</v>
      </c>
      <c r="CL10">
        <v>0.81429164057058201</v>
      </c>
      <c r="CM10">
        <v>0.87245285344183399</v>
      </c>
      <c r="CN10">
        <v>0.81932229217728603</v>
      </c>
      <c r="CO10">
        <v>0.89018605438593801</v>
      </c>
      <c r="CP10">
        <v>0.85593091899759499</v>
      </c>
      <c r="CQ10">
        <v>0.825859358325433</v>
      </c>
      <c r="CR10">
        <v>0.823445108552187</v>
      </c>
      <c r="CS10">
        <v>0.72142194381646996</v>
      </c>
      <c r="CT10">
        <v>0.85134848104529603</v>
      </c>
      <c r="CU10">
        <v>0.48117621613803802</v>
      </c>
      <c r="CV10">
        <v>0.821534498964411</v>
      </c>
      <c r="CW10">
        <v>0.81329988445830403</v>
      </c>
    </row>
    <row r="11" spans="1:101" x14ac:dyDescent="0.25">
      <c r="A11">
        <v>10</v>
      </c>
      <c r="B11">
        <v>0.863173498473644</v>
      </c>
      <c r="C11">
        <v>0.52011102300564005</v>
      </c>
      <c r="D11">
        <v>0.83318200165630096</v>
      </c>
      <c r="E11">
        <v>0.89007178416741395</v>
      </c>
      <c r="F11">
        <v>0.74832205728674295</v>
      </c>
      <c r="G11">
        <v>0.75147288328809003</v>
      </c>
      <c r="H11">
        <v>0.85210997491660601</v>
      </c>
      <c r="I11">
        <v>0.83956179349594195</v>
      </c>
      <c r="J11">
        <v>0.81303909463397295</v>
      </c>
      <c r="K11">
        <v>0.68869073155919602</v>
      </c>
      <c r="L11">
        <v>0.98179536859235195</v>
      </c>
      <c r="M11">
        <v>0.83383610224196802</v>
      </c>
      <c r="N11">
        <v>0.86164025942789801</v>
      </c>
      <c r="O11">
        <v>0.36794540823224597</v>
      </c>
      <c r="P11">
        <v>0.71965174114549502</v>
      </c>
      <c r="Q11">
        <v>0.69155151401579995</v>
      </c>
      <c r="R11">
        <v>0.84518933663600404</v>
      </c>
      <c r="S11">
        <v>0.769763872713641</v>
      </c>
      <c r="T11">
        <v>0.662785621966269</v>
      </c>
      <c r="U11">
        <v>0.63421339542863397</v>
      </c>
      <c r="V11">
        <v>0.42754757715825897</v>
      </c>
      <c r="W11">
        <v>0.835968513184699</v>
      </c>
      <c r="X11">
        <v>0.81936849843744797</v>
      </c>
      <c r="Y11">
        <v>0.80189024831755396</v>
      </c>
      <c r="Z11">
        <v>0.63759465600867604</v>
      </c>
      <c r="AA11">
        <v>0.91905157348243005</v>
      </c>
      <c r="AB11">
        <v>0.73877793772768696</v>
      </c>
      <c r="AC11">
        <v>0.62325250041830205</v>
      </c>
      <c r="AD11">
        <v>0.68568095114362304</v>
      </c>
      <c r="AE11">
        <v>0.84207233909441304</v>
      </c>
      <c r="AF11">
        <v>0.82139262852016703</v>
      </c>
      <c r="AG11">
        <v>0.74385192418771595</v>
      </c>
      <c r="AH11">
        <v>0.68725018281921701</v>
      </c>
      <c r="AI11">
        <v>0.77863215471952896</v>
      </c>
      <c r="AJ11">
        <v>0.78424015001755698</v>
      </c>
      <c r="AK11">
        <v>0.82189733880902804</v>
      </c>
      <c r="AL11">
        <v>0.80896025335106603</v>
      </c>
      <c r="AM11">
        <v>0.87151316134020396</v>
      </c>
      <c r="AN11">
        <v>0.82935921758308795</v>
      </c>
      <c r="AO11">
        <v>0.81273891071244098</v>
      </c>
      <c r="AP11">
        <v>0.54372810334198496</v>
      </c>
      <c r="AQ11">
        <v>0.77526735095966903</v>
      </c>
      <c r="AR11">
        <v>0.82286644082759597</v>
      </c>
      <c r="AS11">
        <v>0.72454995533955402</v>
      </c>
      <c r="AT11">
        <v>0.83965168339211005</v>
      </c>
      <c r="AU11">
        <v>0.44128446995425802</v>
      </c>
      <c r="AV11">
        <v>0.59987181153956903</v>
      </c>
      <c r="AW11">
        <v>0.85149652443650803</v>
      </c>
      <c r="AX11">
        <v>0.83225876617098804</v>
      </c>
      <c r="AY11">
        <v>0.66731487535178002</v>
      </c>
      <c r="AZ11">
        <v>0.78047853458197802</v>
      </c>
      <c r="BA11">
        <v>0.79443645451968004</v>
      </c>
      <c r="BB11">
        <v>0.82805347083769498</v>
      </c>
      <c r="BC11">
        <v>0.84362297248464202</v>
      </c>
      <c r="BD11">
        <v>0.854615173712439</v>
      </c>
      <c r="BE11">
        <v>0.44225675186748697</v>
      </c>
      <c r="BF11">
        <v>0.76000049192841301</v>
      </c>
      <c r="BG11">
        <v>0.7449883345892</v>
      </c>
      <c r="BH11">
        <v>0.88671215175789497</v>
      </c>
      <c r="BI11">
        <v>0.87541008862157499</v>
      </c>
      <c r="BJ11">
        <v>0.735600254546798</v>
      </c>
      <c r="BK11">
        <v>0.71952629287452097</v>
      </c>
      <c r="BL11">
        <v>0.73949808238731995</v>
      </c>
      <c r="BM11">
        <v>0.81700995115748198</v>
      </c>
      <c r="BN11">
        <v>0.87863554712756897</v>
      </c>
      <c r="BO11">
        <v>0.81453612238253004</v>
      </c>
      <c r="BP11">
        <v>0.70390740694999199</v>
      </c>
      <c r="BQ11">
        <v>0.73565344262368304</v>
      </c>
      <c r="BR11">
        <v>0.82286190557930305</v>
      </c>
      <c r="BS11">
        <v>0.75689555694969701</v>
      </c>
      <c r="BT11">
        <v>0.82998819939774704</v>
      </c>
      <c r="BU11">
        <v>0.85459529541594703</v>
      </c>
      <c r="BV11">
        <v>0.79702196388125801</v>
      </c>
      <c r="BW11">
        <v>0.67003432529475904</v>
      </c>
      <c r="BX11">
        <v>0.92742792976003996</v>
      </c>
      <c r="BY11">
        <v>0.77558033384602798</v>
      </c>
      <c r="BZ11">
        <v>0.83468483203759103</v>
      </c>
      <c r="CA11">
        <v>0.78130975218823795</v>
      </c>
      <c r="CB11">
        <v>0.74025985971694397</v>
      </c>
      <c r="CC11">
        <v>0.84867842026410201</v>
      </c>
      <c r="CD11">
        <v>0.84734314143478495</v>
      </c>
      <c r="CE11">
        <v>0.83670193795727699</v>
      </c>
      <c r="CF11">
        <v>0.82975337410415795</v>
      </c>
      <c r="CG11">
        <v>0.68928372292857498</v>
      </c>
      <c r="CH11">
        <v>0.798552207452914</v>
      </c>
      <c r="CI11">
        <v>0.72923635781410201</v>
      </c>
      <c r="CJ11">
        <v>0.84767070625707197</v>
      </c>
      <c r="CK11">
        <v>0.794121344205869</v>
      </c>
      <c r="CL11">
        <v>0.79145200081294798</v>
      </c>
      <c r="CM11">
        <v>0.837475360494635</v>
      </c>
      <c r="CN11">
        <v>0.79967917328235405</v>
      </c>
      <c r="CO11">
        <v>0.87589576451152096</v>
      </c>
      <c r="CP11">
        <v>0.90509081091293198</v>
      </c>
      <c r="CQ11">
        <v>0.81534812043145199</v>
      </c>
      <c r="CR11">
        <v>0.79117326985977399</v>
      </c>
      <c r="CS11">
        <v>0.72305801380284795</v>
      </c>
      <c r="CT11">
        <v>0.81081032321636803</v>
      </c>
      <c r="CU11">
        <v>0.66790070690909598</v>
      </c>
      <c r="CV11">
        <v>0.80186550514541799</v>
      </c>
      <c r="CW11">
        <v>0.78671674918801504</v>
      </c>
    </row>
    <row r="12" spans="1:101" x14ac:dyDescent="0.25">
      <c r="A12">
        <v>11</v>
      </c>
      <c r="B12">
        <v>0.834677137635638</v>
      </c>
      <c r="C12">
        <v>0.44493550301804102</v>
      </c>
      <c r="D12">
        <v>0.77447923946909503</v>
      </c>
      <c r="E12">
        <v>0.93628188860656203</v>
      </c>
      <c r="F12">
        <v>0.81844814586709103</v>
      </c>
      <c r="G12">
        <v>0.73702783976624198</v>
      </c>
      <c r="H12">
        <v>0.80065134929703397</v>
      </c>
      <c r="I12">
        <v>0.81416906974381098</v>
      </c>
      <c r="J12">
        <v>0.79131721709143199</v>
      </c>
      <c r="K12">
        <v>0.67915540075747605</v>
      </c>
      <c r="L12">
        <v>0.97053734406777603</v>
      </c>
      <c r="M12">
        <v>0.82198062109599501</v>
      </c>
      <c r="N12">
        <v>0.81917867252080601</v>
      </c>
      <c r="O12">
        <v>0.417361066989685</v>
      </c>
      <c r="P12">
        <v>0.68193839387833999</v>
      </c>
      <c r="Q12">
        <v>0.41731360857989303</v>
      </c>
      <c r="R12">
        <v>0.86017146941240097</v>
      </c>
      <c r="S12">
        <v>0.67923103469369694</v>
      </c>
      <c r="T12">
        <v>0.77115916868074497</v>
      </c>
      <c r="U12">
        <v>0.66910559868994801</v>
      </c>
      <c r="V12">
        <v>0.41725441956716097</v>
      </c>
      <c r="W12">
        <v>0.85013234319812903</v>
      </c>
      <c r="X12">
        <v>0.78919372023161805</v>
      </c>
      <c r="Y12">
        <v>0.77777834963497405</v>
      </c>
      <c r="Z12">
        <v>0.67914200361878996</v>
      </c>
      <c r="AA12">
        <v>0.87185700854286396</v>
      </c>
      <c r="AB12">
        <v>0.69956078602243399</v>
      </c>
      <c r="AC12">
        <v>0.68541839071960198</v>
      </c>
      <c r="AD12">
        <v>0.77776363317512498</v>
      </c>
      <c r="AE12">
        <v>0.80587545203131405</v>
      </c>
      <c r="AF12">
        <v>0.80603609001631704</v>
      </c>
      <c r="AG12">
        <v>0.76045179847070199</v>
      </c>
      <c r="AH12">
        <v>0.55128176478698798</v>
      </c>
      <c r="AI12">
        <v>0.70380136934910098</v>
      </c>
      <c r="AJ12">
        <v>0.72713461763680798</v>
      </c>
      <c r="AK12">
        <v>0.75580058472661704</v>
      </c>
      <c r="AL12">
        <v>0.73624786556014099</v>
      </c>
      <c r="AM12">
        <v>0.86791468515047498</v>
      </c>
      <c r="AN12">
        <v>0.78827153200205802</v>
      </c>
      <c r="AO12">
        <v>0.777237820753922</v>
      </c>
      <c r="AP12">
        <v>0.66972241925728604</v>
      </c>
      <c r="AQ12">
        <v>0.80093974664376799</v>
      </c>
      <c r="AR12">
        <v>0.79238468335705103</v>
      </c>
      <c r="AS12">
        <v>0.70097984502191102</v>
      </c>
      <c r="AT12">
        <v>0.81709901989410005</v>
      </c>
      <c r="AU12">
        <v>0.41727171518856798</v>
      </c>
      <c r="AV12">
        <v>0.78292592422545604</v>
      </c>
      <c r="AW12">
        <v>0.81130186621308198</v>
      </c>
      <c r="AX12">
        <v>0.78109418868356695</v>
      </c>
      <c r="AY12">
        <v>0.64165224212655003</v>
      </c>
      <c r="AZ12">
        <v>0.78468762684367699</v>
      </c>
      <c r="BA12">
        <v>0.81483733812846704</v>
      </c>
      <c r="BB12">
        <v>0.82421437668448005</v>
      </c>
      <c r="BC12">
        <v>0.81681781655895203</v>
      </c>
      <c r="BD12">
        <v>0.82346546415017896</v>
      </c>
      <c r="BE12">
        <v>0.48167042305129598</v>
      </c>
      <c r="BF12">
        <v>0.71411785009169404</v>
      </c>
      <c r="BG12">
        <v>0.75215698291314204</v>
      </c>
      <c r="BH12">
        <v>0.87070523393482901</v>
      </c>
      <c r="BI12">
        <v>0.87185037370773399</v>
      </c>
      <c r="BJ12">
        <v>0.77989567747870103</v>
      </c>
      <c r="BK12">
        <v>0.75544459079784698</v>
      </c>
      <c r="BL12">
        <v>0.77312687830645999</v>
      </c>
      <c r="BM12">
        <v>0.79940019194420997</v>
      </c>
      <c r="BN12">
        <v>0.83029718542279596</v>
      </c>
      <c r="BO12">
        <v>0.74953221718942298</v>
      </c>
      <c r="BP12">
        <v>0.69035114920977203</v>
      </c>
      <c r="BQ12">
        <v>0.77710496809237894</v>
      </c>
      <c r="BR12">
        <v>0.82900895749905201</v>
      </c>
      <c r="BS12">
        <v>0.74972706530417799</v>
      </c>
      <c r="BT12">
        <v>0.85541145885040004</v>
      </c>
      <c r="BU12">
        <v>0.85926275059236501</v>
      </c>
      <c r="BV12">
        <v>0.70951778418845501</v>
      </c>
      <c r="BW12">
        <v>0.63651042085427401</v>
      </c>
      <c r="BX12">
        <v>0.86239808581078803</v>
      </c>
      <c r="BY12">
        <v>0.71757706814970901</v>
      </c>
      <c r="BZ12">
        <v>0.79494895176150404</v>
      </c>
      <c r="CA12">
        <v>0.79477029162999102</v>
      </c>
      <c r="CB12">
        <v>0.81406432550597496</v>
      </c>
      <c r="CC12">
        <v>0.78758441606199403</v>
      </c>
      <c r="CD12">
        <v>0.74514675773135997</v>
      </c>
      <c r="CE12">
        <v>0.800934394176811</v>
      </c>
      <c r="CF12">
        <v>0.84371269348816302</v>
      </c>
      <c r="CG12">
        <v>0.417352640775287</v>
      </c>
      <c r="CH12">
        <v>0.70057466964453696</v>
      </c>
      <c r="CI12">
        <v>0.63747997677731605</v>
      </c>
      <c r="CJ12">
        <v>0.78019574866054497</v>
      </c>
      <c r="CK12">
        <v>0.65362706904960999</v>
      </c>
      <c r="CL12">
        <v>0.83024578973776397</v>
      </c>
      <c r="CM12">
        <v>0.869316980547158</v>
      </c>
      <c r="CN12">
        <v>0.72341352787324997</v>
      </c>
      <c r="CO12">
        <v>0.67490156194871398</v>
      </c>
      <c r="CP12">
        <v>0.938806142834264</v>
      </c>
      <c r="CQ12">
        <v>0.70808615994260304</v>
      </c>
      <c r="CR12">
        <v>0.79432899329267104</v>
      </c>
      <c r="CS12">
        <v>0.76716418541865505</v>
      </c>
      <c r="CT12">
        <v>0.78462070187104305</v>
      </c>
      <c r="CU12">
        <v>0.60548220274309605</v>
      </c>
      <c r="CV12">
        <v>0.73927105993901299</v>
      </c>
      <c r="CW12">
        <v>0.81378693551756698</v>
      </c>
    </row>
    <row r="13" spans="1:101" x14ac:dyDescent="0.25">
      <c r="A13">
        <v>12</v>
      </c>
      <c r="B13">
        <v>0.80960249215441704</v>
      </c>
      <c r="C13">
        <v>0.22488014075907301</v>
      </c>
      <c r="D13">
        <v>0.64134005425014395</v>
      </c>
      <c r="E13">
        <v>0.82266547253778699</v>
      </c>
      <c r="F13">
        <v>0.77278199769210099</v>
      </c>
      <c r="G13">
        <v>0.76489738764661697</v>
      </c>
      <c r="H13">
        <v>0.58116293592662704</v>
      </c>
      <c r="I13">
        <v>0.83882005137802496</v>
      </c>
      <c r="J13">
        <v>0.72402353631042204</v>
      </c>
      <c r="K13">
        <v>0.56845019144824704</v>
      </c>
      <c r="L13">
        <v>0.950654863249211</v>
      </c>
      <c r="M13">
        <v>0.74230568880813397</v>
      </c>
      <c r="N13">
        <v>0.78832938354351401</v>
      </c>
      <c r="O13">
        <v>0.62984459893438505</v>
      </c>
      <c r="P13">
        <v>0.57316884698257597</v>
      </c>
      <c r="Q13">
        <v>0.24601762760389301</v>
      </c>
      <c r="R13">
        <v>0.85259099764108903</v>
      </c>
      <c r="S13">
        <v>0.75175093683041005</v>
      </c>
      <c r="T13">
        <v>0.69281140839731503</v>
      </c>
      <c r="U13">
        <v>0.59880926455646899</v>
      </c>
      <c r="V13">
        <v>0.23935752448057099</v>
      </c>
      <c r="W13">
        <v>0.79137323569582796</v>
      </c>
      <c r="X13">
        <v>0.69829384858434496</v>
      </c>
      <c r="Y13">
        <v>0.70333434228429403</v>
      </c>
      <c r="Z13">
        <v>0.68035178779297401</v>
      </c>
      <c r="AA13">
        <v>0.86471858799521994</v>
      </c>
      <c r="AB13">
        <v>0.71301956865884197</v>
      </c>
      <c r="AC13">
        <v>0.68107937927482798</v>
      </c>
      <c r="AD13">
        <v>0.78939033517551505</v>
      </c>
      <c r="AE13">
        <v>0.80790070821596505</v>
      </c>
      <c r="AF13">
        <v>0.79407713246994305</v>
      </c>
      <c r="AG13">
        <v>0.64990542311023103</v>
      </c>
      <c r="AH13">
        <v>0.60778057378184103</v>
      </c>
      <c r="AI13">
        <v>0.72128980977613499</v>
      </c>
      <c r="AJ13">
        <v>0.716067163858911</v>
      </c>
      <c r="AK13">
        <v>0.56390127149263702</v>
      </c>
      <c r="AL13">
        <v>0.67736113936908404</v>
      </c>
      <c r="AM13">
        <v>0.97590590424139301</v>
      </c>
      <c r="AN13">
        <v>0.72982531869357903</v>
      </c>
      <c r="AO13">
        <v>0.65565568222736703</v>
      </c>
      <c r="AP13">
        <v>0.43644493052608402</v>
      </c>
      <c r="AQ13">
        <v>0.79671019463725701</v>
      </c>
      <c r="AR13">
        <v>0.76410901478015403</v>
      </c>
      <c r="AS13">
        <v>0.64880337241432995</v>
      </c>
      <c r="AT13">
        <v>0.74654988033468805</v>
      </c>
      <c r="AU13">
        <v>0.21989710169250601</v>
      </c>
      <c r="AV13">
        <v>0.76196936259233705</v>
      </c>
      <c r="AW13">
        <v>0.63293053322539905</v>
      </c>
      <c r="AX13">
        <v>0.79274924499813204</v>
      </c>
      <c r="AY13">
        <v>0.40546895922005599</v>
      </c>
      <c r="AZ13">
        <v>0.78292597082332605</v>
      </c>
      <c r="BA13">
        <v>0.73396869345619098</v>
      </c>
      <c r="BB13">
        <v>0.78095064816965998</v>
      </c>
      <c r="BC13">
        <v>0.64703887595111997</v>
      </c>
      <c r="BD13">
        <v>0.817609554012519</v>
      </c>
      <c r="BE13">
        <v>0.60985625391351495</v>
      </c>
      <c r="BF13">
        <v>0.717886524531967</v>
      </c>
      <c r="BG13">
        <v>0.74576742868385504</v>
      </c>
      <c r="BH13">
        <v>0.80691626926285198</v>
      </c>
      <c r="BI13">
        <v>0.80902065659156597</v>
      </c>
      <c r="BJ13">
        <v>0.75504949523584097</v>
      </c>
      <c r="BK13">
        <v>0.69235745393580195</v>
      </c>
      <c r="BL13">
        <v>0.77388434654364802</v>
      </c>
      <c r="BM13">
        <v>0.76214936229697094</v>
      </c>
      <c r="BN13">
        <v>0.80975602277728798</v>
      </c>
      <c r="BO13">
        <v>0.64559616183955704</v>
      </c>
      <c r="BP13">
        <v>0.68056833610239098</v>
      </c>
      <c r="BQ13">
        <v>0.70588487512278597</v>
      </c>
      <c r="BR13">
        <v>0.84470541954053702</v>
      </c>
      <c r="BS13">
        <v>0.79171599316242103</v>
      </c>
      <c r="BT13">
        <v>0.84401859278308</v>
      </c>
      <c r="BU13">
        <v>0.84286855146917705</v>
      </c>
      <c r="BV13">
        <v>0.63767186593205905</v>
      </c>
      <c r="BW13">
        <v>0.70344693015437598</v>
      </c>
      <c r="BX13">
        <v>0.86557746388641199</v>
      </c>
      <c r="BY13">
        <v>0.64609179197637201</v>
      </c>
      <c r="BZ13">
        <v>0.77844734807697502</v>
      </c>
      <c r="CA13">
        <v>0.82740486258226398</v>
      </c>
      <c r="CB13">
        <v>0.76754917131327904</v>
      </c>
      <c r="CC13">
        <v>0.70430660305135595</v>
      </c>
      <c r="CD13">
        <v>0.64869191294468498</v>
      </c>
      <c r="CE13">
        <v>0.74278715705192999</v>
      </c>
      <c r="CF13">
        <v>0.79669221818333802</v>
      </c>
      <c r="CG13">
        <v>0.30527316577316899</v>
      </c>
      <c r="CH13">
        <v>0.68678494030938297</v>
      </c>
      <c r="CI13">
        <v>0.58611549912312499</v>
      </c>
      <c r="CJ13">
        <v>0.77376626412334104</v>
      </c>
      <c r="CK13">
        <v>0.76957486175868195</v>
      </c>
      <c r="CL13">
        <v>0.83578134813854299</v>
      </c>
      <c r="CM13">
        <v>0.83532913549439802</v>
      </c>
      <c r="CN13">
        <v>0.66945668853847795</v>
      </c>
      <c r="CO13">
        <v>0.58594518102454096</v>
      </c>
      <c r="CP13">
        <v>0.81829430807427395</v>
      </c>
      <c r="CQ13">
        <v>0.73767709616636501</v>
      </c>
      <c r="CR13">
        <v>0.79006219578471304</v>
      </c>
      <c r="CS13">
        <v>0.72114500020710604</v>
      </c>
      <c r="CT13">
        <v>0.75822124510279998</v>
      </c>
      <c r="CU13">
        <v>0.43437440391919302</v>
      </c>
      <c r="CV13">
        <v>0.67618938018040697</v>
      </c>
      <c r="CW13">
        <v>0.78274916352237101</v>
      </c>
    </row>
    <row r="14" spans="1:101" x14ac:dyDescent="0.25">
      <c r="A14">
        <v>13</v>
      </c>
      <c r="B14">
        <v>0.77970441587399697</v>
      </c>
      <c r="C14">
        <v>0.14645365891652901</v>
      </c>
      <c r="D14">
        <v>0.62647197748160699</v>
      </c>
      <c r="E14">
        <v>0.765821449581227</v>
      </c>
      <c r="F14">
        <v>0.71674379092184504</v>
      </c>
      <c r="G14">
        <v>0.74345594135004001</v>
      </c>
      <c r="H14">
        <v>0.57913570516370905</v>
      </c>
      <c r="I14">
        <v>0.79608141234602703</v>
      </c>
      <c r="J14">
        <v>0.66139464833611505</v>
      </c>
      <c r="K14">
        <v>0.76454586268675795</v>
      </c>
      <c r="L14">
        <v>0.90316203722918897</v>
      </c>
      <c r="M14">
        <v>0.77170957244834704</v>
      </c>
      <c r="N14">
        <v>0.81604518263840498</v>
      </c>
      <c r="O14">
        <v>0.60831465606313495</v>
      </c>
      <c r="P14">
        <v>0.59456940815230597</v>
      </c>
      <c r="Q14">
        <v>0.18082228229427899</v>
      </c>
      <c r="R14">
        <v>0.85809381993246903</v>
      </c>
      <c r="S14">
        <v>0.73766149919719404</v>
      </c>
      <c r="T14">
        <v>0.650502711628269</v>
      </c>
      <c r="U14">
        <v>0.53764726770764004</v>
      </c>
      <c r="V14">
        <v>0.17519432655219799</v>
      </c>
      <c r="W14">
        <v>0.67720902491544399</v>
      </c>
      <c r="X14">
        <v>0.69159893988214705</v>
      </c>
      <c r="Y14">
        <v>0.55859961789687396</v>
      </c>
      <c r="Z14">
        <v>0.390125288624732</v>
      </c>
      <c r="AA14">
        <v>0.813804544941643</v>
      </c>
      <c r="AB14">
        <v>0.62739479083723704</v>
      </c>
      <c r="AC14">
        <v>0.62495930543595601</v>
      </c>
      <c r="AD14">
        <v>0.78984769709879898</v>
      </c>
      <c r="AE14">
        <v>0.76033833026795306</v>
      </c>
      <c r="AF14">
        <v>0.804797402107715</v>
      </c>
      <c r="AG14">
        <v>0.74695418736881802</v>
      </c>
      <c r="AH14">
        <v>0.60252632830306796</v>
      </c>
      <c r="AI14">
        <v>0.71096750632371897</v>
      </c>
      <c r="AJ14">
        <v>0.69097410539253801</v>
      </c>
      <c r="AK14">
        <v>0.201812918753455</v>
      </c>
      <c r="AL14">
        <v>0.70882761439164599</v>
      </c>
      <c r="AM14">
        <v>0.80549688617804804</v>
      </c>
      <c r="AN14">
        <v>0.61763947391168295</v>
      </c>
      <c r="AO14">
        <v>0.59073318562967603</v>
      </c>
      <c r="AP14">
        <v>0.59668013923395902</v>
      </c>
      <c r="AQ14">
        <v>0.752041180390294</v>
      </c>
      <c r="AR14">
        <v>0.68983979486116598</v>
      </c>
      <c r="AS14">
        <v>0.65904149446626303</v>
      </c>
      <c r="AT14">
        <v>0.77366959583689698</v>
      </c>
      <c r="AU14">
        <v>0.583447285009556</v>
      </c>
      <c r="AV14">
        <v>0.734881119228184</v>
      </c>
      <c r="AW14">
        <v>0.68433507646660596</v>
      </c>
      <c r="AX14">
        <v>0.73092831011965798</v>
      </c>
      <c r="AY14">
        <v>0.66205894617144401</v>
      </c>
      <c r="AZ14">
        <v>0.71377886179279604</v>
      </c>
      <c r="BA14">
        <v>0.642506875755396</v>
      </c>
      <c r="BB14">
        <v>0.74645092710467398</v>
      </c>
      <c r="BC14">
        <v>0.67179784742997894</v>
      </c>
      <c r="BD14">
        <v>0.78326766257297797</v>
      </c>
      <c r="BE14">
        <v>0.63815644751344502</v>
      </c>
      <c r="BF14">
        <v>0.65253363818204402</v>
      </c>
      <c r="BG14">
        <v>0.73756153817234704</v>
      </c>
      <c r="BH14">
        <v>0.736764704803612</v>
      </c>
      <c r="BI14">
        <v>0.70490786204177103</v>
      </c>
      <c r="BJ14">
        <v>0.74430186699859302</v>
      </c>
      <c r="BK14">
        <v>0.60744930796157304</v>
      </c>
      <c r="BL14">
        <v>0.71783927875920495</v>
      </c>
      <c r="BM14">
        <v>0.71328768536680998</v>
      </c>
      <c r="BN14">
        <v>0.75535765367800101</v>
      </c>
      <c r="BO14">
        <v>0.61362734895233495</v>
      </c>
      <c r="BP14">
        <v>0.73867559421374096</v>
      </c>
      <c r="BQ14">
        <v>0.67819695466186303</v>
      </c>
      <c r="BR14">
        <v>0.77880785581038003</v>
      </c>
      <c r="BS14">
        <v>0.816804361880067</v>
      </c>
      <c r="BT14">
        <v>0.78861614627327103</v>
      </c>
      <c r="BU14">
        <v>0.81157909352665702</v>
      </c>
      <c r="BV14">
        <v>0.47534219780593501</v>
      </c>
      <c r="BW14">
        <v>0.59142709004348903</v>
      </c>
      <c r="BX14">
        <v>0.79475307280960406</v>
      </c>
      <c r="BY14">
        <v>0.42319909234842501</v>
      </c>
      <c r="BZ14">
        <v>0.74406746958130798</v>
      </c>
      <c r="CA14">
        <v>0.81599127979416797</v>
      </c>
      <c r="CB14">
        <v>0.70586998946979695</v>
      </c>
      <c r="CC14">
        <v>0.62863624920490602</v>
      </c>
      <c r="CD14">
        <v>0.70337490572426897</v>
      </c>
      <c r="CE14">
        <v>0.71684659464515099</v>
      </c>
      <c r="CF14">
        <v>0.76658391079931998</v>
      </c>
      <c r="CG14">
        <v>0.232028429695807</v>
      </c>
      <c r="CH14">
        <v>0.664631055910616</v>
      </c>
      <c r="CI14">
        <v>0.60788757308803298</v>
      </c>
      <c r="CJ14">
        <v>0.73490976339594505</v>
      </c>
      <c r="CK14">
        <v>0.64672756167360901</v>
      </c>
      <c r="CL14">
        <v>0.78851853811841999</v>
      </c>
      <c r="CM14">
        <v>0.81027450098921605</v>
      </c>
      <c r="CN14">
        <v>0.64820924082881504</v>
      </c>
      <c r="CO14">
        <v>0.40840700384397199</v>
      </c>
      <c r="CP14">
        <v>0.80597127963095605</v>
      </c>
      <c r="CQ14">
        <v>0.764081902416752</v>
      </c>
      <c r="CR14">
        <v>0.81760695706091602</v>
      </c>
      <c r="CS14">
        <v>0.73153649773777396</v>
      </c>
      <c r="CT14">
        <v>0.68681824662024304</v>
      </c>
      <c r="CU14">
        <v>0.69669770083267701</v>
      </c>
      <c r="CV14">
        <v>0.61438871554441199</v>
      </c>
      <c r="CW14">
        <v>0.70742841467480999</v>
      </c>
    </row>
    <row r="15" spans="1:101" x14ac:dyDescent="0.25">
      <c r="A15">
        <v>14</v>
      </c>
      <c r="B15">
        <v>0.73725063294090898</v>
      </c>
      <c r="C15">
        <v>0.49811972270604299</v>
      </c>
      <c r="D15">
        <v>0.68740388684473797</v>
      </c>
      <c r="E15">
        <v>0.72545584207743896</v>
      </c>
      <c r="F15">
        <v>0.74751823319706301</v>
      </c>
      <c r="G15">
        <v>0.64346125799558196</v>
      </c>
      <c r="H15">
        <v>0.60410146073258797</v>
      </c>
      <c r="I15">
        <v>0.74948884975337604</v>
      </c>
      <c r="J15">
        <v>0.60520757115635204</v>
      </c>
      <c r="K15">
        <v>0.69799986850639695</v>
      </c>
      <c r="L15">
        <v>0.94712110285623496</v>
      </c>
      <c r="M15">
        <v>0.73284213205071402</v>
      </c>
      <c r="N15">
        <v>0.73355956480795403</v>
      </c>
      <c r="O15">
        <v>0.59633449061309596</v>
      </c>
      <c r="P15">
        <v>0.68814009271764898</v>
      </c>
      <c r="Q15">
        <v>0.64362732618949603</v>
      </c>
      <c r="R15">
        <v>0.79979868143413602</v>
      </c>
      <c r="S15">
        <v>0.74369351194618905</v>
      </c>
      <c r="T15">
        <v>0.68056276353831202</v>
      </c>
      <c r="U15">
        <v>0.51836111706625898</v>
      </c>
      <c r="V15">
        <v>0.51305635872070898</v>
      </c>
      <c r="W15">
        <v>0.406723657346164</v>
      </c>
      <c r="X15">
        <v>0.67228373764173799</v>
      </c>
      <c r="Y15">
        <v>0.501286129729406</v>
      </c>
      <c r="Z15">
        <v>0.29851446927724401</v>
      </c>
      <c r="AA15">
        <v>0.71059986530868602</v>
      </c>
      <c r="AB15">
        <v>0.62332485680058702</v>
      </c>
      <c r="AC15">
        <v>0.59977008282384503</v>
      </c>
      <c r="AD15">
        <v>0.78047676175890301</v>
      </c>
      <c r="AE15">
        <v>0.69067974463700899</v>
      </c>
      <c r="AF15">
        <v>0.91303128749472495</v>
      </c>
      <c r="AG15">
        <v>0.75758637075954605</v>
      </c>
      <c r="AH15">
        <v>0.59029980555964101</v>
      </c>
      <c r="AI15">
        <v>0.63357737365782896</v>
      </c>
      <c r="AJ15">
        <v>0.66033396169471203</v>
      </c>
      <c r="AK15">
        <v>0.51042931477784503</v>
      </c>
      <c r="AL15">
        <v>0.70289837242198605</v>
      </c>
      <c r="AM15">
        <v>0.76186106726744396</v>
      </c>
      <c r="AN15">
        <v>0.56466926563865905</v>
      </c>
      <c r="AO15">
        <v>0.58615117725542898</v>
      </c>
      <c r="AP15">
        <v>0.60759000433908406</v>
      </c>
      <c r="AQ15">
        <v>0.75671150461483905</v>
      </c>
      <c r="AR15">
        <v>0.66802543170515405</v>
      </c>
      <c r="AS15">
        <v>0.65041940559882605</v>
      </c>
      <c r="AT15">
        <v>0.72987507176449895</v>
      </c>
      <c r="AU15">
        <v>0.59919160718476505</v>
      </c>
      <c r="AV15">
        <v>0.70080429606175099</v>
      </c>
      <c r="AW15">
        <v>0.57187660602114798</v>
      </c>
      <c r="AX15">
        <v>0.69989626224649204</v>
      </c>
      <c r="AY15">
        <v>0.71669397994014805</v>
      </c>
      <c r="AZ15">
        <v>0.59205495050696999</v>
      </c>
      <c r="BA15">
        <v>0.63805018078582498</v>
      </c>
      <c r="BB15">
        <v>0.65162998133957495</v>
      </c>
      <c r="BC15">
        <v>0.55859914483847095</v>
      </c>
      <c r="BD15">
        <v>0.66543770005463798</v>
      </c>
      <c r="BE15">
        <v>0.60428882950903196</v>
      </c>
      <c r="BF15">
        <v>0.62574855553976905</v>
      </c>
      <c r="BG15">
        <v>0.628682287984906</v>
      </c>
      <c r="BH15">
        <v>0.62404159694523598</v>
      </c>
      <c r="BI15">
        <v>0.74452608108496698</v>
      </c>
      <c r="BJ15">
        <v>0.72451547630540503</v>
      </c>
      <c r="BK15">
        <v>0.45666729326654198</v>
      </c>
      <c r="BL15">
        <v>0.69136272210868799</v>
      </c>
      <c r="BM15">
        <v>0.66903620640033901</v>
      </c>
      <c r="BN15">
        <v>0.76550134553895299</v>
      </c>
      <c r="BO15">
        <v>0.59112156594814302</v>
      </c>
      <c r="BP15">
        <v>0.75786754609037899</v>
      </c>
      <c r="BQ15">
        <v>0.65485596990500305</v>
      </c>
      <c r="BR15">
        <v>0.75746916063497505</v>
      </c>
      <c r="BS15">
        <v>0.78464420004296698</v>
      </c>
      <c r="BT15">
        <v>0.84051991326156394</v>
      </c>
      <c r="BU15">
        <v>0.75809413664525105</v>
      </c>
      <c r="BV15">
        <v>0.30740405317747499</v>
      </c>
      <c r="BW15">
        <v>0.531448629555754</v>
      </c>
      <c r="BX15">
        <v>0.72096045458672797</v>
      </c>
      <c r="BY15">
        <v>0.39740000045859802</v>
      </c>
      <c r="BZ15">
        <v>0.768399560904796</v>
      </c>
      <c r="CA15">
        <v>0.79203588788408996</v>
      </c>
      <c r="CB15">
        <v>0.74115562238088195</v>
      </c>
      <c r="CC15">
        <v>0.60739645744487603</v>
      </c>
      <c r="CD15">
        <v>0.55050842249314103</v>
      </c>
      <c r="CE15">
        <v>0.75177454071035898</v>
      </c>
      <c r="CF15">
        <v>0.73348122916177705</v>
      </c>
      <c r="CG15">
        <v>0.25680640941262201</v>
      </c>
      <c r="CH15">
        <v>0.64096829619959805</v>
      </c>
      <c r="CI15">
        <v>0.60934491535439295</v>
      </c>
      <c r="CJ15">
        <v>0.73784523791499801</v>
      </c>
      <c r="CK15">
        <v>0.599832168118825</v>
      </c>
      <c r="CL15">
        <v>0.81036732181384896</v>
      </c>
      <c r="CM15">
        <v>0.78007311170077798</v>
      </c>
      <c r="CN15">
        <v>0.30403003779336302</v>
      </c>
      <c r="CO15">
        <v>0.54206798220290697</v>
      </c>
      <c r="CP15">
        <v>0.70900021710809302</v>
      </c>
      <c r="CQ15">
        <v>0.76122252162320103</v>
      </c>
      <c r="CR15">
        <v>0.77361869474017098</v>
      </c>
      <c r="CS15">
        <v>0.64091413835897204</v>
      </c>
      <c r="CT15">
        <v>0.55700049472958701</v>
      </c>
      <c r="CU15">
        <v>0.732665347834074</v>
      </c>
      <c r="CV15">
        <v>0.56411192583005199</v>
      </c>
      <c r="CW15">
        <v>0.53805406954418</v>
      </c>
    </row>
    <row r="16" spans="1:101" x14ac:dyDescent="0.25">
      <c r="A16">
        <v>15</v>
      </c>
      <c r="B16">
        <v>0.72022832248705904</v>
      </c>
      <c r="C16">
        <v>0.59525842857018796</v>
      </c>
      <c r="D16">
        <v>0.68155345972139403</v>
      </c>
      <c r="E16">
        <v>0.71141171051656005</v>
      </c>
      <c r="F16">
        <v>0.74479001957476798</v>
      </c>
      <c r="G16">
        <v>0.48698131777105702</v>
      </c>
      <c r="H16">
        <v>0.563243839705589</v>
      </c>
      <c r="I16">
        <v>0.71301049495170599</v>
      </c>
      <c r="J16">
        <v>0.60057397722510697</v>
      </c>
      <c r="K16">
        <v>0.67170460855388603</v>
      </c>
      <c r="L16">
        <v>0.86862034050538806</v>
      </c>
      <c r="M16">
        <v>0.69064045603733404</v>
      </c>
      <c r="N16">
        <v>0.74258882254351399</v>
      </c>
      <c r="O16">
        <v>0.63849808471188196</v>
      </c>
      <c r="P16">
        <v>0.52745618554650398</v>
      </c>
      <c r="Q16">
        <v>0.76788884520691703</v>
      </c>
      <c r="R16">
        <v>0.78608119551991795</v>
      </c>
      <c r="S16">
        <v>0.67179310863026498</v>
      </c>
      <c r="T16">
        <v>0.73395067429754901</v>
      </c>
      <c r="U16">
        <v>0.65597654670667704</v>
      </c>
      <c r="V16">
        <v>0.41121245158492398</v>
      </c>
      <c r="W16">
        <v>0.42765655838157601</v>
      </c>
      <c r="X16">
        <v>0.65300215615435298</v>
      </c>
      <c r="Y16">
        <v>0.53851692470561596</v>
      </c>
      <c r="Z16">
        <v>0.46775333323358798</v>
      </c>
      <c r="AA16">
        <v>0.65952667520281605</v>
      </c>
      <c r="AB16">
        <v>0.71274903819895297</v>
      </c>
      <c r="AC16">
        <v>0.56588057214305598</v>
      </c>
      <c r="AD16">
        <v>0.693412646068435</v>
      </c>
      <c r="AE16">
        <v>0.73780103324086599</v>
      </c>
      <c r="AF16">
        <v>0.77253201732651799</v>
      </c>
      <c r="AG16">
        <v>0.74056989976276899</v>
      </c>
      <c r="AH16">
        <v>0.46704483542793002</v>
      </c>
      <c r="AI16">
        <v>0.67965185074876999</v>
      </c>
      <c r="AJ16">
        <v>0.67088065006956499</v>
      </c>
      <c r="AK16">
        <v>0.50749654462897997</v>
      </c>
      <c r="AL16">
        <v>0.500378176460757</v>
      </c>
      <c r="AM16">
        <v>0.78452922525926105</v>
      </c>
      <c r="AN16">
        <v>0.57431084127040499</v>
      </c>
      <c r="AO16">
        <v>0.60566869592395201</v>
      </c>
      <c r="AP16">
        <v>0.51743648715190305</v>
      </c>
      <c r="AQ16">
        <v>0.72872762078921505</v>
      </c>
      <c r="AR16">
        <v>0.60976860444054104</v>
      </c>
      <c r="AS16">
        <v>0.63602632276878202</v>
      </c>
      <c r="AT16">
        <v>0.67231260772452295</v>
      </c>
      <c r="AU16">
        <v>0.55316858137660896</v>
      </c>
      <c r="AV16">
        <v>0.65871229781399698</v>
      </c>
      <c r="AW16">
        <v>0.70891551327553903</v>
      </c>
      <c r="AX16">
        <v>0.69541896582906604</v>
      </c>
      <c r="AY16">
        <v>0.69429983454709499</v>
      </c>
      <c r="AZ16">
        <v>0.33826219648844802</v>
      </c>
      <c r="BA16">
        <v>0.56198478192061396</v>
      </c>
      <c r="BB16">
        <v>0.66270584101462904</v>
      </c>
      <c r="BC16">
        <v>0.60460094816346599</v>
      </c>
      <c r="BD16">
        <v>0.70544518173374904</v>
      </c>
      <c r="BE16">
        <v>0.64617829486039302</v>
      </c>
      <c r="BF16">
        <v>0.68863007331062698</v>
      </c>
      <c r="BG16">
        <v>0.476889605769175</v>
      </c>
      <c r="BH16">
        <v>0.72486041207575602</v>
      </c>
      <c r="BI16">
        <v>0.65578288979437505</v>
      </c>
      <c r="BJ16">
        <v>0.761662751437017</v>
      </c>
      <c r="BK16">
        <v>0.463039162813625</v>
      </c>
      <c r="BL16">
        <v>0.67473172583131802</v>
      </c>
      <c r="BM16">
        <v>0.661790154949774</v>
      </c>
      <c r="BN16">
        <v>0.75026243727382402</v>
      </c>
      <c r="BO16">
        <v>0.67338560893815402</v>
      </c>
      <c r="BP16">
        <v>0.75814664400138598</v>
      </c>
      <c r="BQ16">
        <v>0.68608424373443999</v>
      </c>
      <c r="BR16">
        <v>0.71813331821670301</v>
      </c>
      <c r="BS16">
        <v>0.63834343910286495</v>
      </c>
      <c r="BT16">
        <v>0.85265457114064103</v>
      </c>
      <c r="BU16">
        <v>0.72672520371780702</v>
      </c>
      <c r="BV16">
        <v>0.35693359459983898</v>
      </c>
      <c r="BW16">
        <v>0.48862237715939599</v>
      </c>
      <c r="BX16">
        <v>0.67943153217852903</v>
      </c>
      <c r="BY16">
        <v>0.33174532884944602</v>
      </c>
      <c r="BZ16">
        <v>0.79174216940740905</v>
      </c>
      <c r="CA16">
        <v>0.73182630672277205</v>
      </c>
      <c r="CB16">
        <v>0.63015048026854004</v>
      </c>
      <c r="CC16">
        <v>0.59731003592000398</v>
      </c>
      <c r="CD16">
        <v>0.54110789926416003</v>
      </c>
      <c r="CE16">
        <v>0.75924110434709802</v>
      </c>
      <c r="CF16">
        <v>0.61664652549668997</v>
      </c>
      <c r="CG16">
        <v>0.413893274514743</v>
      </c>
      <c r="CH16">
        <v>0.64532632527608902</v>
      </c>
      <c r="CI16">
        <v>0.62227033631128603</v>
      </c>
      <c r="CJ16">
        <v>0.72792828854582403</v>
      </c>
      <c r="CK16">
        <v>0.70186869982155797</v>
      </c>
      <c r="CL16">
        <v>0.81159538702365297</v>
      </c>
      <c r="CM16">
        <v>0.80159304420077604</v>
      </c>
      <c r="CN16">
        <v>0.28994470269012801</v>
      </c>
      <c r="CO16">
        <v>0.30968787463269298</v>
      </c>
      <c r="CP16">
        <v>0.69316354153889603</v>
      </c>
      <c r="CQ16">
        <v>0.78910008620525895</v>
      </c>
      <c r="CR16">
        <v>0.82530430396410903</v>
      </c>
      <c r="CS16">
        <v>0.54716208652710496</v>
      </c>
      <c r="CT16">
        <v>0.55349645812053105</v>
      </c>
      <c r="CU16">
        <v>0.740616491416209</v>
      </c>
      <c r="CV16">
        <v>0.48097598518007101</v>
      </c>
      <c r="CW16">
        <v>0.553797977182231</v>
      </c>
    </row>
    <row r="17" spans="1:101" x14ac:dyDescent="0.25">
      <c r="A17">
        <v>16</v>
      </c>
      <c r="B17">
        <v>0.74521023455784996</v>
      </c>
      <c r="C17">
        <v>0.52309737985688098</v>
      </c>
      <c r="D17">
        <v>0.65602790738766503</v>
      </c>
      <c r="E17">
        <v>0.72736271935660401</v>
      </c>
      <c r="F17">
        <v>0.71412944694616198</v>
      </c>
      <c r="G17">
        <v>0.54511196938529105</v>
      </c>
      <c r="H17">
        <v>0.54608991198043699</v>
      </c>
      <c r="I17">
        <v>0.65487116212924701</v>
      </c>
      <c r="J17">
        <v>0.70672148465838402</v>
      </c>
      <c r="K17">
        <v>0.63114860498217396</v>
      </c>
      <c r="L17">
        <v>0.82710333535667702</v>
      </c>
      <c r="M17">
        <v>0.69390138040506999</v>
      </c>
      <c r="N17">
        <v>0.67902804428753805</v>
      </c>
      <c r="O17">
        <v>0.69026687814563004</v>
      </c>
      <c r="P17">
        <v>0.53196562086282995</v>
      </c>
      <c r="Q17">
        <v>0.75070002449902395</v>
      </c>
      <c r="R17">
        <v>0.78537429843029904</v>
      </c>
      <c r="S17">
        <v>0.73167324149122603</v>
      </c>
      <c r="T17">
        <v>0.66415770662516305</v>
      </c>
      <c r="U17">
        <v>0.67167902400993795</v>
      </c>
      <c r="V17">
        <v>0.53464139449745496</v>
      </c>
      <c r="W17">
        <v>0.20409520961123101</v>
      </c>
      <c r="X17">
        <v>0.70593739899794405</v>
      </c>
      <c r="Y17">
        <v>0.73436314603999597</v>
      </c>
      <c r="Z17">
        <v>0.30147896940762697</v>
      </c>
      <c r="AA17">
        <v>0.71007407349371598</v>
      </c>
      <c r="AB17">
        <v>0.73774444316168897</v>
      </c>
      <c r="AC17">
        <v>0.56433419866210199</v>
      </c>
      <c r="AD17">
        <v>0.73529718495315999</v>
      </c>
      <c r="AE17">
        <v>0.79592836799697897</v>
      </c>
      <c r="AF17">
        <v>0.73446772529871696</v>
      </c>
      <c r="AG17">
        <v>0.64924401611745897</v>
      </c>
      <c r="AH17">
        <v>0.51493314431519999</v>
      </c>
      <c r="AI17">
        <v>0.755773438140114</v>
      </c>
      <c r="AJ17">
        <v>0.72154908016434005</v>
      </c>
      <c r="AK17">
        <v>0.51798902205394903</v>
      </c>
      <c r="AL17">
        <v>0.54421176628414403</v>
      </c>
      <c r="AM17">
        <v>0.79539570275870697</v>
      </c>
      <c r="AN17">
        <v>0.64479444487354598</v>
      </c>
      <c r="AO17">
        <v>0.56129171657499799</v>
      </c>
      <c r="AP17">
        <v>0.49351123919474899</v>
      </c>
      <c r="AQ17">
        <v>0.77275725081403701</v>
      </c>
      <c r="AR17">
        <v>0.60624244289743501</v>
      </c>
      <c r="AS17">
        <v>0.70233909140615103</v>
      </c>
      <c r="AT17">
        <v>0.62259986184973304</v>
      </c>
      <c r="AU17">
        <v>0.57036250617704798</v>
      </c>
      <c r="AV17">
        <v>0.65060887317208305</v>
      </c>
      <c r="AW17">
        <v>0.694820306344623</v>
      </c>
      <c r="AX17">
        <v>0.75689197178668</v>
      </c>
      <c r="AY17">
        <v>0.66984369457506598</v>
      </c>
      <c r="AZ17">
        <v>0.50777886955266605</v>
      </c>
      <c r="BA17">
        <v>0.58862629469150196</v>
      </c>
      <c r="BB17">
        <v>0.69715270135195695</v>
      </c>
      <c r="BC17">
        <v>0.69070953533077295</v>
      </c>
      <c r="BD17">
        <v>0.58266204380423303</v>
      </c>
      <c r="BE17">
        <v>0.62134621322418004</v>
      </c>
      <c r="BF17">
        <v>0.74715369046394098</v>
      </c>
      <c r="BG17">
        <v>0.55817714900442394</v>
      </c>
      <c r="BH17">
        <v>0.70964550422279404</v>
      </c>
      <c r="BI17">
        <v>0.70898066488524702</v>
      </c>
      <c r="BJ17">
        <v>0.79883129972472</v>
      </c>
      <c r="BK17">
        <v>0.56020080506557901</v>
      </c>
      <c r="BL17">
        <v>0.729704681374855</v>
      </c>
      <c r="BM17">
        <v>0.69359506298351503</v>
      </c>
      <c r="BN17">
        <v>0.773986003107618</v>
      </c>
      <c r="BO17">
        <v>0.739572819624009</v>
      </c>
      <c r="BP17">
        <v>0.77458602315246605</v>
      </c>
      <c r="BQ17">
        <v>0.58580532178676503</v>
      </c>
      <c r="BR17">
        <v>0.66070888505606495</v>
      </c>
      <c r="BS17">
        <v>0.68531406706771902</v>
      </c>
      <c r="BT17">
        <v>0.84936492021277499</v>
      </c>
      <c r="BU17">
        <v>0.771287255655422</v>
      </c>
      <c r="BV17">
        <v>0.19847076467685801</v>
      </c>
      <c r="BW17">
        <v>0.38973050875483001</v>
      </c>
      <c r="BX17">
        <v>0.69631172548638598</v>
      </c>
      <c r="BY17">
        <v>0.40425194635456002</v>
      </c>
      <c r="BZ17">
        <v>0.78053634745633005</v>
      </c>
      <c r="CA17">
        <v>0.73765632935815895</v>
      </c>
      <c r="CB17">
        <v>0.63748216819897596</v>
      </c>
      <c r="CC17">
        <v>0.52316563989582199</v>
      </c>
      <c r="CD17">
        <v>0.486164029551723</v>
      </c>
      <c r="CE17">
        <v>0.77034447723337096</v>
      </c>
      <c r="CF17">
        <v>0.66490073749067802</v>
      </c>
      <c r="CG17">
        <v>0.61774361503351505</v>
      </c>
      <c r="CH17">
        <v>0.63262617828234902</v>
      </c>
      <c r="CI17">
        <v>0.67533676734717696</v>
      </c>
      <c r="CJ17">
        <v>0.66737096914543403</v>
      </c>
      <c r="CK17">
        <v>0.74907353726364601</v>
      </c>
      <c r="CL17">
        <v>0.82882890814570598</v>
      </c>
      <c r="CM17">
        <v>0.85041832667559303</v>
      </c>
      <c r="CN17">
        <v>0.48739301591344703</v>
      </c>
      <c r="CO17">
        <v>0.41374762707754498</v>
      </c>
      <c r="CP17">
        <v>0.758111978058297</v>
      </c>
      <c r="CQ17">
        <v>0.74521811411238503</v>
      </c>
      <c r="CR17">
        <v>0.85642948707391897</v>
      </c>
      <c r="CS17">
        <v>0.24989750806067601</v>
      </c>
      <c r="CT17">
        <v>0.58872657958748098</v>
      </c>
      <c r="CU17">
        <v>0.65832930750241603</v>
      </c>
      <c r="CV17">
        <v>0.46630630485519298</v>
      </c>
      <c r="CW17">
        <v>0.56649173238067196</v>
      </c>
    </row>
    <row r="18" spans="1:101" x14ac:dyDescent="0.25">
      <c r="A18">
        <v>17</v>
      </c>
      <c r="B18">
        <v>0.682319241783506</v>
      </c>
      <c r="C18">
        <v>0.576699300007956</v>
      </c>
      <c r="D18">
        <v>0.65315010788429095</v>
      </c>
      <c r="E18">
        <v>0.73259052754115395</v>
      </c>
      <c r="F18">
        <v>0.69849433415696605</v>
      </c>
      <c r="G18">
        <v>0.48233317654808699</v>
      </c>
      <c r="H18">
        <v>0.55946053015280806</v>
      </c>
      <c r="I18">
        <v>0.62246485753568304</v>
      </c>
      <c r="J18">
        <v>0.69198964976904498</v>
      </c>
      <c r="K18">
        <v>0.67790727134931295</v>
      </c>
      <c r="L18">
        <v>0.83076809299195098</v>
      </c>
      <c r="M18">
        <v>0.66943320574313903</v>
      </c>
      <c r="N18">
        <v>0.65260555042467905</v>
      </c>
      <c r="O18">
        <v>0.74059026337100298</v>
      </c>
      <c r="P18">
        <v>0.14978484320746399</v>
      </c>
      <c r="Q18">
        <v>0.61601890742944099</v>
      </c>
      <c r="R18">
        <v>0.70310537657763805</v>
      </c>
      <c r="S18">
        <v>0.68718600367978699</v>
      </c>
      <c r="T18">
        <v>0.64125659978372795</v>
      </c>
      <c r="U18">
        <v>0.63158938493826</v>
      </c>
      <c r="V18">
        <v>0.55316055563824795</v>
      </c>
      <c r="W18">
        <v>0.47013819172190402</v>
      </c>
      <c r="X18">
        <v>0.64196957759993101</v>
      </c>
      <c r="Y18">
        <v>0.724229249714062</v>
      </c>
      <c r="Z18">
        <v>0.5552349939508</v>
      </c>
      <c r="AA18">
        <v>0.72674932904203304</v>
      </c>
      <c r="AB18">
        <v>0.76787815418733396</v>
      </c>
      <c r="AC18">
        <v>0.56531787734856698</v>
      </c>
      <c r="AD18">
        <v>0.73220768950510096</v>
      </c>
      <c r="AE18">
        <v>0.76664094165763097</v>
      </c>
      <c r="AF18">
        <v>0.79647420336822505</v>
      </c>
      <c r="AG18">
        <v>0.69593457953658999</v>
      </c>
      <c r="AH18">
        <v>0.52970099130955495</v>
      </c>
      <c r="AI18">
        <v>0.79497773356671797</v>
      </c>
      <c r="AJ18">
        <v>0.80297832731172702</v>
      </c>
      <c r="AK18">
        <v>0.64435855738549797</v>
      </c>
      <c r="AL18">
        <v>0.47329161491809801</v>
      </c>
      <c r="AM18">
        <v>0.77865786450575702</v>
      </c>
      <c r="AN18">
        <v>0.52193994433766699</v>
      </c>
      <c r="AO18">
        <v>0.23077579202672799</v>
      </c>
      <c r="AP18">
        <v>0.62139038531371804</v>
      </c>
      <c r="AQ18">
        <v>0.78830175704319205</v>
      </c>
      <c r="AR18">
        <v>0.69998052519784504</v>
      </c>
      <c r="AS18">
        <v>0.51886801626656998</v>
      </c>
      <c r="AT18">
        <v>0.60843365563471796</v>
      </c>
      <c r="AU18">
        <v>0.54521653570154804</v>
      </c>
      <c r="AV18">
        <v>0.730809389928605</v>
      </c>
      <c r="AW18">
        <v>0.71755246685880103</v>
      </c>
      <c r="AX18">
        <v>0.78006649756915503</v>
      </c>
      <c r="AY18">
        <v>0.565176991261094</v>
      </c>
      <c r="AZ18">
        <v>0.62694345814967201</v>
      </c>
      <c r="BA18">
        <v>0.60888143383164395</v>
      </c>
      <c r="BB18">
        <v>0.77151594358234699</v>
      </c>
      <c r="BC18">
        <v>0.70307274090671001</v>
      </c>
      <c r="BD18">
        <v>0.72254617033778701</v>
      </c>
      <c r="BE18">
        <v>0.57916815757048901</v>
      </c>
      <c r="BF18">
        <v>0.71798644852659699</v>
      </c>
      <c r="BG18">
        <v>0.25474293134619602</v>
      </c>
      <c r="BH18">
        <v>0.76389520474586603</v>
      </c>
      <c r="BI18">
        <v>0.61370190697332405</v>
      </c>
      <c r="BJ18">
        <v>0.75138410624340901</v>
      </c>
      <c r="BK18">
        <v>0.57352823115941398</v>
      </c>
      <c r="BL18">
        <v>0.66866411866184405</v>
      </c>
      <c r="BM18">
        <v>0.56063305940006802</v>
      </c>
      <c r="BN18">
        <v>0.75431680667196199</v>
      </c>
      <c r="BO18">
        <v>0.69242213817902698</v>
      </c>
      <c r="BP18">
        <v>0.750998610100858</v>
      </c>
      <c r="BQ18">
        <v>0.64635588980229597</v>
      </c>
      <c r="BR18">
        <v>0.68655920342991195</v>
      </c>
      <c r="BS18">
        <v>0.56715917218577006</v>
      </c>
      <c r="BT18">
        <v>0.784738885057919</v>
      </c>
      <c r="BU18">
        <v>0.765391839407357</v>
      </c>
      <c r="BV18">
        <v>0.57164914474879402</v>
      </c>
      <c r="BW18">
        <v>0.55856169924149002</v>
      </c>
      <c r="BX18">
        <v>0.67936406924132497</v>
      </c>
      <c r="BY18">
        <v>0.39593438416196902</v>
      </c>
      <c r="BZ18">
        <v>0.74772475391321103</v>
      </c>
      <c r="CA18">
        <v>0.54319935945419795</v>
      </c>
      <c r="CB18">
        <v>0.658797051293039</v>
      </c>
      <c r="CC18">
        <v>0.52454798852881401</v>
      </c>
      <c r="CD18">
        <v>0.45249154241180101</v>
      </c>
      <c r="CE18">
        <v>0.80993049949536799</v>
      </c>
      <c r="CF18">
        <v>0.61885107600072098</v>
      </c>
      <c r="CG18">
        <v>0.71499287882840301</v>
      </c>
      <c r="CH18">
        <v>0.57915957428266196</v>
      </c>
      <c r="CI18">
        <v>0.61782892064206596</v>
      </c>
      <c r="CJ18">
        <v>0.57088843012621604</v>
      </c>
      <c r="CK18">
        <v>0.740232314581033</v>
      </c>
      <c r="CL18">
        <v>0.79587057898511904</v>
      </c>
      <c r="CM18">
        <v>0.82619179533631004</v>
      </c>
      <c r="CN18">
        <v>0.236867119471874</v>
      </c>
      <c r="CO18">
        <v>0.52735268337587904</v>
      </c>
      <c r="CP18">
        <v>0.80542064464946395</v>
      </c>
      <c r="CQ18">
        <v>0.70694840386894198</v>
      </c>
      <c r="CR18">
        <v>0.83520560579876402</v>
      </c>
      <c r="CS18">
        <v>0.105200474077603</v>
      </c>
      <c r="CT18">
        <v>0.59334452988484199</v>
      </c>
      <c r="CU18">
        <v>0.57904168895564601</v>
      </c>
      <c r="CV18">
        <v>0.54575330701627101</v>
      </c>
      <c r="CW18">
        <v>0.55340601902745101</v>
      </c>
    </row>
    <row r="19" spans="1:101" x14ac:dyDescent="0.25">
      <c r="A19">
        <v>18</v>
      </c>
      <c r="B19">
        <v>0.65648482918052897</v>
      </c>
      <c r="C19">
        <v>0.72607758912298903</v>
      </c>
      <c r="D19">
        <v>0.67327847074577796</v>
      </c>
      <c r="E19">
        <v>0.73703076644887799</v>
      </c>
      <c r="F19">
        <v>0.71471164099259099</v>
      </c>
      <c r="G19">
        <v>0.45014001836836298</v>
      </c>
      <c r="H19">
        <v>0.59094134677279997</v>
      </c>
      <c r="I19">
        <v>0.72949948514922203</v>
      </c>
      <c r="J19">
        <v>0.66889895499630403</v>
      </c>
      <c r="K19">
        <v>0.73100877277542398</v>
      </c>
      <c r="L19">
        <v>0.85622445763041399</v>
      </c>
      <c r="M19">
        <v>0.67046313593413398</v>
      </c>
      <c r="N19">
        <v>0.489830105422221</v>
      </c>
      <c r="O19">
        <v>0.66897872732269104</v>
      </c>
      <c r="P19">
        <v>0.24399696843441701</v>
      </c>
      <c r="Q19">
        <v>0.55900390473939798</v>
      </c>
      <c r="R19">
        <v>0.68168234443985098</v>
      </c>
      <c r="S19">
        <v>0.60328625403351699</v>
      </c>
      <c r="T19">
        <v>0.63208154603470001</v>
      </c>
      <c r="U19">
        <v>0.71260448335332105</v>
      </c>
      <c r="V19">
        <v>0.65575147847936599</v>
      </c>
      <c r="W19">
        <v>0.29091982295381902</v>
      </c>
      <c r="X19">
        <v>0.60681303115992302</v>
      </c>
      <c r="Y19">
        <v>0.78225987945055198</v>
      </c>
      <c r="Z19">
        <v>0.44462721353734502</v>
      </c>
      <c r="AA19">
        <v>0.74166737670175498</v>
      </c>
      <c r="AB19">
        <v>0.77589790063283604</v>
      </c>
      <c r="AC19">
        <v>0.63323639470359705</v>
      </c>
      <c r="AD19">
        <v>0.696620667633156</v>
      </c>
      <c r="AE19">
        <v>0.75885255174973798</v>
      </c>
      <c r="AF19">
        <v>0.78958131880289895</v>
      </c>
      <c r="AG19">
        <v>0.69663690295625202</v>
      </c>
      <c r="AH19">
        <v>0.55535758215964703</v>
      </c>
      <c r="AI19">
        <v>0.78707791403812799</v>
      </c>
      <c r="AJ19">
        <v>0.840575947409683</v>
      </c>
      <c r="AK19">
        <v>0.60130209651237598</v>
      </c>
      <c r="AL19">
        <v>0.47233458716601301</v>
      </c>
      <c r="AM19">
        <v>0.73799151452691003</v>
      </c>
      <c r="AN19">
        <v>0.33593862474237002</v>
      </c>
      <c r="AO19">
        <v>0.182952927092843</v>
      </c>
      <c r="AP19">
        <v>0.57760651849434497</v>
      </c>
      <c r="AQ19">
        <v>0.77288000593244999</v>
      </c>
      <c r="AR19">
        <v>0.65879163500083604</v>
      </c>
      <c r="AS19">
        <v>0.58245369563510696</v>
      </c>
      <c r="AT19">
        <v>0.57980594749227399</v>
      </c>
      <c r="AU19">
        <v>0.61863746990963897</v>
      </c>
      <c r="AV19">
        <v>0.73902181893600605</v>
      </c>
      <c r="AW19">
        <v>0.70151721098657205</v>
      </c>
      <c r="AX19">
        <v>0.73858682476944404</v>
      </c>
      <c r="AY19">
        <v>0.54889611582588405</v>
      </c>
      <c r="AZ19">
        <v>0.72705822210723303</v>
      </c>
      <c r="BA19">
        <v>0.63770570016167305</v>
      </c>
      <c r="BB19">
        <v>0.76529904149435501</v>
      </c>
      <c r="BC19">
        <v>0.78470199022759302</v>
      </c>
      <c r="BD19">
        <v>0.67547555288161398</v>
      </c>
      <c r="BE19">
        <v>0.51937301100496502</v>
      </c>
      <c r="BF19">
        <v>0.71326349495858299</v>
      </c>
      <c r="BG19">
        <v>0.63197715012552103</v>
      </c>
      <c r="BH19">
        <v>0.76838794073392802</v>
      </c>
      <c r="BI19">
        <v>0.54850509437305806</v>
      </c>
      <c r="BJ19">
        <v>0.76229176046203195</v>
      </c>
      <c r="BK19">
        <v>0.162297281660568</v>
      </c>
      <c r="BL19">
        <v>0.67360432333306897</v>
      </c>
      <c r="BM19">
        <v>0.143209612468646</v>
      </c>
      <c r="BN19">
        <v>0.77507701074249902</v>
      </c>
      <c r="BO19">
        <v>0.646969014433602</v>
      </c>
      <c r="BP19">
        <v>0.76494161126245896</v>
      </c>
      <c r="BQ19">
        <v>0.68796727988084105</v>
      </c>
      <c r="BR19">
        <v>0.68243124507122099</v>
      </c>
      <c r="BS19">
        <v>0.54224195519242602</v>
      </c>
      <c r="BT19">
        <v>0.80482239450300497</v>
      </c>
      <c r="BU19">
        <v>0.77589145168034601</v>
      </c>
      <c r="BV19">
        <v>0.55911750487891798</v>
      </c>
      <c r="BW19">
        <v>0.56913109122885597</v>
      </c>
      <c r="BX19">
        <v>0.737669562186415</v>
      </c>
      <c r="BY19">
        <v>0.54727096128855501</v>
      </c>
      <c r="BZ19">
        <v>0.71401754097418302</v>
      </c>
      <c r="CA19">
        <v>0.70340960726187396</v>
      </c>
      <c r="CB19">
        <v>0.72954317906733701</v>
      </c>
      <c r="CC19">
        <v>0.64306480062669402</v>
      </c>
      <c r="CD19">
        <v>0.48697089694745299</v>
      </c>
      <c r="CE19">
        <v>0.78011458357816299</v>
      </c>
      <c r="CF19">
        <v>0.65533694836859901</v>
      </c>
      <c r="CG19">
        <v>0.72566998217289003</v>
      </c>
      <c r="CH19">
        <v>0.62727298793338504</v>
      </c>
      <c r="CI19">
        <v>0.53467193911252897</v>
      </c>
      <c r="CJ19">
        <v>0.58271634989446297</v>
      </c>
      <c r="CK19">
        <v>0.69363354008775902</v>
      </c>
      <c r="CL19">
        <v>0.76788112509458295</v>
      </c>
      <c r="CM19">
        <v>0.81708395479178697</v>
      </c>
      <c r="CN19">
        <v>0.45780266233982703</v>
      </c>
      <c r="CO19">
        <v>0.44167932097690399</v>
      </c>
      <c r="CP19">
        <v>0.84915594186416099</v>
      </c>
      <c r="CQ19">
        <v>0.59202957898454001</v>
      </c>
      <c r="CR19">
        <v>0.86053855195173401</v>
      </c>
      <c r="CS19">
        <v>0.140542902790983</v>
      </c>
      <c r="CT19">
        <v>0.70304649290833598</v>
      </c>
      <c r="CU19">
        <v>0.54838984356549403</v>
      </c>
      <c r="CV19">
        <v>0.73616736661937898</v>
      </c>
      <c r="CW19">
        <v>0.47964318651354598</v>
      </c>
    </row>
    <row r="20" spans="1:101" x14ac:dyDescent="0.25">
      <c r="A20">
        <v>19</v>
      </c>
      <c r="B20">
        <v>0.73425635958720703</v>
      </c>
      <c r="C20">
        <v>0.78429439666091905</v>
      </c>
      <c r="D20">
        <v>0.49077323497285102</v>
      </c>
      <c r="E20">
        <v>0.783363367970907</v>
      </c>
      <c r="F20">
        <v>0.66360674128172004</v>
      </c>
      <c r="G20">
        <v>0.55368778223831905</v>
      </c>
      <c r="H20">
        <v>0.458039783823324</v>
      </c>
      <c r="I20">
        <v>0.68476589935878696</v>
      </c>
      <c r="J20">
        <v>0.71706470899175001</v>
      </c>
      <c r="K20">
        <v>0.77283166702911399</v>
      </c>
      <c r="L20">
        <v>0.81504985675962405</v>
      </c>
      <c r="M20">
        <v>0.731855660265879</v>
      </c>
      <c r="N20">
        <v>0.61866356481384099</v>
      </c>
      <c r="O20">
        <v>0.68879743114134095</v>
      </c>
      <c r="P20">
        <v>0.16985124731124501</v>
      </c>
      <c r="Q20">
        <v>0.700090195482725</v>
      </c>
      <c r="R20">
        <v>0.64751788908978303</v>
      </c>
      <c r="S20">
        <v>0.710622087479164</v>
      </c>
      <c r="T20">
        <v>0.738067971748118</v>
      </c>
      <c r="U20">
        <v>0.70356371293846898</v>
      </c>
      <c r="V20">
        <v>0.75253526335906096</v>
      </c>
      <c r="W20">
        <v>0.30815709164969601</v>
      </c>
      <c r="X20">
        <v>0.63471687633565199</v>
      </c>
      <c r="Y20">
        <v>0.77925872009401798</v>
      </c>
      <c r="Z20">
        <v>0.378255770839586</v>
      </c>
      <c r="AA20">
        <v>0.75468115067332497</v>
      </c>
      <c r="AB20">
        <v>0.76696372003379498</v>
      </c>
      <c r="AC20">
        <v>0.52981834767202696</v>
      </c>
      <c r="AD20">
        <v>0.66107147281629897</v>
      </c>
      <c r="AE20">
        <v>0.758345680458827</v>
      </c>
      <c r="AF20">
        <v>0.77600219514923596</v>
      </c>
      <c r="AG20">
        <v>0.73973273992174204</v>
      </c>
      <c r="AH20">
        <v>0.54536281668139597</v>
      </c>
      <c r="AI20">
        <v>0.79908830714508705</v>
      </c>
      <c r="AJ20">
        <v>0.95793570895739999</v>
      </c>
      <c r="AK20">
        <v>0.50745393882789702</v>
      </c>
      <c r="AL20">
        <v>0.57819616284419495</v>
      </c>
      <c r="AM20">
        <v>0.63794896434959902</v>
      </c>
      <c r="AN20">
        <v>0.44506490979945201</v>
      </c>
      <c r="AO20">
        <v>0.613493002287402</v>
      </c>
      <c r="AP20">
        <v>0.647317642650028</v>
      </c>
      <c r="AQ20">
        <v>0.66342295864108503</v>
      </c>
      <c r="AR20">
        <v>0.66461233716845802</v>
      </c>
      <c r="AS20">
        <v>0.585200549745445</v>
      </c>
      <c r="AT20">
        <v>0.54474750862655397</v>
      </c>
      <c r="AU20">
        <v>0.60893048153626195</v>
      </c>
      <c r="AV20">
        <v>0.73887697742630098</v>
      </c>
      <c r="AW20">
        <v>0.59768044069888704</v>
      </c>
      <c r="AX20">
        <v>0.76870019436892001</v>
      </c>
      <c r="AY20">
        <v>0.63871235806739302</v>
      </c>
      <c r="AZ20">
        <v>0.80155683889643503</v>
      </c>
      <c r="BA20">
        <v>0.63634355244495699</v>
      </c>
      <c r="BB20">
        <v>0.73346475407424505</v>
      </c>
      <c r="BC20">
        <v>0.73361074710209595</v>
      </c>
      <c r="BD20">
        <v>0.64510500554986105</v>
      </c>
      <c r="BE20">
        <v>0.66485082405456197</v>
      </c>
      <c r="BF20">
        <v>0.72904875246466805</v>
      </c>
      <c r="BG20">
        <v>0.59931781671009998</v>
      </c>
      <c r="BH20">
        <v>0.74507590237483001</v>
      </c>
      <c r="BI20">
        <v>0.59743851512777002</v>
      </c>
      <c r="BJ20">
        <v>0.81009805145576197</v>
      </c>
      <c r="BK20">
        <v>0.45599247268918802</v>
      </c>
      <c r="BL20">
        <v>0.53571962960032704</v>
      </c>
      <c r="BM20">
        <v>0.186706342699863</v>
      </c>
      <c r="BN20">
        <v>0.753766236636913</v>
      </c>
      <c r="BO20">
        <v>0.56866147869094896</v>
      </c>
      <c r="BP20">
        <v>0.76484116457454099</v>
      </c>
      <c r="BQ20">
        <v>0.68737735759834095</v>
      </c>
      <c r="BR20">
        <v>0.67936071304647805</v>
      </c>
      <c r="BS20">
        <v>0.60658606615627297</v>
      </c>
      <c r="BT20">
        <v>0.813450728015777</v>
      </c>
      <c r="BU20">
        <v>0.79195990335511901</v>
      </c>
      <c r="BV20">
        <v>0.60880538780921201</v>
      </c>
      <c r="BW20">
        <v>0.55967594355531902</v>
      </c>
      <c r="BX20">
        <v>0.76395574112592901</v>
      </c>
      <c r="BY20">
        <v>0.61760552335157604</v>
      </c>
      <c r="BZ20">
        <v>0.72443406658144704</v>
      </c>
      <c r="CA20">
        <v>0.72967488127420599</v>
      </c>
      <c r="CB20">
        <v>0.64653492117113798</v>
      </c>
      <c r="CC20">
        <v>0.67340139721494696</v>
      </c>
      <c r="CD20">
        <v>0.31601575707032897</v>
      </c>
      <c r="CE20">
        <v>0.71509855240868503</v>
      </c>
      <c r="CF20">
        <v>0.75246337184920797</v>
      </c>
      <c r="CG20">
        <v>0.75348388582282699</v>
      </c>
      <c r="CH20">
        <v>0.61933530685932803</v>
      </c>
      <c r="CI20">
        <v>0.55320317783823802</v>
      </c>
      <c r="CJ20">
        <v>0.579828429173746</v>
      </c>
      <c r="CK20">
        <v>0.72624090447320699</v>
      </c>
      <c r="CL20">
        <v>0.74424466126692201</v>
      </c>
      <c r="CM20">
        <v>0.80661768900655795</v>
      </c>
      <c r="CN20">
        <v>0.60899002436493999</v>
      </c>
      <c r="CO20">
        <v>0.60474892357016996</v>
      </c>
      <c r="CP20">
        <v>0.80017218386661704</v>
      </c>
      <c r="CQ20">
        <v>0.614373147085297</v>
      </c>
      <c r="CR20">
        <v>0.93962813945566803</v>
      </c>
      <c r="CS20">
        <v>0.49175882417741901</v>
      </c>
      <c r="CT20">
        <v>0.726358547840948</v>
      </c>
      <c r="CU20">
        <v>0.68825575154997198</v>
      </c>
      <c r="CV20">
        <v>0.735588315219314</v>
      </c>
      <c r="CW20">
        <v>0.625257367107802</v>
      </c>
    </row>
    <row r="21" spans="1:101" x14ac:dyDescent="0.25">
      <c r="A21">
        <v>20</v>
      </c>
      <c r="B21">
        <v>0.72407359526008996</v>
      </c>
      <c r="C21">
        <v>0.81655102787355205</v>
      </c>
      <c r="D21">
        <v>0.60418963818486904</v>
      </c>
      <c r="E21">
        <v>0.76800154895373596</v>
      </c>
      <c r="F21">
        <v>0.74131268183556298</v>
      </c>
      <c r="G21">
        <v>0.65575657204433102</v>
      </c>
      <c r="H21">
        <v>0.50825206355686903</v>
      </c>
      <c r="I21">
        <v>0.73345728915525599</v>
      </c>
      <c r="J21">
        <v>0.66431269245626401</v>
      </c>
      <c r="K21">
        <v>0.76530695536529203</v>
      </c>
      <c r="L21">
        <v>0.89077328075316897</v>
      </c>
      <c r="M21">
        <v>0.65926908256441197</v>
      </c>
      <c r="N21">
        <v>0.38769346414885703</v>
      </c>
      <c r="O21">
        <v>0.75863268952600504</v>
      </c>
      <c r="P21">
        <v>0.198749292122223</v>
      </c>
      <c r="Q21">
        <v>0.692748834641714</v>
      </c>
      <c r="R21">
        <v>0.67221287065798896</v>
      </c>
      <c r="S21">
        <v>0.76027348808378103</v>
      </c>
      <c r="T21">
        <v>0.76353188789571502</v>
      </c>
      <c r="U21">
        <v>0.72756830490797997</v>
      </c>
      <c r="V21">
        <v>0.82804486350920103</v>
      </c>
      <c r="W21">
        <v>0.312841954531002</v>
      </c>
      <c r="X21">
        <v>0.60806452884987705</v>
      </c>
      <c r="Y21">
        <v>0.76572616336755095</v>
      </c>
      <c r="Z21">
        <v>0.127258563055129</v>
      </c>
      <c r="AA21">
        <v>0.74895262223799997</v>
      </c>
      <c r="AB21">
        <v>0.77538052735060403</v>
      </c>
      <c r="AC21">
        <v>0.62438114597740801</v>
      </c>
      <c r="AD21">
        <v>0.71630320586924101</v>
      </c>
      <c r="AE21">
        <v>0.71937259141267595</v>
      </c>
      <c r="AF21">
        <v>0.79582601318774104</v>
      </c>
      <c r="AG21">
        <v>0.58262969307628798</v>
      </c>
      <c r="AH21">
        <v>0.62217081313131795</v>
      </c>
      <c r="AI21">
        <v>0.80110607343721396</v>
      </c>
      <c r="AJ21">
        <v>0.957538678662611</v>
      </c>
      <c r="AK21">
        <v>0.38336819657505999</v>
      </c>
      <c r="AL21">
        <v>0.683769872023126</v>
      </c>
      <c r="AM21">
        <v>0.63567787668207898</v>
      </c>
      <c r="AN21">
        <v>0.56940133099736601</v>
      </c>
      <c r="AO21">
        <v>0.67862789604610296</v>
      </c>
      <c r="AP21">
        <v>0.74140236003782001</v>
      </c>
      <c r="AQ21">
        <v>0.608449689061766</v>
      </c>
      <c r="AR21">
        <v>0.75207121737981297</v>
      </c>
      <c r="AS21">
        <v>0.76230165940358396</v>
      </c>
      <c r="AT21">
        <v>0.58805382560016395</v>
      </c>
      <c r="AU21">
        <v>0.52369408366327896</v>
      </c>
      <c r="AV21">
        <v>0.76792614503335999</v>
      </c>
      <c r="AW21">
        <v>0.48883164112515198</v>
      </c>
      <c r="AX21">
        <v>0.81722640189768403</v>
      </c>
      <c r="AY21">
        <v>0.46140801750177801</v>
      </c>
      <c r="AZ21">
        <v>0.79361877429956296</v>
      </c>
      <c r="BA21">
        <v>0.76001847406213296</v>
      </c>
      <c r="BB21">
        <v>0.767303989676832</v>
      </c>
      <c r="BC21">
        <v>0.71485102520830202</v>
      </c>
      <c r="BD21">
        <v>0.68143387967467395</v>
      </c>
      <c r="BE21">
        <v>0.75260402488526701</v>
      </c>
      <c r="BF21">
        <v>0.64804260459448304</v>
      </c>
      <c r="BG21">
        <v>0.73624416869721099</v>
      </c>
      <c r="BH21">
        <v>0.72315236715976705</v>
      </c>
      <c r="BI21">
        <v>0.63718038918681397</v>
      </c>
      <c r="BJ21">
        <v>0.763517320789033</v>
      </c>
      <c r="BK21">
        <v>0.38437895612899903</v>
      </c>
      <c r="BL21">
        <v>0.195301525924683</v>
      </c>
      <c r="BM21">
        <v>0.56600149339912298</v>
      </c>
      <c r="BN21">
        <v>0.63950873036509204</v>
      </c>
      <c r="BO21">
        <v>0.72863354413624604</v>
      </c>
      <c r="BP21">
        <v>0.74871370819484995</v>
      </c>
      <c r="BQ21">
        <v>0.72296916371669395</v>
      </c>
      <c r="BR21">
        <v>0.68873400278506303</v>
      </c>
      <c r="BS21">
        <v>0.562420677439461</v>
      </c>
      <c r="BT21">
        <v>0.82651655312365102</v>
      </c>
      <c r="BU21">
        <v>0.81874779168790002</v>
      </c>
      <c r="BV21">
        <v>0.61988069805007995</v>
      </c>
      <c r="BW21">
        <v>0.76075040696181495</v>
      </c>
      <c r="BX21">
        <v>0.76505358994473605</v>
      </c>
      <c r="BY21">
        <v>0.664881921705197</v>
      </c>
      <c r="BZ21">
        <v>0.72071909207166096</v>
      </c>
      <c r="CA21">
        <v>0.79410380883234699</v>
      </c>
      <c r="CB21">
        <v>0.71740651237849296</v>
      </c>
      <c r="CC21">
        <v>0.65527612573777205</v>
      </c>
      <c r="CD21">
        <v>0.63965335855612804</v>
      </c>
      <c r="CE21">
        <v>0.77132382749142703</v>
      </c>
      <c r="CF21">
        <v>0.783756368333835</v>
      </c>
      <c r="CG21">
        <v>0.77993384260740894</v>
      </c>
      <c r="CH21">
        <v>0.58631762262978104</v>
      </c>
      <c r="CI21">
        <v>0.156451288646899</v>
      </c>
      <c r="CJ21">
        <v>0.66358630969654897</v>
      </c>
      <c r="CK21">
        <v>0.697422250289783</v>
      </c>
      <c r="CL21">
        <v>0.68553555457703197</v>
      </c>
      <c r="CM21">
        <v>0.83196752203608904</v>
      </c>
      <c r="CN21">
        <v>0.63860157524384997</v>
      </c>
      <c r="CO21">
        <v>0.60472895212295297</v>
      </c>
      <c r="CP21">
        <v>0.77177115510290195</v>
      </c>
      <c r="CQ21">
        <v>0.739100533461861</v>
      </c>
      <c r="CR21">
        <v>0.98589646884464999</v>
      </c>
      <c r="CS21">
        <v>0.52837284095284098</v>
      </c>
      <c r="CT21">
        <v>0.64091603185773904</v>
      </c>
      <c r="CU21">
        <v>0.68773157167857402</v>
      </c>
      <c r="CV21">
        <v>0.76870988179881805</v>
      </c>
      <c r="CW21">
        <v>0.78696554114949202</v>
      </c>
    </row>
    <row r="22" spans="1:101" x14ac:dyDescent="0.25">
      <c r="A22">
        <v>21</v>
      </c>
      <c r="B22">
        <v>0.73648784056477801</v>
      </c>
      <c r="C22">
        <v>0.81846391958167597</v>
      </c>
      <c r="D22">
        <v>0.69315733967595095</v>
      </c>
      <c r="E22">
        <v>0.73262651970830905</v>
      </c>
      <c r="F22">
        <v>0.81683886357355695</v>
      </c>
      <c r="G22">
        <v>0.67976297262061203</v>
      </c>
      <c r="H22">
        <v>0.16247934731049299</v>
      </c>
      <c r="I22">
        <v>0.71264714019444397</v>
      </c>
      <c r="J22">
        <v>0.66941751213395395</v>
      </c>
      <c r="K22">
        <v>0.79654657746721202</v>
      </c>
      <c r="L22">
        <v>0.92710748051890002</v>
      </c>
      <c r="M22">
        <v>0.79704004745648505</v>
      </c>
      <c r="N22">
        <v>0.32761315285773601</v>
      </c>
      <c r="O22">
        <v>0.82617459076476096</v>
      </c>
      <c r="P22">
        <v>0.64188546901150401</v>
      </c>
      <c r="Q22">
        <v>0.67327970131487802</v>
      </c>
      <c r="R22">
        <v>0.77689272888449501</v>
      </c>
      <c r="S22">
        <v>0.65022022633719401</v>
      </c>
      <c r="T22">
        <v>0.78705032413700005</v>
      </c>
      <c r="U22">
        <v>0.65335582585123997</v>
      </c>
      <c r="V22">
        <v>0.81865996458775003</v>
      </c>
      <c r="W22">
        <v>0.35769919951013102</v>
      </c>
      <c r="X22">
        <v>0.46226853320622002</v>
      </c>
      <c r="Y22">
        <v>0.82550634675787504</v>
      </c>
      <c r="Z22">
        <v>0.16386047318685701</v>
      </c>
      <c r="AA22">
        <v>0.790590644468115</v>
      </c>
      <c r="AB22">
        <v>0.80833584876902398</v>
      </c>
      <c r="AC22">
        <v>0.732987185595812</v>
      </c>
      <c r="AD22">
        <v>0.796051552662981</v>
      </c>
      <c r="AE22">
        <v>0.76460950293155105</v>
      </c>
      <c r="AF22">
        <v>0.852494028939902</v>
      </c>
      <c r="AG22">
        <v>0.48139954701988003</v>
      </c>
      <c r="AH22">
        <v>0.75725871702066705</v>
      </c>
      <c r="AI22">
        <v>0.76000382763091801</v>
      </c>
      <c r="AJ22">
        <v>0.96179036099389703</v>
      </c>
      <c r="AK22">
        <v>0.69781492821081503</v>
      </c>
      <c r="AL22">
        <v>0.754908267183515</v>
      </c>
      <c r="AM22">
        <v>0.41004282890264399</v>
      </c>
      <c r="AN22">
        <v>0.62493829257191402</v>
      </c>
      <c r="AO22">
        <v>0.78273745812294304</v>
      </c>
      <c r="AP22">
        <v>0.78334043988993596</v>
      </c>
      <c r="AQ22">
        <v>0.61271969948071603</v>
      </c>
      <c r="AR22">
        <v>0.64659699657514902</v>
      </c>
      <c r="AS22">
        <v>0.70911407478238797</v>
      </c>
      <c r="AT22">
        <v>0.64090959877462195</v>
      </c>
      <c r="AU22">
        <v>0.55404746212869405</v>
      </c>
      <c r="AV22">
        <v>0.79515666027131804</v>
      </c>
      <c r="AW22">
        <v>0.637569334486627</v>
      </c>
      <c r="AX22">
        <v>0.82957864072893295</v>
      </c>
      <c r="AY22">
        <v>0.50133252025009201</v>
      </c>
      <c r="AZ22">
        <v>0.84111308760779502</v>
      </c>
      <c r="BA22">
        <v>0.71735405885086201</v>
      </c>
      <c r="BB22">
        <v>0.821715771453014</v>
      </c>
      <c r="BC22">
        <v>0.66113956098876203</v>
      </c>
      <c r="BD22">
        <v>0.73670666543353303</v>
      </c>
      <c r="BE22">
        <v>0.77471641970468597</v>
      </c>
      <c r="BF22">
        <v>0.653135642453333</v>
      </c>
      <c r="BG22">
        <v>0.64916313534974202</v>
      </c>
      <c r="BH22">
        <v>0.78898676869862305</v>
      </c>
      <c r="BI22">
        <v>0.66498402365007703</v>
      </c>
      <c r="BJ22">
        <v>0.70964512772791799</v>
      </c>
      <c r="BK22">
        <v>0.54712308441294899</v>
      </c>
      <c r="BL22">
        <v>0.36843366060840399</v>
      </c>
      <c r="BM22">
        <v>0.32875230124649302</v>
      </c>
      <c r="BN22">
        <v>0.383189587808342</v>
      </c>
      <c r="BO22">
        <v>0.78767630834128899</v>
      </c>
      <c r="BP22">
        <v>0.78663005599482205</v>
      </c>
      <c r="BQ22">
        <v>0.77003031084506102</v>
      </c>
      <c r="BR22">
        <v>0.67725444913135102</v>
      </c>
      <c r="BS22">
        <v>0.48945840825668802</v>
      </c>
      <c r="BT22">
        <v>0.79717987773990495</v>
      </c>
      <c r="BU22">
        <v>0.87240515569572497</v>
      </c>
      <c r="BV22">
        <v>0.76123829001752596</v>
      </c>
      <c r="BW22">
        <v>0.81051635726749804</v>
      </c>
      <c r="BX22">
        <v>0.81986191348773796</v>
      </c>
      <c r="BY22">
        <v>0.29032409104333201</v>
      </c>
      <c r="BZ22">
        <v>0.75618729501956405</v>
      </c>
      <c r="CA22">
        <v>0.79441033482163603</v>
      </c>
      <c r="CB22">
        <v>0.73757524460882495</v>
      </c>
      <c r="CC22">
        <v>0.69200482795214802</v>
      </c>
      <c r="CD22">
        <v>0.69736219191413695</v>
      </c>
      <c r="CE22">
        <v>0.78104971822980396</v>
      </c>
      <c r="CF22">
        <v>0.783968655530487</v>
      </c>
      <c r="CG22">
        <v>0.79241378556678099</v>
      </c>
      <c r="CH22">
        <v>0.57714916916114301</v>
      </c>
      <c r="CI22">
        <v>0.162978089462889</v>
      </c>
      <c r="CJ22">
        <v>0.62481436652495503</v>
      </c>
      <c r="CK22">
        <v>0.73424808778982098</v>
      </c>
      <c r="CL22">
        <v>0.77202766091354702</v>
      </c>
      <c r="CM22">
        <v>0.81029939886999003</v>
      </c>
      <c r="CN22">
        <v>0.63888924150862203</v>
      </c>
      <c r="CO22">
        <v>0.52085024288483395</v>
      </c>
      <c r="CP22">
        <v>0.69673780940101804</v>
      </c>
      <c r="CQ22">
        <v>0.75960475571614094</v>
      </c>
      <c r="CR22">
        <v>0.86176833426836597</v>
      </c>
      <c r="CS22">
        <v>0.166469935931151</v>
      </c>
      <c r="CT22">
        <v>0.65790693609542505</v>
      </c>
      <c r="CU22">
        <v>0.66639075749833399</v>
      </c>
      <c r="CV22">
        <v>0.81306079716840796</v>
      </c>
      <c r="CW22">
        <v>0.82224446597309198</v>
      </c>
    </row>
    <row r="23" spans="1:101" x14ac:dyDescent="0.25">
      <c r="A23">
        <v>22</v>
      </c>
      <c r="B23">
        <v>0.63156411507765897</v>
      </c>
      <c r="C23">
        <v>0.78523770175471497</v>
      </c>
      <c r="D23">
        <v>0.81653133282214196</v>
      </c>
      <c r="E23">
        <v>0.77474500383953004</v>
      </c>
      <c r="F23">
        <v>0.75958933603041401</v>
      </c>
      <c r="G23">
        <v>0.64056547916951301</v>
      </c>
      <c r="H23">
        <v>0.193723152093601</v>
      </c>
      <c r="I23">
        <v>0.75682307788004699</v>
      </c>
      <c r="J23">
        <v>0.79055306768632705</v>
      </c>
      <c r="K23">
        <v>0.81673092222239696</v>
      </c>
      <c r="L23">
        <v>0.95235837457056305</v>
      </c>
      <c r="M23">
        <v>0.85579465607495797</v>
      </c>
      <c r="N23">
        <v>0.61204675572686995</v>
      </c>
      <c r="O23">
        <v>0.81257329799783895</v>
      </c>
      <c r="P23">
        <v>0.65509028226579402</v>
      </c>
      <c r="Q23">
        <v>0.71731853283102798</v>
      </c>
      <c r="R23">
        <v>0.822242358582979</v>
      </c>
      <c r="S23">
        <v>0.74027157363827201</v>
      </c>
      <c r="T23">
        <v>0.82181365895798397</v>
      </c>
      <c r="U23">
        <v>0.62987538510159902</v>
      </c>
      <c r="V23">
        <v>0.82255645759848495</v>
      </c>
      <c r="W23">
        <v>0.62966512840497901</v>
      </c>
      <c r="X23">
        <v>0.20813787825149599</v>
      </c>
      <c r="Y23">
        <v>0.83396081881034401</v>
      </c>
      <c r="Z23">
        <v>0.169135265340595</v>
      </c>
      <c r="AA23">
        <v>0.840492721742922</v>
      </c>
      <c r="AB23">
        <v>0.81448491350791796</v>
      </c>
      <c r="AC23">
        <v>0.73373320565016598</v>
      </c>
      <c r="AD23">
        <v>0.81497351294356102</v>
      </c>
      <c r="AE23">
        <v>0.78465754597147497</v>
      </c>
      <c r="AF23">
        <v>0.83658255028855999</v>
      </c>
      <c r="AG23">
        <v>0.66740731133100695</v>
      </c>
      <c r="AH23">
        <v>0.67256769883769096</v>
      </c>
      <c r="AI23">
        <v>0.74548037433068504</v>
      </c>
      <c r="AJ23">
        <v>0.93813332760031398</v>
      </c>
      <c r="AK23">
        <v>0.56814798271010103</v>
      </c>
      <c r="AL23">
        <v>0.80237508746638397</v>
      </c>
      <c r="AM23">
        <v>0.61280661765038802</v>
      </c>
      <c r="AN23">
        <v>0.75648528821791206</v>
      </c>
      <c r="AO23">
        <v>0.758982242176791</v>
      </c>
      <c r="AP23">
        <v>0.80418875186719496</v>
      </c>
      <c r="AQ23">
        <v>0.75913031847112</v>
      </c>
      <c r="AR23">
        <v>0.76938548230648196</v>
      </c>
      <c r="AS23">
        <v>0.74350962843019996</v>
      </c>
      <c r="AT23">
        <v>0.69185102212416405</v>
      </c>
      <c r="AU23">
        <v>0.63314454770164896</v>
      </c>
      <c r="AV23">
        <v>0.80957681298180595</v>
      </c>
      <c r="AW23">
        <v>0.59952527965386204</v>
      </c>
      <c r="AX23">
        <v>0.83755636808698097</v>
      </c>
      <c r="AY23">
        <v>0.57320608790501504</v>
      </c>
      <c r="AZ23">
        <v>0.80209882560840295</v>
      </c>
      <c r="BA23">
        <v>0.72030768242441501</v>
      </c>
      <c r="BB23">
        <v>0.81629674197954205</v>
      </c>
      <c r="BC23">
        <v>0.68789996177649004</v>
      </c>
      <c r="BD23">
        <v>0.80851031772012205</v>
      </c>
      <c r="BE23">
        <v>0.79079962438725104</v>
      </c>
      <c r="BF23">
        <v>0.50810086720180803</v>
      </c>
      <c r="BG23">
        <v>0.63299942257974295</v>
      </c>
      <c r="BH23">
        <v>0.79104048330084198</v>
      </c>
      <c r="BI23">
        <v>0.69780764021819397</v>
      </c>
      <c r="BJ23">
        <v>0.79615229018975298</v>
      </c>
      <c r="BK23">
        <v>0.31614932108179</v>
      </c>
      <c r="BL23">
        <v>0.59071873822716103</v>
      </c>
      <c r="BM23">
        <v>0.37232569719992598</v>
      </c>
      <c r="BN23">
        <v>0.71200446382070404</v>
      </c>
      <c r="BO23">
        <v>0.85664919505154602</v>
      </c>
      <c r="BP23">
        <v>0.78568156709244796</v>
      </c>
      <c r="BQ23">
        <v>0.65096707897120698</v>
      </c>
      <c r="BR23">
        <v>0.58420207113841405</v>
      </c>
      <c r="BS23">
        <v>0.61320831781611496</v>
      </c>
      <c r="BT23">
        <v>0.82137807702048604</v>
      </c>
      <c r="BU23">
        <v>0.93935842094441702</v>
      </c>
      <c r="BV23">
        <v>0.70529581670967101</v>
      </c>
      <c r="BW23">
        <v>0.84506839366213904</v>
      </c>
      <c r="BX23">
        <v>0.90053834665807397</v>
      </c>
      <c r="BY23">
        <v>0.59865196354440797</v>
      </c>
      <c r="BZ23">
        <v>0.84031464286701396</v>
      </c>
      <c r="CA23">
        <v>0.86579037407838899</v>
      </c>
      <c r="CB23">
        <v>0.67975960414259096</v>
      </c>
      <c r="CC23">
        <v>0.80414252704427502</v>
      </c>
      <c r="CD23">
        <v>0.58937658999096898</v>
      </c>
      <c r="CE23">
        <v>0.81474506875141195</v>
      </c>
      <c r="CF23">
        <v>0.74464783341508001</v>
      </c>
      <c r="CG23">
        <v>0.83033849487391798</v>
      </c>
      <c r="CH23">
        <v>0.60449924964311197</v>
      </c>
      <c r="CI23">
        <v>0.188826257634094</v>
      </c>
      <c r="CJ23">
        <v>0.187679518618321</v>
      </c>
      <c r="CK23">
        <v>0.72545404196293095</v>
      </c>
      <c r="CL23">
        <v>0.80024487774843001</v>
      </c>
      <c r="CM23">
        <v>0.82833617282021499</v>
      </c>
      <c r="CN23">
        <v>0.28625769028770598</v>
      </c>
      <c r="CO23">
        <v>0.46034348687818699</v>
      </c>
      <c r="CP23">
        <v>0.83741708317352803</v>
      </c>
      <c r="CQ23">
        <v>0.784601046139769</v>
      </c>
      <c r="CR23">
        <v>0.86406980171634296</v>
      </c>
      <c r="CS23">
        <v>0.175707906504179</v>
      </c>
      <c r="CT23">
        <v>0.78210328480226698</v>
      </c>
      <c r="CU23">
        <v>0.77520314195405005</v>
      </c>
      <c r="CV23">
        <v>0.86425171187025096</v>
      </c>
      <c r="CW23">
        <v>0.84837987195312803</v>
      </c>
    </row>
    <row r="24" spans="1:101" x14ac:dyDescent="0.25">
      <c r="A24">
        <v>23</v>
      </c>
      <c r="B24">
        <v>0.62439396912489098</v>
      </c>
      <c r="C24">
        <v>0.61466503395018102</v>
      </c>
      <c r="D24">
        <v>0.816363694508218</v>
      </c>
      <c r="E24">
        <v>0.75824347879246101</v>
      </c>
      <c r="F24">
        <v>0.80224139761064395</v>
      </c>
      <c r="G24">
        <v>0.31950981854239302</v>
      </c>
      <c r="H24">
        <v>0.230652266480213</v>
      </c>
      <c r="I24">
        <v>0.68736506137042797</v>
      </c>
      <c r="J24">
        <v>0.728597369758897</v>
      </c>
      <c r="K24">
        <v>0.80485120223070805</v>
      </c>
      <c r="L24">
        <v>0.83335740759962196</v>
      </c>
      <c r="M24">
        <v>0.83125787318474897</v>
      </c>
      <c r="N24">
        <v>0.50853206778138704</v>
      </c>
      <c r="O24">
        <v>0.79820352800666805</v>
      </c>
      <c r="P24">
        <v>0.80504310513201904</v>
      </c>
      <c r="Q24">
        <v>0.24184161208511201</v>
      </c>
      <c r="R24">
        <v>0.821936435060305</v>
      </c>
      <c r="S24">
        <v>0.75515296655319197</v>
      </c>
      <c r="T24">
        <v>0.68515800058801402</v>
      </c>
      <c r="U24">
        <v>0.58781836807569499</v>
      </c>
      <c r="V24">
        <v>0.79615728702644395</v>
      </c>
      <c r="W24">
        <v>0.80718819313571599</v>
      </c>
      <c r="X24">
        <v>0.66328684263434801</v>
      </c>
      <c r="Y24">
        <v>0.83821409414710102</v>
      </c>
      <c r="Z24">
        <v>0.11955159024861101</v>
      </c>
      <c r="AA24">
        <v>0.85122148436620704</v>
      </c>
      <c r="AB24">
        <v>0.84178685423739796</v>
      </c>
      <c r="AC24">
        <v>0.74710787338649398</v>
      </c>
      <c r="AD24">
        <v>0.72696067136928399</v>
      </c>
      <c r="AE24">
        <v>0.85154011232006399</v>
      </c>
      <c r="AF24">
        <v>0.81007595715123204</v>
      </c>
      <c r="AG24">
        <v>0.35401393896396999</v>
      </c>
      <c r="AH24">
        <v>0.64065453813446005</v>
      </c>
      <c r="AI24">
        <v>0.403225568845266</v>
      </c>
      <c r="AJ24">
        <v>0.99551896825561503</v>
      </c>
      <c r="AK24">
        <v>0.66839390745677296</v>
      </c>
      <c r="AL24">
        <v>0.73645101257511603</v>
      </c>
      <c r="AM24">
        <v>0.63312448972587798</v>
      </c>
      <c r="AN24">
        <v>0.67442748418474596</v>
      </c>
      <c r="AO24">
        <v>0.81263778549515198</v>
      </c>
      <c r="AP24">
        <v>0.75150652899153503</v>
      </c>
      <c r="AQ24">
        <v>0.83706060245707103</v>
      </c>
      <c r="AR24">
        <v>0.814420249729505</v>
      </c>
      <c r="AS24">
        <v>0.80954020584648601</v>
      </c>
      <c r="AT24">
        <v>0.73017553999912099</v>
      </c>
      <c r="AU24">
        <v>0.57713977893092105</v>
      </c>
      <c r="AV24">
        <v>0.76284946155924205</v>
      </c>
      <c r="AW24">
        <v>0.22865736437693501</v>
      </c>
      <c r="AX24">
        <v>0.82109800137562605</v>
      </c>
      <c r="AY24">
        <v>0.18403577533881599</v>
      </c>
      <c r="AZ24">
        <v>0.638874882466686</v>
      </c>
      <c r="BA24">
        <v>0.63414028343760198</v>
      </c>
      <c r="BB24">
        <v>0.85608316833063303</v>
      </c>
      <c r="BC24">
        <v>0.798364902222092</v>
      </c>
      <c r="BD24">
        <v>0.729086956329008</v>
      </c>
      <c r="BE24">
        <v>0.79769533167932105</v>
      </c>
      <c r="BF24">
        <v>0.191006364028593</v>
      </c>
      <c r="BG24">
        <v>0.77913406492308102</v>
      </c>
      <c r="BH24">
        <v>0.75795077704189295</v>
      </c>
      <c r="BI24">
        <v>0.72449331640173098</v>
      </c>
      <c r="BJ24">
        <v>0.75876444651162001</v>
      </c>
      <c r="BK24">
        <v>0.59098895322941303</v>
      </c>
      <c r="BL24">
        <v>0.55450612006925104</v>
      </c>
      <c r="BM24">
        <v>0.50057137184731204</v>
      </c>
      <c r="BN24">
        <v>0.79209015188320597</v>
      </c>
      <c r="BO24">
        <v>0.85118166618390201</v>
      </c>
      <c r="BP24">
        <v>0.80189823249762404</v>
      </c>
      <c r="BQ24">
        <v>0.802857425703698</v>
      </c>
      <c r="BR24">
        <v>0.64091434070946496</v>
      </c>
      <c r="BS24">
        <v>0.72409570142815005</v>
      </c>
      <c r="BT24">
        <v>0.77644311610016303</v>
      </c>
      <c r="BU24">
        <v>0.96442181562521501</v>
      </c>
      <c r="BV24">
        <v>0.65031070978646499</v>
      </c>
      <c r="BW24">
        <v>0.809644507392136</v>
      </c>
      <c r="BX24">
        <v>0.86915223057880997</v>
      </c>
      <c r="BY24">
        <v>0.60724044626886697</v>
      </c>
      <c r="BZ24">
        <v>0.81789575415816096</v>
      </c>
      <c r="CA24">
        <v>0.84825721357807204</v>
      </c>
      <c r="CB24">
        <v>0.66735020560213298</v>
      </c>
      <c r="CC24">
        <v>0.76624457744833097</v>
      </c>
      <c r="CD24">
        <v>0.46310450475668902</v>
      </c>
      <c r="CE24">
        <v>0.79509921690532703</v>
      </c>
      <c r="CF24">
        <v>0.70852368912350705</v>
      </c>
      <c r="CG24">
        <v>0.84827996533039596</v>
      </c>
      <c r="CH24">
        <v>0.59818436068776704</v>
      </c>
      <c r="CI24">
        <v>0.155384842298464</v>
      </c>
      <c r="CJ24">
        <v>0.62292858490503</v>
      </c>
      <c r="CK24">
        <v>0.73169510600166099</v>
      </c>
      <c r="CL24">
        <v>0.82475197570066405</v>
      </c>
      <c r="CM24">
        <v>0.80275817076136902</v>
      </c>
      <c r="CN24">
        <v>0.39167593590948302</v>
      </c>
      <c r="CO24">
        <v>0.17453539029566301</v>
      </c>
      <c r="CP24">
        <v>0.87200075241565</v>
      </c>
      <c r="CQ24">
        <v>0.78520288533300397</v>
      </c>
      <c r="CR24">
        <v>0.86649479136670204</v>
      </c>
      <c r="CS24">
        <v>0.16320296006705501</v>
      </c>
      <c r="CT24">
        <v>0.70098121119772805</v>
      </c>
      <c r="CU24">
        <v>0.71535736168458797</v>
      </c>
      <c r="CV24">
        <v>0.85066256505934601</v>
      </c>
      <c r="CW24">
        <v>0.81514823320240404</v>
      </c>
    </row>
    <row r="25" spans="1:101" x14ac:dyDescent="0.25">
      <c r="A25">
        <v>24</v>
      </c>
      <c r="B25">
        <v>0.689311008256275</v>
      </c>
      <c r="C25">
        <v>0.76395813134179502</v>
      </c>
      <c r="D25">
        <v>0.80786004871407802</v>
      </c>
      <c r="E25">
        <v>0.64327947262025398</v>
      </c>
      <c r="F25">
        <v>0.79023334775278897</v>
      </c>
      <c r="G25">
        <v>0.16021953379161399</v>
      </c>
      <c r="H25">
        <v>0.16699025512552601</v>
      </c>
      <c r="I25">
        <v>0.73449941127143803</v>
      </c>
      <c r="J25">
        <v>0.81974037707908998</v>
      </c>
      <c r="K25">
        <v>0.766531699410127</v>
      </c>
      <c r="L25">
        <v>0.78043721143919897</v>
      </c>
      <c r="M25">
        <v>0.86027729247040496</v>
      </c>
      <c r="N25">
        <v>0.73975665953651704</v>
      </c>
      <c r="O25">
        <v>0.77364171847254803</v>
      </c>
      <c r="P25">
        <v>0.81662949861053302</v>
      </c>
      <c r="Q25">
        <v>0.472707754159292</v>
      </c>
      <c r="R25">
        <v>0.816532397239495</v>
      </c>
      <c r="S25">
        <v>0.653754731055875</v>
      </c>
      <c r="T25">
        <v>0.63643509671960097</v>
      </c>
      <c r="U25">
        <v>0.63981262447831599</v>
      </c>
      <c r="V25">
        <v>0.78081919569831704</v>
      </c>
      <c r="W25">
        <v>0.836853394650801</v>
      </c>
      <c r="X25">
        <v>0.64417318473309804</v>
      </c>
      <c r="Y25">
        <v>0.78144178401708597</v>
      </c>
      <c r="Z25">
        <v>0.153362297947709</v>
      </c>
      <c r="AA25">
        <v>0.80383266865110303</v>
      </c>
      <c r="AB25">
        <v>0.83905762142041795</v>
      </c>
      <c r="AC25">
        <v>0.78868113816484497</v>
      </c>
      <c r="AD25">
        <v>0.65854271757849503</v>
      </c>
      <c r="AE25">
        <v>0.81871402666689197</v>
      </c>
      <c r="AF25">
        <v>0.81605794661480302</v>
      </c>
      <c r="AG25">
        <v>0.42125701592621401</v>
      </c>
      <c r="AH25">
        <v>0.66230427371634004</v>
      </c>
      <c r="AI25">
        <v>0.32411844647520099</v>
      </c>
      <c r="AJ25">
        <v>0.99082214843783001</v>
      </c>
      <c r="AK25">
        <v>0.66137233699726505</v>
      </c>
      <c r="AL25">
        <v>0.81231997071591</v>
      </c>
      <c r="AM25">
        <v>0.382024818183264</v>
      </c>
      <c r="AN25">
        <v>0.55007002871870303</v>
      </c>
      <c r="AO25">
        <v>0.71251916632670498</v>
      </c>
      <c r="AP25">
        <v>0.63672473635114002</v>
      </c>
      <c r="AQ25">
        <v>0.86219365563277095</v>
      </c>
      <c r="AR25">
        <v>0.80738146690477197</v>
      </c>
      <c r="AS25">
        <v>0.79210711044923698</v>
      </c>
      <c r="AT25">
        <v>0.623681164759047</v>
      </c>
      <c r="AU25">
        <v>0.76980867426116295</v>
      </c>
      <c r="AV25">
        <v>0.57787888327316705</v>
      </c>
      <c r="AW25">
        <v>0.17459838406566899</v>
      </c>
      <c r="AX25">
        <v>0.81906730355555102</v>
      </c>
      <c r="AY25">
        <v>0.73189366730794903</v>
      </c>
      <c r="AZ25">
        <v>0.65823301916105903</v>
      </c>
      <c r="BA25">
        <v>0.73075279140076799</v>
      </c>
      <c r="BB25">
        <v>0.81487657723211604</v>
      </c>
      <c r="BC25">
        <v>0.72222724407891403</v>
      </c>
      <c r="BD25">
        <v>0.65811255797481705</v>
      </c>
      <c r="BE25">
        <v>0.79961039729830896</v>
      </c>
      <c r="BF25">
        <v>0.166625926070578</v>
      </c>
      <c r="BG25">
        <v>0.772036084061967</v>
      </c>
      <c r="BH25">
        <v>0.71645674978416996</v>
      </c>
      <c r="BI25">
        <v>0.80794977437206705</v>
      </c>
      <c r="BJ25">
        <v>0.794405030715853</v>
      </c>
      <c r="BK25">
        <v>0.57777668736313803</v>
      </c>
      <c r="BL25">
        <v>0.65831948264627105</v>
      </c>
      <c r="BM25">
        <v>0.64131933938792496</v>
      </c>
      <c r="BN25">
        <v>0.82418613491013804</v>
      </c>
      <c r="BO25">
        <v>0.82887258977568701</v>
      </c>
      <c r="BP25">
        <v>0.80124766518301205</v>
      </c>
      <c r="BQ25">
        <v>0.82915961155731599</v>
      </c>
      <c r="BR25">
        <v>0.58898811745010904</v>
      </c>
      <c r="BS25">
        <v>0.77987931283407796</v>
      </c>
      <c r="BT25">
        <v>0.77801196455477295</v>
      </c>
      <c r="BU25">
        <v>0.98765433981376405</v>
      </c>
      <c r="BV25">
        <v>0.73005687820735499</v>
      </c>
      <c r="BW25">
        <v>0.79589476715252105</v>
      </c>
      <c r="BX25">
        <v>0.94727959809057705</v>
      </c>
      <c r="BY25">
        <v>0.69398711010722902</v>
      </c>
      <c r="BZ25">
        <v>0.84298784024966</v>
      </c>
      <c r="CA25">
        <v>0.83552043167891299</v>
      </c>
      <c r="CB25">
        <v>0.74495368426368502</v>
      </c>
      <c r="CC25">
        <v>0.76873601332570096</v>
      </c>
      <c r="CD25">
        <v>0.74647580056332896</v>
      </c>
      <c r="CE25">
        <v>0.72955450722668203</v>
      </c>
      <c r="CF25">
        <v>0.56170516487259703</v>
      </c>
      <c r="CG25">
        <v>0.85221418275166805</v>
      </c>
      <c r="CH25">
        <v>0.65343770731341899</v>
      </c>
      <c r="CI25">
        <v>0.17158396796335401</v>
      </c>
      <c r="CJ25">
        <v>0.70000122432155498</v>
      </c>
      <c r="CK25">
        <v>0.55453108236099402</v>
      </c>
      <c r="CL25">
        <v>0.82080485507118095</v>
      </c>
      <c r="CM25">
        <v>0.82077752796512105</v>
      </c>
      <c r="CN25">
        <v>0.59652848184451901</v>
      </c>
      <c r="CO25">
        <v>0.18861890099361001</v>
      </c>
      <c r="CP25">
        <v>0.83235798640046099</v>
      </c>
      <c r="CQ25">
        <v>0.67374297764862101</v>
      </c>
      <c r="CR25">
        <v>0.93812673386554002</v>
      </c>
      <c r="CS25">
        <v>0.162011080814467</v>
      </c>
      <c r="CT25">
        <v>0.61738675154011702</v>
      </c>
      <c r="CU25">
        <v>0.70898340713128705</v>
      </c>
      <c r="CV25">
        <v>0.82902873432441204</v>
      </c>
      <c r="CW25">
        <v>0.74183432177173902</v>
      </c>
    </row>
    <row r="26" spans="1:101" x14ac:dyDescent="0.25">
      <c r="A26">
        <v>25</v>
      </c>
      <c r="B26">
        <v>0.70742486912393199</v>
      </c>
      <c r="C26">
        <v>0.68006824252277398</v>
      </c>
      <c r="D26">
        <v>0.76245035162667296</v>
      </c>
      <c r="E26">
        <v>0.59320991974246196</v>
      </c>
      <c r="F26">
        <v>0.70846854119213698</v>
      </c>
      <c r="G26">
        <v>0.31515515025343599</v>
      </c>
      <c r="H26">
        <v>0.203470189501332</v>
      </c>
      <c r="I26">
        <v>0.73954284866789</v>
      </c>
      <c r="J26">
        <v>0.58774857322134</v>
      </c>
      <c r="K26">
        <v>0.69030863384757601</v>
      </c>
      <c r="L26">
        <v>0.60721673400825504</v>
      </c>
      <c r="M26">
        <v>0.83678595619588703</v>
      </c>
      <c r="N26">
        <v>0.67451682000339297</v>
      </c>
      <c r="O26">
        <v>0.72009659825572403</v>
      </c>
      <c r="P26">
        <v>0.740664858111998</v>
      </c>
      <c r="Q26">
        <v>0.23660798460269999</v>
      </c>
      <c r="R26">
        <v>0.658211231978311</v>
      </c>
      <c r="S26">
        <v>0.483609626366997</v>
      </c>
      <c r="T26">
        <v>0.59339250567683099</v>
      </c>
      <c r="U26">
        <v>0.53495097107261902</v>
      </c>
      <c r="V26">
        <v>0.79136007992924795</v>
      </c>
      <c r="W26">
        <v>0.78236440206359203</v>
      </c>
      <c r="X26">
        <v>0.58596855324418595</v>
      </c>
      <c r="Y26">
        <v>0.73468320008320398</v>
      </c>
      <c r="Z26">
        <v>0.172489025048708</v>
      </c>
      <c r="AA26">
        <v>0.72594249987375703</v>
      </c>
      <c r="AB26">
        <v>0.747235819067949</v>
      </c>
      <c r="AC26">
        <v>0.73787042551567095</v>
      </c>
      <c r="AD26">
        <v>0.24593020575739399</v>
      </c>
      <c r="AE26">
        <v>0.74226383220544301</v>
      </c>
      <c r="AF26">
        <v>0.71298856532259902</v>
      </c>
      <c r="AG26">
        <v>0.62851437615388595</v>
      </c>
      <c r="AH26">
        <v>0.63872058519391195</v>
      </c>
      <c r="AI26">
        <v>0.348524547146637</v>
      </c>
      <c r="AJ26">
        <v>0.83851410594035602</v>
      </c>
      <c r="AK26">
        <v>0.58270485161547902</v>
      </c>
      <c r="AL26">
        <v>0.71279114579397096</v>
      </c>
      <c r="AM26">
        <v>0.57648524731553297</v>
      </c>
      <c r="AN26">
        <v>0.52372201939700003</v>
      </c>
      <c r="AO26">
        <v>0.745205131921169</v>
      </c>
      <c r="AP26">
        <v>0.62311712555256304</v>
      </c>
      <c r="AQ26">
        <v>0.78887269511597602</v>
      </c>
      <c r="AR26">
        <v>0.70201131547643403</v>
      </c>
      <c r="AS26">
        <v>0.71891425427091105</v>
      </c>
      <c r="AT26">
        <v>0.60936014357707002</v>
      </c>
      <c r="AU26">
        <v>0.70974839873431494</v>
      </c>
      <c r="AV26">
        <v>0.58933981940839897</v>
      </c>
      <c r="AW26">
        <v>0.55363838697836298</v>
      </c>
      <c r="AX26">
        <v>0.82881994114029101</v>
      </c>
      <c r="AY26">
        <v>0.74559652310012103</v>
      </c>
      <c r="AZ26">
        <v>0.63129992116552602</v>
      </c>
      <c r="BA26">
        <v>0.69816496643857295</v>
      </c>
      <c r="BB26">
        <v>0.69391728060538505</v>
      </c>
      <c r="BC26">
        <v>0.656994634015167</v>
      </c>
      <c r="BD26">
        <v>0.55401754829982197</v>
      </c>
      <c r="BE26">
        <v>0.77254360165856095</v>
      </c>
      <c r="BF26">
        <v>0.17815367731623899</v>
      </c>
      <c r="BG26">
        <v>0.72127637670279299</v>
      </c>
      <c r="BH26">
        <v>0.55436970628481896</v>
      </c>
      <c r="BI26">
        <v>0.71838672729356601</v>
      </c>
      <c r="BJ26">
        <v>0.74397272457601704</v>
      </c>
      <c r="BK26">
        <v>0.60140414800784503</v>
      </c>
      <c r="BL26">
        <v>0.68076348881061999</v>
      </c>
      <c r="BM26">
        <v>0.56976576139512103</v>
      </c>
      <c r="BN26">
        <v>0.76770527293255497</v>
      </c>
      <c r="BO26">
        <v>0.73822123884218704</v>
      </c>
      <c r="BP26">
        <v>0.74147254073900304</v>
      </c>
      <c r="BQ26">
        <v>0.749758954140331</v>
      </c>
      <c r="BR26">
        <v>0.63666935137688696</v>
      </c>
      <c r="BS26">
        <v>0.71568416734133999</v>
      </c>
      <c r="BT26">
        <v>0.71829663782411501</v>
      </c>
      <c r="BU26">
        <v>0.85122735347828005</v>
      </c>
      <c r="BV26">
        <v>0.53971300942411804</v>
      </c>
      <c r="BW26">
        <v>0.66949865413095599</v>
      </c>
      <c r="BX26">
        <v>0.81202438253373699</v>
      </c>
      <c r="BY26">
        <v>0.69614185626515301</v>
      </c>
      <c r="BZ26">
        <v>0.78101384030196697</v>
      </c>
      <c r="CA26">
        <v>0.74282748474601901</v>
      </c>
      <c r="CB26">
        <v>0.67014731709197195</v>
      </c>
      <c r="CC26">
        <v>0.74516431066000599</v>
      </c>
      <c r="CD26">
        <v>0.70156375410832095</v>
      </c>
      <c r="CE26">
        <v>0.72429171229692602</v>
      </c>
      <c r="CF26">
        <v>0.63536460580725196</v>
      </c>
      <c r="CG26">
        <v>0.73053587417367005</v>
      </c>
      <c r="CH26">
        <v>0.66901147888578705</v>
      </c>
      <c r="CI26">
        <v>0.30941894293320199</v>
      </c>
      <c r="CJ26">
        <v>0.68259747901345702</v>
      </c>
      <c r="CK26">
        <v>0.54432130488742303</v>
      </c>
      <c r="CL26">
        <v>0.71632796068169502</v>
      </c>
      <c r="CM26">
        <v>0.76965807996812297</v>
      </c>
      <c r="CN26">
        <v>0.56072786728236301</v>
      </c>
      <c r="CO26">
        <v>0.45002968406003202</v>
      </c>
      <c r="CP26">
        <v>0.72928033524291802</v>
      </c>
      <c r="CQ26">
        <v>0.64097202894753003</v>
      </c>
      <c r="CR26">
        <v>0.82939639846225399</v>
      </c>
      <c r="CS26">
        <v>0.17608314780234099</v>
      </c>
      <c r="CT26">
        <v>0.70218569548541498</v>
      </c>
      <c r="CU26">
        <v>0.67341716697315301</v>
      </c>
      <c r="CV26">
        <v>0.82302291154516805</v>
      </c>
      <c r="CW26">
        <v>0.73441622703763099</v>
      </c>
    </row>
    <row r="27" spans="1:101" x14ac:dyDescent="0.25">
      <c r="A27">
        <v>26</v>
      </c>
      <c r="B27">
        <v>0.58321381619710599</v>
      </c>
      <c r="C27">
        <v>0.57581689781984702</v>
      </c>
      <c r="D27">
        <v>0.72778450744755896</v>
      </c>
      <c r="E27">
        <v>0.44794974704052398</v>
      </c>
      <c r="F27">
        <v>0.66673475103129698</v>
      </c>
      <c r="G27">
        <v>0.34348369141470397</v>
      </c>
      <c r="H27">
        <v>0.30526383483235597</v>
      </c>
      <c r="I27">
        <v>0.59118418012757901</v>
      </c>
      <c r="J27">
        <v>0.43523993189621202</v>
      </c>
      <c r="K27">
        <v>0.61170009704137096</v>
      </c>
      <c r="L27">
        <v>0.44218825047756699</v>
      </c>
      <c r="M27">
        <v>0.79476308420667696</v>
      </c>
      <c r="N27">
        <v>0.68182344478482004</v>
      </c>
      <c r="O27">
        <v>0.593192680004891</v>
      </c>
      <c r="P27">
        <v>0.68090113827426102</v>
      </c>
      <c r="Q27">
        <v>0.35389916416732797</v>
      </c>
      <c r="R27">
        <v>0.60517020594265203</v>
      </c>
      <c r="S27">
        <v>0.50307976827018697</v>
      </c>
      <c r="T27">
        <v>0.42232043390163498</v>
      </c>
      <c r="U27">
        <v>0.47774945312113598</v>
      </c>
      <c r="V27">
        <v>0.79623709153274602</v>
      </c>
      <c r="W27">
        <v>0.68077640410577001</v>
      </c>
      <c r="X27">
        <v>0.538200147862677</v>
      </c>
      <c r="Y27">
        <v>0.72353630111825096</v>
      </c>
      <c r="Z27">
        <v>0.24667293526723499</v>
      </c>
      <c r="AA27">
        <v>0.62761696698778302</v>
      </c>
      <c r="AB27">
        <v>0.70421276172352598</v>
      </c>
      <c r="AC27">
        <v>0.67840127399142702</v>
      </c>
      <c r="AD27">
        <v>0.342753820958561</v>
      </c>
      <c r="AE27">
        <v>0.64916052221524501</v>
      </c>
      <c r="AF27">
        <v>0.565987905003698</v>
      </c>
      <c r="AG27">
        <v>0.62862062890488402</v>
      </c>
      <c r="AH27">
        <v>0.56293156360622398</v>
      </c>
      <c r="AI27">
        <v>0.32058271601133498</v>
      </c>
      <c r="AJ27">
        <v>0.79498075236884302</v>
      </c>
      <c r="AK27">
        <v>0.46386920676397198</v>
      </c>
      <c r="AL27">
        <v>0.509864936057843</v>
      </c>
      <c r="AM27">
        <v>0.63980855976553197</v>
      </c>
      <c r="AN27">
        <v>0.43391329694588598</v>
      </c>
      <c r="AO27">
        <v>0.586598186050865</v>
      </c>
      <c r="AP27">
        <v>0.60058840563494298</v>
      </c>
      <c r="AQ27">
        <v>0.69099929468368704</v>
      </c>
      <c r="AR27">
        <v>0.56633394797407299</v>
      </c>
      <c r="AS27">
        <v>0.51147172681266095</v>
      </c>
      <c r="AT27">
        <v>0.50274595736070704</v>
      </c>
      <c r="AU27">
        <v>0.57185653305312201</v>
      </c>
      <c r="AV27">
        <v>0.41571095907464101</v>
      </c>
      <c r="AW27">
        <v>0.42960300006563701</v>
      </c>
      <c r="AX27">
        <v>0.79678953981006995</v>
      </c>
      <c r="AY27">
        <v>0.78249764019413404</v>
      </c>
      <c r="AZ27">
        <v>0.517057403585098</v>
      </c>
      <c r="BA27">
        <v>0.53966598549856803</v>
      </c>
      <c r="BB27">
        <v>0.53283913802557403</v>
      </c>
      <c r="BC27">
        <v>0.71284229167692703</v>
      </c>
      <c r="BD27">
        <v>0.414854372251381</v>
      </c>
      <c r="BE27">
        <v>0.75245517135696804</v>
      </c>
      <c r="BF27">
        <v>0.247072775126292</v>
      </c>
      <c r="BG27">
        <v>0.52205766975017298</v>
      </c>
      <c r="BH27">
        <v>0.45614201841145302</v>
      </c>
      <c r="BI27">
        <v>0.64731621219597602</v>
      </c>
      <c r="BJ27">
        <v>0.74278664439366404</v>
      </c>
      <c r="BK27">
        <v>0.56571339398327902</v>
      </c>
      <c r="BL27">
        <v>0.59874502182601297</v>
      </c>
      <c r="BM27">
        <v>0.495297908066751</v>
      </c>
      <c r="BN27">
        <v>0.76988240953380904</v>
      </c>
      <c r="BO27">
        <v>0.66482545766257695</v>
      </c>
      <c r="BP27">
        <v>0.70189679161849505</v>
      </c>
      <c r="BQ27">
        <v>0.63824671493472596</v>
      </c>
      <c r="BR27">
        <v>0.46592936547237002</v>
      </c>
      <c r="BS27">
        <v>0.49976376599691902</v>
      </c>
      <c r="BT27">
        <v>0.54630045103418401</v>
      </c>
      <c r="BU27">
        <v>0.79775799383124402</v>
      </c>
      <c r="BV27">
        <v>0.50171571770061896</v>
      </c>
      <c r="BW27">
        <v>0.66810983699249404</v>
      </c>
      <c r="BX27">
        <v>0.79325930031750502</v>
      </c>
      <c r="BY27">
        <v>0.65816855047900302</v>
      </c>
      <c r="BZ27">
        <v>0.69409348053186803</v>
      </c>
      <c r="CA27">
        <v>0.65282858212500094</v>
      </c>
      <c r="CB27">
        <v>0.64109360425780604</v>
      </c>
      <c r="CC27">
        <v>0.65269094738407396</v>
      </c>
      <c r="CD27">
        <v>0.60982824351542697</v>
      </c>
      <c r="CE27">
        <v>0.63563054285101594</v>
      </c>
      <c r="CF27">
        <v>0.50589492649477397</v>
      </c>
      <c r="CG27">
        <v>0.51171297251509495</v>
      </c>
      <c r="CH27">
        <v>0.43607997339151899</v>
      </c>
      <c r="CI27">
        <v>0.36030947025913102</v>
      </c>
      <c r="CJ27">
        <v>0.51813534487500501</v>
      </c>
      <c r="CK27">
        <v>0.45773354352608298</v>
      </c>
      <c r="CL27">
        <v>0.67612815367262602</v>
      </c>
      <c r="CM27">
        <v>0.66551095092024704</v>
      </c>
      <c r="CN27">
        <v>0.27149784144977701</v>
      </c>
      <c r="CO27">
        <v>0.43400208072274299</v>
      </c>
      <c r="CP27">
        <v>0.64850572205677903</v>
      </c>
      <c r="CQ27">
        <v>0.51588194944895804</v>
      </c>
      <c r="CR27">
        <v>0.67324356798643203</v>
      </c>
      <c r="CS27">
        <v>0.23566832910275301</v>
      </c>
      <c r="CT27">
        <v>0.462393108094242</v>
      </c>
      <c r="CU27">
        <v>0.61457478295719803</v>
      </c>
      <c r="CV27">
        <v>0.79413407294904903</v>
      </c>
      <c r="CW27">
        <v>0.58271504795265805</v>
      </c>
    </row>
    <row r="28" spans="1:101" x14ac:dyDescent="0.25">
      <c r="A28">
        <v>27</v>
      </c>
      <c r="B28">
        <v>0.53935390690475904</v>
      </c>
      <c r="C28">
        <v>0.49667785943633602</v>
      </c>
      <c r="D28">
        <v>0.630709036238567</v>
      </c>
      <c r="E28">
        <v>0.25965541500311601</v>
      </c>
      <c r="F28">
        <v>0.41884845936224901</v>
      </c>
      <c r="G28">
        <v>0.17558223647172</v>
      </c>
      <c r="H28">
        <v>0.21679069507619</v>
      </c>
      <c r="I28">
        <v>0.46766507886192299</v>
      </c>
      <c r="J28">
        <v>0.43143351094047999</v>
      </c>
      <c r="K28">
        <v>0.54838890429588305</v>
      </c>
      <c r="L28">
        <v>0.41685765803143499</v>
      </c>
      <c r="M28">
        <v>0.73151424022610101</v>
      </c>
      <c r="N28">
        <v>0.58085688022983695</v>
      </c>
      <c r="O28">
        <v>0.50043857798269897</v>
      </c>
      <c r="P28">
        <v>0.54401995968134997</v>
      </c>
      <c r="Q28">
        <v>0.249170801453104</v>
      </c>
      <c r="R28">
        <v>0.515404272505118</v>
      </c>
      <c r="S28">
        <v>0.246777556855834</v>
      </c>
      <c r="T28">
        <v>0.35660126513288198</v>
      </c>
      <c r="U28">
        <v>0.38128757755951898</v>
      </c>
      <c r="V28">
        <v>0.77993424783212695</v>
      </c>
      <c r="W28">
        <v>0.346296126096868</v>
      </c>
      <c r="X28">
        <v>0.45315685893130397</v>
      </c>
      <c r="Y28">
        <v>0.57735918262605501</v>
      </c>
      <c r="Z28">
        <v>0.25756089500023099</v>
      </c>
      <c r="AA28">
        <v>0.52814406251558899</v>
      </c>
      <c r="AB28">
        <v>0.53972344161695696</v>
      </c>
      <c r="AC28">
        <v>0.57986230285567497</v>
      </c>
      <c r="AD28">
        <v>0.27717750508016797</v>
      </c>
      <c r="AE28">
        <v>0.53332379451749301</v>
      </c>
      <c r="AF28">
        <v>0.50360556136262102</v>
      </c>
      <c r="AG28">
        <v>0.51237363164611704</v>
      </c>
      <c r="AH28">
        <v>0.46543158183781402</v>
      </c>
      <c r="AI28">
        <v>0.166749968015379</v>
      </c>
      <c r="AJ28">
        <v>0.66258377823757497</v>
      </c>
      <c r="AK28">
        <v>0.450486718794324</v>
      </c>
      <c r="AL28">
        <v>0.42911694174104897</v>
      </c>
      <c r="AM28">
        <v>0.40057040499950702</v>
      </c>
      <c r="AN28">
        <v>0.28468759423208501</v>
      </c>
      <c r="AO28">
        <v>0.54078437798680201</v>
      </c>
      <c r="AP28">
        <v>0.66371450305186996</v>
      </c>
      <c r="AQ28">
        <v>0.61247905665650704</v>
      </c>
      <c r="AR28">
        <v>0.38370126848354402</v>
      </c>
      <c r="AS28">
        <v>0.43986407296515401</v>
      </c>
      <c r="AT28">
        <v>0.47080682518699701</v>
      </c>
      <c r="AU28">
        <v>0.33294873842338601</v>
      </c>
      <c r="AV28">
        <v>0.20051036580517301</v>
      </c>
      <c r="AW28">
        <v>0.406038252157499</v>
      </c>
      <c r="AX28">
        <v>0.78182802326865797</v>
      </c>
      <c r="AY28">
        <v>0.65497837333453002</v>
      </c>
      <c r="AZ28">
        <v>0.481912705088196</v>
      </c>
      <c r="BA28">
        <v>0.40632700828441398</v>
      </c>
      <c r="BB28">
        <v>0.55608292611882604</v>
      </c>
      <c r="BC28">
        <v>0.49537505149161498</v>
      </c>
      <c r="BD28">
        <v>0.30801812629631697</v>
      </c>
      <c r="BE28">
        <v>0.61576719974424998</v>
      </c>
      <c r="BF28">
        <v>0.166466423617844</v>
      </c>
      <c r="BG28">
        <v>0.39639485160215299</v>
      </c>
      <c r="BH28">
        <v>0.34326690946166599</v>
      </c>
      <c r="BI28">
        <v>0.59349381476832797</v>
      </c>
      <c r="BJ28">
        <v>0.678065973021859</v>
      </c>
      <c r="BK28">
        <v>0.21256237398810099</v>
      </c>
      <c r="BL28">
        <v>0.55619626056332205</v>
      </c>
      <c r="BM28">
        <v>0.445901215820243</v>
      </c>
      <c r="BN28">
        <v>0.63027019103913395</v>
      </c>
      <c r="BO28">
        <v>0.64294791962713604</v>
      </c>
      <c r="BP28">
        <v>0.459469478246056</v>
      </c>
      <c r="BQ28">
        <v>0.477926654424846</v>
      </c>
      <c r="BR28">
        <v>0.45462800972192102</v>
      </c>
      <c r="BS28">
        <v>0.54704216700211505</v>
      </c>
      <c r="BT28">
        <v>0.45961599691087701</v>
      </c>
      <c r="BU28">
        <v>0.77319113182579302</v>
      </c>
      <c r="BV28">
        <v>0.285834236280677</v>
      </c>
      <c r="BW28">
        <v>0.44005860610284903</v>
      </c>
      <c r="BX28">
        <v>0.70486377137812395</v>
      </c>
      <c r="BY28">
        <v>0.33796760547059901</v>
      </c>
      <c r="BZ28">
        <v>0.443262760759569</v>
      </c>
      <c r="CA28">
        <v>0.506740271161911</v>
      </c>
      <c r="CB28">
        <v>0.633765896170986</v>
      </c>
      <c r="CC28">
        <v>0.33283548523099898</v>
      </c>
      <c r="CD28">
        <v>0.529757630812703</v>
      </c>
      <c r="CE28">
        <v>0.49472007475942997</v>
      </c>
      <c r="CF28">
        <v>0.37378843010038398</v>
      </c>
      <c r="CG28">
        <v>0.244403704185471</v>
      </c>
      <c r="CH28">
        <v>0.36474537038875998</v>
      </c>
      <c r="CI28">
        <v>0.17251686298631999</v>
      </c>
      <c r="CJ28">
        <v>0.45011582656336302</v>
      </c>
      <c r="CK28">
        <v>0.42714820801261799</v>
      </c>
      <c r="CL28">
        <v>0.52585549069402704</v>
      </c>
      <c r="CM28">
        <v>0.46431233870941502</v>
      </c>
      <c r="CN28">
        <v>0.167292703285188</v>
      </c>
      <c r="CO28">
        <v>0.262056602436608</v>
      </c>
      <c r="CP28">
        <v>0.48466067355043402</v>
      </c>
      <c r="CQ28">
        <v>0.48896269454177399</v>
      </c>
      <c r="CR28">
        <v>0.62607800942902103</v>
      </c>
      <c r="CS28">
        <v>0.166254197096527</v>
      </c>
      <c r="CT28">
        <v>0.40761447652469701</v>
      </c>
      <c r="CU28">
        <v>0.55092470721897502</v>
      </c>
      <c r="CV28">
        <v>0.52443080573748002</v>
      </c>
      <c r="CW28">
        <v>0.42414797476017302</v>
      </c>
    </row>
    <row r="29" spans="1:101" x14ac:dyDescent="0.25">
      <c r="A29">
        <v>28</v>
      </c>
      <c r="B29">
        <v>0.444609090621923</v>
      </c>
      <c r="C29">
        <v>0.24929902039330001</v>
      </c>
      <c r="D29">
        <v>0.457962138186707</v>
      </c>
      <c r="E29">
        <v>0.11951259987934899</v>
      </c>
      <c r="F29">
        <v>0.234964465401828</v>
      </c>
      <c r="G29">
        <v>9.0292198231805801E-2</v>
      </c>
      <c r="H29">
        <v>0.26954579767099202</v>
      </c>
      <c r="I29">
        <v>0.31481570553496802</v>
      </c>
      <c r="J29">
        <v>0.37599418258593698</v>
      </c>
      <c r="K29">
        <v>0.46249852114856799</v>
      </c>
      <c r="L29">
        <v>0.24176128604515701</v>
      </c>
      <c r="M29">
        <v>0.58127594623374901</v>
      </c>
      <c r="N29">
        <v>0.49550082644399901</v>
      </c>
      <c r="O29">
        <v>0.38163195039361802</v>
      </c>
      <c r="P29">
        <v>0.45127404183932102</v>
      </c>
      <c r="Q29">
        <v>0.33481349974769897</v>
      </c>
      <c r="R29">
        <v>0.52533617398045995</v>
      </c>
      <c r="S29">
        <v>0.33324918551359001</v>
      </c>
      <c r="T29">
        <v>0.19422175623785901</v>
      </c>
      <c r="U29">
        <v>0.24325319508992199</v>
      </c>
      <c r="V29">
        <v>0.62990052944376596</v>
      </c>
      <c r="W29">
        <v>0.27928369742394998</v>
      </c>
      <c r="X29">
        <v>0.47780769522088201</v>
      </c>
      <c r="Y29">
        <v>0.41916165748724799</v>
      </c>
      <c r="Z29">
        <v>0.122354527287201</v>
      </c>
      <c r="AA29">
        <v>0.38010970845769998</v>
      </c>
      <c r="AB29">
        <v>0.27886377965756698</v>
      </c>
      <c r="AC29">
        <v>0.49974201494932802</v>
      </c>
      <c r="AD29">
        <v>0.188227197617165</v>
      </c>
      <c r="AE29">
        <v>0.31392046045917998</v>
      </c>
      <c r="AF29">
        <v>0.34089659315778698</v>
      </c>
      <c r="AG29">
        <v>0.364576668970716</v>
      </c>
      <c r="AH29">
        <v>0.32079303577642598</v>
      </c>
      <c r="AI29">
        <v>9.5509486721072998E-2</v>
      </c>
      <c r="AJ29">
        <v>0.62560461548760604</v>
      </c>
      <c r="AK29">
        <v>0.24259156578370999</v>
      </c>
      <c r="AL29">
        <v>0.25408831270284499</v>
      </c>
      <c r="AM29">
        <v>0.22284404194171401</v>
      </c>
      <c r="AN29">
        <v>0.37128206989998802</v>
      </c>
      <c r="AO29">
        <v>0.43406763507969798</v>
      </c>
      <c r="AP29">
        <v>0.54082916895161703</v>
      </c>
      <c r="AQ29">
        <v>0.59031550140886901</v>
      </c>
      <c r="AR29">
        <v>0.27063376235771103</v>
      </c>
      <c r="AS29">
        <v>0.38125048552213198</v>
      </c>
      <c r="AT29">
        <v>0.40469965875466901</v>
      </c>
      <c r="AU29">
        <v>0.26924812383084701</v>
      </c>
      <c r="AV29">
        <v>0.126354444874412</v>
      </c>
      <c r="AW29">
        <v>0.22061162670267501</v>
      </c>
      <c r="AX29">
        <v>0.63874308787601797</v>
      </c>
      <c r="AY29">
        <v>0.52777458101417696</v>
      </c>
      <c r="AZ29">
        <v>0.34190638979625698</v>
      </c>
      <c r="BA29">
        <v>0.35451355237802601</v>
      </c>
      <c r="BB29">
        <v>0.54424981994935295</v>
      </c>
      <c r="BC29">
        <v>0.52133230293280197</v>
      </c>
      <c r="BD29">
        <v>0.19186161905752599</v>
      </c>
      <c r="BE29">
        <v>0.40791679076210502</v>
      </c>
      <c r="BF29">
        <v>8.2359379992725801E-2</v>
      </c>
      <c r="BG29">
        <v>0.26318223081904801</v>
      </c>
      <c r="BH29">
        <v>0.218662164843339</v>
      </c>
      <c r="BI29">
        <v>0.416021591673223</v>
      </c>
      <c r="BJ29">
        <v>0.63378533639891099</v>
      </c>
      <c r="BK29">
        <v>8.7431350019571502E-2</v>
      </c>
      <c r="BL29">
        <v>0.40128767473509702</v>
      </c>
      <c r="BM29">
        <v>0.32052146214104699</v>
      </c>
      <c r="BN29">
        <v>0.40875214203378801</v>
      </c>
      <c r="BO29">
        <v>0.66350088387762696</v>
      </c>
      <c r="BP29">
        <v>0.48299083518819003</v>
      </c>
      <c r="BQ29">
        <v>0.30542495710079998</v>
      </c>
      <c r="BR29">
        <v>0.25529113986974999</v>
      </c>
      <c r="BS29">
        <v>0.312938652782011</v>
      </c>
      <c r="BT29">
        <v>0.29862701973976902</v>
      </c>
      <c r="BU29">
        <v>0.67469930463037897</v>
      </c>
      <c r="BV29">
        <v>0.328146679611097</v>
      </c>
      <c r="BW29">
        <v>0.10412643476774899</v>
      </c>
      <c r="BX29">
        <v>0.47892265203289403</v>
      </c>
      <c r="BY29">
        <v>0.34721846820104701</v>
      </c>
      <c r="BZ29">
        <v>0.446463471444497</v>
      </c>
      <c r="CA29">
        <v>0.31651121929335102</v>
      </c>
      <c r="CB29">
        <v>0.50891571650234102</v>
      </c>
      <c r="CC29">
        <v>0.30485154858575902</v>
      </c>
      <c r="CD29">
        <v>0.36167564552295001</v>
      </c>
      <c r="CE29">
        <v>0.35407367192690298</v>
      </c>
      <c r="CF29">
        <v>0.34008291262349899</v>
      </c>
      <c r="CG29">
        <v>9.57878942837629E-2</v>
      </c>
      <c r="CH29">
        <v>0.18082411067833301</v>
      </c>
      <c r="CI29">
        <v>0.124970220798422</v>
      </c>
      <c r="CJ29">
        <v>0.137134388143412</v>
      </c>
      <c r="CK29">
        <v>0.34193310838053798</v>
      </c>
      <c r="CL29">
        <v>0.45870795053541702</v>
      </c>
      <c r="CM29">
        <v>0.31201420782313399</v>
      </c>
      <c r="CN29">
        <v>8.6615810128369899E-2</v>
      </c>
      <c r="CO29">
        <v>0.258332824563062</v>
      </c>
      <c r="CP29">
        <v>0.47685998412398201</v>
      </c>
      <c r="CQ29">
        <v>0.35891033649694998</v>
      </c>
      <c r="CR29">
        <v>0.47084703874295802</v>
      </c>
      <c r="CS29">
        <v>7.6148250043499399E-2</v>
      </c>
      <c r="CT29">
        <v>0.24557918554283401</v>
      </c>
      <c r="CU29">
        <v>0.39798861921782802</v>
      </c>
      <c r="CV29">
        <v>0.27273519798568502</v>
      </c>
      <c r="CW29">
        <v>0.26519450526585098</v>
      </c>
    </row>
    <row r="30" spans="1:101" x14ac:dyDescent="0.25">
      <c r="A30">
        <v>29</v>
      </c>
      <c r="B30">
        <v>0.44850280250709601</v>
      </c>
      <c r="C30">
        <v>0.23868047876313001</v>
      </c>
      <c r="D30">
        <v>0.22163138883237199</v>
      </c>
      <c r="E30">
        <v>0.10096550899896201</v>
      </c>
      <c r="F30">
        <v>0.173838852623277</v>
      </c>
      <c r="G30">
        <v>5.1550334456046697E-2</v>
      </c>
      <c r="H30">
        <v>0.12697419074234201</v>
      </c>
      <c r="I30">
        <v>0.18144742368203301</v>
      </c>
      <c r="J30">
        <v>0.32467113171098</v>
      </c>
      <c r="K30">
        <v>0.50431354629230396</v>
      </c>
      <c r="L30">
        <v>0.196888309493746</v>
      </c>
      <c r="M30">
        <v>0.372958603585685</v>
      </c>
      <c r="N30">
        <v>0.535116611077877</v>
      </c>
      <c r="O30">
        <v>0.371859887091535</v>
      </c>
      <c r="P30">
        <v>0.41990040175228999</v>
      </c>
      <c r="Q30">
        <v>0.12854368370104799</v>
      </c>
      <c r="R30">
        <v>0.205532917351755</v>
      </c>
      <c r="S30">
        <v>0.30001740669941501</v>
      </c>
      <c r="T30">
        <v>5.2665898723564301E-2</v>
      </c>
      <c r="U30">
        <v>0.14407267904207</v>
      </c>
      <c r="V30">
        <v>0.51913481797569105</v>
      </c>
      <c r="W30">
        <v>0.22063265271604199</v>
      </c>
      <c r="X30">
        <v>0.28071938919751799</v>
      </c>
      <c r="Y30">
        <v>0.187570217464193</v>
      </c>
      <c r="Z30">
        <v>0.149471146263949</v>
      </c>
      <c r="AA30">
        <v>0.25499176272951701</v>
      </c>
      <c r="AB30">
        <v>0.20176250966200601</v>
      </c>
      <c r="AC30">
        <v>0.42259201479288699</v>
      </c>
      <c r="AD30">
        <v>0.17265366114776101</v>
      </c>
      <c r="AE30">
        <v>0.20560800628269099</v>
      </c>
      <c r="AF30">
        <v>0.22022294405659801</v>
      </c>
      <c r="AG30">
        <v>0.170592447911009</v>
      </c>
      <c r="AH30">
        <v>0.27870873672443303</v>
      </c>
      <c r="AI30">
        <v>9.4344316506786402E-2</v>
      </c>
      <c r="AJ30">
        <v>0.50561196516204399</v>
      </c>
      <c r="AK30">
        <v>0.160697108129667</v>
      </c>
      <c r="AL30">
        <v>0.228746644887312</v>
      </c>
      <c r="AM30">
        <v>0.15977518811497901</v>
      </c>
      <c r="AN30">
        <v>0.42942802093277899</v>
      </c>
      <c r="AO30">
        <v>0.23092553509015101</v>
      </c>
      <c r="AP30">
        <v>0.48114551729485699</v>
      </c>
      <c r="AQ30">
        <v>0.55615339961843202</v>
      </c>
      <c r="AR30">
        <v>0.29742678352296398</v>
      </c>
      <c r="AS30">
        <v>0.14246597250104701</v>
      </c>
      <c r="AT30">
        <v>0.17662505436217099</v>
      </c>
      <c r="AU30">
        <v>0.20861044920556801</v>
      </c>
      <c r="AV30">
        <v>0.12616379049597101</v>
      </c>
      <c r="AW30">
        <v>0.113413996743695</v>
      </c>
      <c r="AX30">
        <v>0.547537596310395</v>
      </c>
      <c r="AY30">
        <v>0.47371548443909001</v>
      </c>
      <c r="AZ30">
        <v>0.15633341095660699</v>
      </c>
      <c r="BA30">
        <v>0.26322152180644398</v>
      </c>
      <c r="BB30">
        <v>0.30626893034494501</v>
      </c>
      <c r="BC30">
        <v>0.30290899141037197</v>
      </c>
      <c r="BD30">
        <v>8.9812679531896894E-2</v>
      </c>
      <c r="BE30">
        <v>0.32488326743019103</v>
      </c>
      <c r="BF30">
        <v>7.3634697315716299E-2</v>
      </c>
      <c r="BG30">
        <v>0.13473255990913099</v>
      </c>
      <c r="BH30">
        <v>9.2810422826578004E-2</v>
      </c>
      <c r="BI30">
        <v>0.49295356740818502</v>
      </c>
      <c r="BJ30">
        <v>0.53907870804409097</v>
      </c>
      <c r="BK30">
        <v>5.2442695929698399E-2</v>
      </c>
      <c r="BL30">
        <v>0.40774953108466699</v>
      </c>
      <c r="BM30">
        <v>0.114736809967772</v>
      </c>
      <c r="BN30">
        <v>0.39744068510123898</v>
      </c>
      <c r="BO30">
        <v>0.56200475894819901</v>
      </c>
      <c r="BP30">
        <v>0.27921835522478999</v>
      </c>
      <c r="BQ30">
        <v>0.13914534305679399</v>
      </c>
      <c r="BR30">
        <v>0.114461324765434</v>
      </c>
      <c r="BS30">
        <v>0.235428175839478</v>
      </c>
      <c r="BT30">
        <v>0.24060711518651201</v>
      </c>
      <c r="BU30">
        <v>0.56235873348082799</v>
      </c>
      <c r="BV30">
        <v>0.175276793459967</v>
      </c>
      <c r="BW30">
        <v>8.5137891829929493E-2</v>
      </c>
      <c r="BX30">
        <v>0.37362675130999201</v>
      </c>
      <c r="BY30">
        <v>0.129227967914151</v>
      </c>
      <c r="BZ30">
        <v>0.39050113056514901</v>
      </c>
      <c r="CA30">
        <v>0.37335822654546602</v>
      </c>
      <c r="CB30">
        <v>0.44006871674130199</v>
      </c>
      <c r="CC30">
        <v>9.2428727116930495E-2</v>
      </c>
      <c r="CD30">
        <v>0.39442567711991799</v>
      </c>
      <c r="CE30">
        <v>0.43918149728148198</v>
      </c>
      <c r="CF30">
        <v>0.22050232342270401</v>
      </c>
      <c r="CG30">
        <v>8.6655947304377895E-2</v>
      </c>
      <c r="CH30">
        <v>0.14379170532468599</v>
      </c>
      <c r="CI30">
        <v>0.144646281091661</v>
      </c>
      <c r="CJ30">
        <v>0.30055112851399302</v>
      </c>
      <c r="CK30">
        <v>0.149451090122563</v>
      </c>
      <c r="CL30">
        <v>0.362501661215829</v>
      </c>
      <c r="CM30">
        <v>0.28711879192385098</v>
      </c>
      <c r="CN30">
        <v>9.9151281952421302E-2</v>
      </c>
      <c r="CO30">
        <v>0.141479987588013</v>
      </c>
      <c r="CP30">
        <v>0.25962849167614999</v>
      </c>
      <c r="CQ30">
        <v>0.32730556164392099</v>
      </c>
      <c r="CR30">
        <v>0.42907371108751902</v>
      </c>
      <c r="CS30">
        <v>5.1622486213883302E-2</v>
      </c>
      <c r="CT30">
        <v>0.14372076646092199</v>
      </c>
      <c r="CU30">
        <v>0.29585465648529502</v>
      </c>
      <c r="CV30">
        <v>0.24033643762618001</v>
      </c>
      <c r="CW30">
        <v>0.103161951571295</v>
      </c>
    </row>
    <row r="31" spans="1:101" x14ac:dyDescent="0.25">
      <c r="A31">
        <v>30</v>
      </c>
      <c r="B31">
        <v>0.370239855183911</v>
      </c>
      <c r="C31">
        <v>0.19182663239127901</v>
      </c>
      <c r="D31">
        <v>0.19591401744610101</v>
      </c>
      <c r="E31">
        <v>3.9556442800699899E-2</v>
      </c>
      <c r="F31">
        <v>0.12827934336288399</v>
      </c>
      <c r="G31">
        <v>1.1161471657451001E-2</v>
      </c>
      <c r="H31">
        <v>8.1409596133620199E-2</v>
      </c>
      <c r="I31">
        <v>0.14031770629176599</v>
      </c>
      <c r="J31">
        <v>0.21147228148498501</v>
      </c>
      <c r="K31">
        <v>0.44777144869718</v>
      </c>
      <c r="L31">
        <v>0.13003791831016301</v>
      </c>
      <c r="M31">
        <v>0.23429130525599601</v>
      </c>
      <c r="N31">
        <v>0.46987733940927701</v>
      </c>
      <c r="O31">
        <v>0.24317278958961999</v>
      </c>
      <c r="P31">
        <v>0.20959483546709001</v>
      </c>
      <c r="Q31">
        <v>0.175776654851685</v>
      </c>
      <c r="R31">
        <v>0.116901388918317</v>
      </c>
      <c r="S31">
        <v>0.242481248762875</v>
      </c>
      <c r="T31">
        <v>0.12753996177160701</v>
      </c>
      <c r="U31">
        <v>0.22492312957799601</v>
      </c>
      <c r="V31">
        <v>0.40590812689080602</v>
      </c>
      <c r="W31">
        <v>0.11297720288557001</v>
      </c>
      <c r="X31">
        <v>0.16013028355884501</v>
      </c>
      <c r="Y31">
        <v>0.14153221964086801</v>
      </c>
      <c r="Z31">
        <v>0.15703740626138299</v>
      </c>
      <c r="AA31">
        <v>0.37885025362299002</v>
      </c>
      <c r="AB31">
        <v>4.54261096984718E-2</v>
      </c>
      <c r="AC31">
        <v>0.19329288246211801</v>
      </c>
      <c r="AD31">
        <v>9.7092335896101806E-2</v>
      </c>
      <c r="AE31">
        <v>0.19004511864850401</v>
      </c>
      <c r="AF31">
        <v>0.120253014553226</v>
      </c>
      <c r="AG31">
        <v>0.101519242082539</v>
      </c>
      <c r="AH31">
        <v>0.13487290805826799</v>
      </c>
      <c r="AI31">
        <v>3.2725271753821401E-2</v>
      </c>
      <c r="AJ31">
        <v>0.48635175407444198</v>
      </c>
      <c r="AK31">
        <v>7.5378264525997898E-2</v>
      </c>
      <c r="AL31">
        <v>0.17439191215629801</v>
      </c>
      <c r="AM31">
        <v>0.12963058285176601</v>
      </c>
      <c r="AN31">
        <v>0.30135336311831301</v>
      </c>
      <c r="AO31">
        <v>0.13796927695653899</v>
      </c>
      <c r="AP31">
        <v>0.469343956182047</v>
      </c>
      <c r="AQ31">
        <v>0.45920292421811199</v>
      </c>
      <c r="AR31">
        <v>0.39503737155702801</v>
      </c>
      <c r="AS31">
        <v>0.17733231353021101</v>
      </c>
      <c r="AT31">
        <v>0.16693927016486901</v>
      </c>
      <c r="AU31">
        <v>9.9477842437206906E-2</v>
      </c>
      <c r="AV31">
        <v>0.13695763028430999</v>
      </c>
      <c r="AW31">
        <v>0.31984879527370902</v>
      </c>
      <c r="AX31">
        <v>0.40629316953577999</v>
      </c>
      <c r="AY31">
        <v>0.35495493405199502</v>
      </c>
      <c r="AZ31">
        <v>7.5900449997421002E-2</v>
      </c>
      <c r="BA31">
        <v>0.24774237972447899</v>
      </c>
      <c r="BB31">
        <v>0.19154745884226601</v>
      </c>
      <c r="BC31">
        <v>0.256235848271818</v>
      </c>
      <c r="BD31">
        <v>6.9716450047051903E-2</v>
      </c>
      <c r="BE31">
        <v>0.16513843429097499</v>
      </c>
      <c r="BF31">
        <v>6.4203297950726004E-2</v>
      </c>
      <c r="BG31">
        <v>0.13889081978089801</v>
      </c>
      <c r="BH31">
        <v>1.53199392912439E-2</v>
      </c>
      <c r="BI31">
        <v>0.43217774919720398</v>
      </c>
      <c r="BJ31">
        <v>0.44884115920098699</v>
      </c>
      <c r="BK31">
        <v>3.8850462868207501E-2</v>
      </c>
      <c r="BL31">
        <v>0.22367831799687901</v>
      </c>
      <c r="BM31">
        <v>9.1159141045598802E-2</v>
      </c>
      <c r="BN31">
        <v>0.34815384953735401</v>
      </c>
      <c r="BO31">
        <v>0.48097308523271798</v>
      </c>
      <c r="BP31">
        <v>9.3053257330496103E-2</v>
      </c>
      <c r="BQ31">
        <v>0.17706612790367501</v>
      </c>
      <c r="BR31">
        <v>8.6628417055314294E-2</v>
      </c>
      <c r="BS31">
        <v>0.26641328778507201</v>
      </c>
      <c r="BT31">
        <v>0.17722161620492599</v>
      </c>
      <c r="BU31">
        <v>0.480694058946875</v>
      </c>
      <c r="BV31">
        <v>0.18654398141848899</v>
      </c>
      <c r="BW31">
        <v>0.16511673555612999</v>
      </c>
      <c r="BX31">
        <v>0.20214641142661399</v>
      </c>
      <c r="BY31">
        <v>0.15708522784540499</v>
      </c>
      <c r="BZ31">
        <v>0.230798028267545</v>
      </c>
      <c r="CA31">
        <v>0.159792171373733</v>
      </c>
      <c r="CB31">
        <v>0.44985043051812901</v>
      </c>
      <c r="CC31">
        <v>5.4837476403655501E-2</v>
      </c>
      <c r="CD31">
        <v>0.27432747503048699</v>
      </c>
      <c r="CE31">
        <v>0.20163541093541601</v>
      </c>
      <c r="CF31">
        <v>0.12948610350772299</v>
      </c>
      <c r="CG31">
        <v>8.9929268721043301E-2</v>
      </c>
      <c r="CH31">
        <v>0.113578517743994</v>
      </c>
      <c r="CI31">
        <v>0.13813075155570001</v>
      </c>
      <c r="CJ31">
        <v>0.133585049360989</v>
      </c>
      <c r="CK31">
        <v>0.100270211774137</v>
      </c>
      <c r="CL31">
        <v>0.27045801971116301</v>
      </c>
      <c r="CM31">
        <v>0.231938767375795</v>
      </c>
      <c r="CN31">
        <v>6.3231513726932295E-2</v>
      </c>
      <c r="CO31">
        <v>0.13794829732317701</v>
      </c>
      <c r="CP31">
        <v>0.20505165811877399</v>
      </c>
      <c r="CQ31">
        <v>0.33148145420460101</v>
      </c>
      <c r="CR31">
        <v>0.27558015528757401</v>
      </c>
      <c r="CS31">
        <v>1.1162879844527801E-2</v>
      </c>
      <c r="CT31">
        <v>0.11080133368790999</v>
      </c>
      <c r="CU31">
        <v>0.19597659371072601</v>
      </c>
      <c r="CV31">
        <v>0.14385394518009201</v>
      </c>
      <c r="CW31">
        <v>3.5489418122549701E-2</v>
      </c>
    </row>
    <row r="32" spans="1:101" x14ac:dyDescent="0.25">
      <c r="A32">
        <v>31</v>
      </c>
      <c r="B32">
        <v>0.27118440520367798</v>
      </c>
      <c r="C32">
        <v>0.139528763802092</v>
      </c>
      <c r="D32">
        <v>0.31162820309779798</v>
      </c>
      <c r="E32">
        <v>0.11957662697827399</v>
      </c>
      <c r="F32">
        <v>4.1564650133450898E-2</v>
      </c>
      <c r="G32">
        <v>2.4692181230585699E-3</v>
      </c>
      <c r="H32">
        <v>9.6372337890411497E-2</v>
      </c>
      <c r="I32">
        <v>5.7867125893520603E-2</v>
      </c>
      <c r="J32">
        <v>0.13698943123871701</v>
      </c>
      <c r="K32">
        <v>0.41000099418223102</v>
      </c>
      <c r="L32">
        <v>0.15227078601576999</v>
      </c>
      <c r="M32">
        <v>0.243110435942402</v>
      </c>
      <c r="N32">
        <v>0.40540570619005001</v>
      </c>
      <c r="O32">
        <v>0.20251971656505699</v>
      </c>
      <c r="P32">
        <v>0.21713756051038</v>
      </c>
      <c r="Q32">
        <v>0.14307530462180601</v>
      </c>
      <c r="R32">
        <v>9.98390208861651E-2</v>
      </c>
      <c r="S32">
        <v>0.171461050626765</v>
      </c>
      <c r="T32">
        <v>0.15258435500404699</v>
      </c>
      <c r="U32">
        <v>0.21650358033050901</v>
      </c>
      <c r="V32">
        <v>0.21828322326181801</v>
      </c>
      <c r="W32">
        <v>0.200768888334349</v>
      </c>
      <c r="X32">
        <v>0.15055720217318699</v>
      </c>
      <c r="Y32">
        <v>0.13710193567380699</v>
      </c>
      <c r="Z32">
        <v>0.14402740546582199</v>
      </c>
      <c r="AA32">
        <v>0.16093893089999001</v>
      </c>
      <c r="AB32">
        <v>6.7334715184874494E-2</v>
      </c>
      <c r="AC32">
        <v>0.132566379045187</v>
      </c>
      <c r="AD32">
        <v>8.8897737478805194E-2</v>
      </c>
      <c r="AE32">
        <v>0.22436305378145299</v>
      </c>
      <c r="AF32">
        <v>0.124139206850224</v>
      </c>
      <c r="AG32">
        <v>3.1172867857942901E-2</v>
      </c>
      <c r="AH32">
        <v>0.24404808074978901</v>
      </c>
      <c r="AI32">
        <v>2.05293062631785E-2</v>
      </c>
      <c r="AJ32">
        <v>0.41353270432176198</v>
      </c>
      <c r="AK32">
        <v>0.12592703030810001</v>
      </c>
      <c r="AL32">
        <v>0.16548479722307499</v>
      </c>
      <c r="AM32">
        <v>0.13798284679775899</v>
      </c>
      <c r="AN32">
        <v>0.20101499402704501</v>
      </c>
      <c r="AO32">
        <v>0.14236726238712699</v>
      </c>
      <c r="AP32">
        <v>0.40763985971623201</v>
      </c>
      <c r="AQ32">
        <v>0.414114239503381</v>
      </c>
      <c r="AR32">
        <v>0.31226481413412199</v>
      </c>
      <c r="AS32">
        <v>0.15115791229669301</v>
      </c>
      <c r="AT32">
        <v>0.14023254077741601</v>
      </c>
      <c r="AU32">
        <v>0.14006076025749201</v>
      </c>
      <c r="AV32">
        <v>0.24613630233179501</v>
      </c>
      <c r="AW32">
        <v>0.24148131903627601</v>
      </c>
      <c r="AX32">
        <v>0.39371477768968999</v>
      </c>
      <c r="AY32">
        <v>0.25126931999798102</v>
      </c>
      <c r="AZ32">
        <v>0.101077540793716</v>
      </c>
      <c r="BA32">
        <v>0.39957273572110902</v>
      </c>
      <c r="BB32">
        <v>0.277364527597731</v>
      </c>
      <c r="BC32">
        <v>0.22634942927762999</v>
      </c>
      <c r="BD32">
        <v>4.41483887648619E-2</v>
      </c>
      <c r="BE32">
        <v>6.0115941597213299E-2</v>
      </c>
      <c r="BF32">
        <v>0.108985454891526</v>
      </c>
      <c r="BG32">
        <v>0.196386304823155</v>
      </c>
      <c r="BH32">
        <v>3.1769888801993899E-3</v>
      </c>
      <c r="BI32">
        <v>0.333547092471357</v>
      </c>
      <c r="BJ32">
        <v>0.32884297892967701</v>
      </c>
      <c r="BK32">
        <v>4.9239329204150799E-2</v>
      </c>
      <c r="BL32">
        <v>0.249374893480207</v>
      </c>
      <c r="BM32">
        <v>7.9031982539368703E-2</v>
      </c>
      <c r="BN32">
        <v>0.16447174154993799</v>
      </c>
      <c r="BO32">
        <v>0.41689127596069098</v>
      </c>
      <c r="BP32">
        <v>0.15333615450193799</v>
      </c>
      <c r="BQ32">
        <v>0.144671428053538</v>
      </c>
      <c r="BR32">
        <v>0.13549178957744901</v>
      </c>
      <c r="BS32">
        <v>0.29245971487201899</v>
      </c>
      <c r="BT32">
        <v>0.150663573644957</v>
      </c>
      <c r="BU32">
        <v>0.39832811789496098</v>
      </c>
      <c r="BV32">
        <v>0.188676036941887</v>
      </c>
      <c r="BW32">
        <v>0.14212999909186499</v>
      </c>
      <c r="BX32">
        <v>0.17982610338417701</v>
      </c>
      <c r="BY32">
        <v>9.5135470179854104E-2</v>
      </c>
      <c r="BZ32">
        <v>0.150630331958955</v>
      </c>
      <c r="CA32">
        <v>0.12716640852090799</v>
      </c>
      <c r="CB32">
        <v>0.317580443551571</v>
      </c>
      <c r="CC32">
        <v>0.10119658136391201</v>
      </c>
      <c r="CD32">
        <v>0.124633487376831</v>
      </c>
      <c r="CE32">
        <v>0.18335699594968599</v>
      </c>
      <c r="CF32">
        <v>0.162359765265571</v>
      </c>
      <c r="CG32">
        <v>1.4583499287798399E-2</v>
      </c>
      <c r="CH32">
        <v>1.9598711948928399E-2</v>
      </c>
      <c r="CI32">
        <v>9.5357140689586201E-2</v>
      </c>
      <c r="CJ32">
        <v>7.8648916377082101E-2</v>
      </c>
      <c r="CK32">
        <v>9.1269461246299699E-2</v>
      </c>
      <c r="CL32">
        <v>0.31931668403319102</v>
      </c>
      <c r="CM32">
        <v>0.191604744055867</v>
      </c>
      <c r="CN32">
        <v>0.11828859002256201</v>
      </c>
      <c r="CO32">
        <v>0.105520626159504</v>
      </c>
      <c r="CP32">
        <v>0.12920991988283301</v>
      </c>
      <c r="CQ32">
        <v>0.27815503562114802</v>
      </c>
      <c r="CR32">
        <v>0.28445332274525897</v>
      </c>
      <c r="CS32">
        <v>2.7003726516733198E-3</v>
      </c>
      <c r="CT32">
        <v>0.15738913763906201</v>
      </c>
      <c r="CU32">
        <v>0.16667412190204101</v>
      </c>
      <c r="CV32">
        <v>0.151270805308862</v>
      </c>
      <c r="CW32">
        <v>9.6637533251097196E-2</v>
      </c>
    </row>
    <row r="33" spans="1:101" x14ac:dyDescent="0.25">
      <c r="A33">
        <v>32</v>
      </c>
      <c r="B33">
        <v>0.26034403949759299</v>
      </c>
      <c r="C33">
        <v>0.221897865420084</v>
      </c>
      <c r="D33">
        <v>0.33995618981850301</v>
      </c>
      <c r="E33">
        <v>1.0902683302802601E-2</v>
      </c>
      <c r="F33">
        <v>7.1604796084454206E-2</v>
      </c>
      <c r="G33">
        <v>3.0133770983333899E-3</v>
      </c>
      <c r="H33">
        <v>0.23734262170506701</v>
      </c>
      <c r="I33">
        <v>0.11414584907789301</v>
      </c>
      <c r="J33">
        <v>0.13722078470249299</v>
      </c>
      <c r="K33">
        <v>0.42831744223649898</v>
      </c>
      <c r="L33">
        <v>7.8669913139586295E-2</v>
      </c>
      <c r="M33">
        <v>0.14219613140433601</v>
      </c>
      <c r="N33">
        <v>0.25741450820261902</v>
      </c>
      <c r="O33">
        <v>0.17314214704699801</v>
      </c>
      <c r="P33">
        <v>0.17008418665002201</v>
      </c>
      <c r="Q33">
        <v>0.136571110067365</v>
      </c>
      <c r="R33">
        <v>0.14485679820610201</v>
      </c>
      <c r="S33">
        <v>0.19681759177705099</v>
      </c>
      <c r="T33">
        <v>0.21077145886197099</v>
      </c>
      <c r="U33">
        <v>0.26672414617311302</v>
      </c>
      <c r="V33">
        <v>0.217856976747138</v>
      </c>
      <c r="W33">
        <v>0.28413179272237898</v>
      </c>
      <c r="X33">
        <v>0.276953398255679</v>
      </c>
      <c r="Y33">
        <v>3.4434258204910598E-2</v>
      </c>
      <c r="Z33">
        <v>0.13618852910139201</v>
      </c>
      <c r="AA33">
        <v>0.164990660347551</v>
      </c>
      <c r="AB33">
        <v>5.2441198422015597E-2</v>
      </c>
      <c r="AC33">
        <v>9.2447925249351304E-2</v>
      </c>
      <c r="AD33">
        <v>0.115342856131728</v>
      </c>
      <c r="AE33">
        <v>0.20075696943070301</v>
      </c>
      <c r="AF33">
        <v>0.110800197845927</v>
      </c>
      <c r="AG33">
        <v>2.4105947026787099E-2</v>
      </c>
      <c r="AH33">
        <v>0.27887136431949</v>
      </c>
      <c r="AI33">
        <v>8.5400071892165405E-2</v>
      </c>
      <c r="AJ33">
        <v>0.44712851480792198</v>
      </c>
      <c r="AK33">
        <v>0.11800088784962599</v>
      </c>
      <c r="AL33">
        <v>9.3982864901581101E-2</v>
      </c>
      <c r="AM33">
        <v>0.15074788599118499</v>
      </c>
      <c r="AN33">
        <v>0.184980013985897</v>
      </c>
      <c r="AO33">
        <v>0.15591997958398801</v>
      </c>
      <c r="AP33">
        <v>0.42542483220799199</v>
      </c>
      <c r="AQ33">
        <v>0.42976659966356101</v>
      </c>
      <c r="AR33">
        <v>0.42331113921609198</v>
      </c>
      <c r="AS33">
        <v>0.16512202922983299</v>
      </c>
      <c r="AT33">
        <v>0.16188914885526101</v>
      </c>
      <c r="AU33">
        <v>0.202983531129798</v>
      </c>
      <c r="AV33">
        <v>0.25059100469491302</v>
      </c>
      <c r="AW33">
        <v>0.12371926482908301</v>
      </c>
      <c r="AX33">
        <v>0.35942743330309002</v>
      </c>
      <c r="AY33">
        <v>0.33659453590129002</v>
      </c>
      <c r="AZ33">
        <v>0.143317864320681</v>
      </c>
      <c r="BA33">
        <v>0.43490844068211398</v>
      </c>
      <c r="BB33">
        <v>0.34599565216140199</v>
      </c>
      <c r="BC33">
        <v>0.1642330498082</v>
      </c>
      <c r="BD33">
        <v>1.8159245144688599E-2</v>
      </c>
      <c r="BE33">
        <v>8.5300773018251799E-2</v>
      </c>
      <c r="BF33">
        <v>4.7780121530476404E-3</v>
      </c>
      <c r="BG33">
        <v>0.22564220664222401</v>
      </c>
      <c r="BH33">
        <v>3.48956690556075E-3</v>
      </c>
      <c r="BI33">
        <v>0.39079745449992198</v>
      </c>
      <c r="BJ33">
        <v>0.19144276750339301</v>
      </c>
      <c r="BK33">
        <v>9.5551812049964893E-2</v>
      </c>
      <c r="BL33">
        <v>0.204357961266455</v>
      </c>
      <c r="BM33">
        <v>1.46903286070862E-2</v>
      </c>
      <c r="BN33">
        <v>0.14306420433605499</v>
      </c>
      <c r="BO33">
        <v>0.44859501310479499</v>
      </c>
      <c r="BP33">
        <v>0.185382377825905</v>
      </c>
      <c r="BQ33">
        <v>0.179101986438266</v>
      </c>
      <c r="BR33">
        <v>4.1166596709554797E-2</v>
      </c>
      <c r="BS33">
        <v>0.30676428650533899</v>
      </c>
      <c r="BT33">
        <v>0.154235410981891</v>
      </c>
      <c r="BU33">
        <v>0.36072633154547801</v>
      </c>
      <c r="BV33">
        <v>0.24585409966600499</v>
      </c>
      <c r="BW33">
        <v>0.25518073395384899</v>
      </c>
      <c r="BX33">
        <v>0.21430349393931999</v>
      </c>
      <c r="BY33">
        <v>0.12326157628117999</v>
      </c>
      <c r="BZ33">
        <v>0.19513022566107799</v>
      </c>
      <c r="CA33">
        <v>0.1078327411765</v>
      </c>
      <c r="CB33">
        <v>0.42282819594284499</v>
      </c>
      <c r="CC33">
        <v>0.125817690400334</v>
      </c>
      <c r="CD33">
        <v>9.6960876893385894E-2</v>
      </c>
      <c r="CE33">
        <v>0.171303503799416</v>
      </c>
      <c r="CF33">
        <v>0.19323362427718799</v>
      </c>
      <c r="CG33">
        <v>0.116754730573197</v>
      </c>
      <c r="CH33">
        <v>1.2041761071629801E-2</v>
      </c>
      <c r="CI33">
        <v>5.8457316880934203E-2</v>
      </c>
      <c r="CJ33">
        <v>4.4405853995624902E-3</v>
      </c>
      <c r="CK33">
        <v>1.7693815301782601E-2</v>
      </c>
      <c r="CL33">
        <v>0.34706755260912903</v>
      </c>
      <c r="CM33">
        <v>0.22069766222381701</v>
      </c>
      <c r="CN33">
        <v>5.8232061780990302E-2</v>
      </c>
      <c r="CO33">
        <v>0.15061522085430701</v>
      </c>
      <c r="CP33">
        <v>7.6728607926850906E-2</v>
      </c>
      <c r="CQ33">
        <v>0.205661841420376</v>
      </c>
      <c r="CR33">
        <v>0.33561411589551698</v>
      </c>
      <c r="CS33">
        <v>8.7883600554236996E-2</v>
      </c>
      <c r="CT33">
        <v>0.138496643293716</v>
      </c>
      <c r="CU33">
        <v>0.176152368617775</v>
      </c>
      <c r="CV33">
        <v>0.19327310445708101</v>
      </c>
      <c r="CW33">
        <v>3.8109258624326701E-2</v>
      </c>
    </row>
    <row r="34" spans="1:101" x14ac:dyDescent="0.25">
      <c r="A34">
        <v>33</v>
      </c>
      <c r="B34">
        <v>0.41520943963361301</v>
      </c>
      <c r="C34">
        <v>0.20042621471852301</v>
      </c>
      <c r="D34">
        <v>0.40053278854891899</v>
      </c>
      <c r="E34">
        <v>0.117185798834871</v>
      </c>
      <c r="F34">
        <v>8.7594131455999202E-2</v>
      </c>
      <c r="G34">
        <v>2.56672232720827E-2</v>
      </c>
      <c r="H34">
        <v>0.30398589086801697</v>
      </c>
      <c r="I34">
        <v>7.5202625366227599E-2</v>
      </c>
      <c r="J34">
        <v>0.18762658789853101</v>
      </c>
      <c r="K34">
        <v>0.50130643289219901</v>
      </c>
      <c r="L34">
        <v>7.5536348236399903E-2</v>
      </c>
      <c r="M34">
        <v>0.236990158782965</v>
      </c>
      <c r="N34">
        <v>0.35481657171497399</v>
      </c>
      <c r="O34">
        <v>0.28765130727009203</v>
      </c>
      <c r="P34">
        <v>0.38451425188011801</v>
      </c>
      <c r="Q34">
        <v>0.114960082952883</v>
      </c>
      <c r="R34">
        <v>0.151636277223683</v>
      </c>
      <c r="S34">
        <v>0.207437466100203</v>
      </c>
      <c r="T34">
        <v>0.24918741511798001</v>
      </c>
      <c r="U34">
        <v>0.20350952305704001</v>
      </c>
      <c r="V34">
        <v>0.27502482094613701</v>
      </c>
      <c r="W34">
        <v>0.30621569917225699</v>
      </c>
      <c r="X34">
        <v>0.45750981437801003</v>
      </c>
      <c r="Y34">
        <v>6.0010376742069903E-2</v>
      </c>
      <c r="Z34">
        <v>0.15749260741780899</v>
      </c>
      <c r="AA34">
        <v>0.15965749733832599</v>
      </c>
      <c r="AB34">
        <v>3.8618476476550499E-2</v>
      </c>
      <c r="AC34">
        <v>0.13226968430172401</v>
      </c>
      <c r="AD34">
        <v>9.0483132215980602E-2</v>
      </c>
      <c r="AE34">
        <v>0.31513008096199402</v>
      </c>
      <c r="AF34">
        <v>0.22137864291776699</v>
      </c>
      <c r="AG34">
        <v>0.13062457653722401</v>
      </c>
      <c r="AH34">
        <v>0.17689914692967401</v>
      </c>
      <c r="AI34">
        <v>0.124836156510299</v>
      </c>
      <c r="AJ34">
        <v>0.50495633073273005</v>
      </c>
      <c r="AK34">
        <v>0.17684537488350099</v>
      </c>
      <c r="AL34">
        <v>7.6999466025999302E-2</v>
      </c>
      <c r="AM34">
        <v>0.15383004974453099</v>
      </c>
      <c r="AN34">
        <v>0.16843146841958601</v>
      </c>
      <c r="AO34">
        <v>0.18057504020729201</v>
      </c>
      <c r="AP34">
        <v>0.49120192817508701</v>
      </c>
      <c r="AQ34">
        <v>0.50551525320255897</v>
      </c>
      <c r="AR34">
        <v>0.46186170546496402</v>
      </c>
      <c r="AS34">
        <v>0.16268192015369201</v>
      </c>
      <c r="AT34">
        <v>0.27564654263766702</v>
      </c>
      <c r="AU34">
        <v>0.29527513990941101</v>
      </c>
      <c r="AV34">
        <v>0.45819584824805698</v>
      </c>
      <c r="AW34">
        <v>0.113025919478374</v>
      </c>
      <c r="AX34">
        <v>0.477234745279077</v>
      </c>
      <c r="AY34">
        <v>0.36493216572666498</v>
      </c>
      <c r="AZ34">
        <v>0.170767641238324</v>
      </c>
      <c r="BA34">
        <v>0.34932472105448598</v>
      </c>
      <c r="BB34">
        <v>0.46987121365392498</v>
      </c>
      <c r="BC34">
        <v>0.14790545801475899</v>
      </c>
      <c r="BD34">
        <v>3.9371931858277399E-2</v>
      </c>
      <c r="BE34">
        <v>0.15655924176199301</v>
      </c>
      <c r="BF34">
        <v>7.7135450738043301E-2</v>
      </c>
      <c r="BG34">
        <v>0.30479742234437801</v>
      </c>
      <c r="BH34">
        <v>2.7561380563553201E-2</v>
      </c>
      <c r="BI34">
        <v>0.44381265084065302</v>
      </c>
      <c r="BJ34">
        <v>0.28396814823952099</v>
      </c>
      <c r="BK34">
        <v>0.159744427343671</v>
      </c>
      <c r="BL34">
        <v>0.26000577546621401</v>
      </c>
      <c r="BM34">
        <v>0.13841907914985199</v>
      </c>
      <c r="BN34">
        <v>0.244231668747529</v>
      </c>
      <c r="BO34">
        <v>0.41707835073216498</v>
      </c>
      <c r="BP34">
        <v>0.33240518346611198</v>
      </c>
      <c r="BQ34">
        <v>0.21103510404699199</v>
      </c>
      <c r="BR34">
        <v>2.7136223432919899E-2</v>
      </c>
      <c r="BS34">
        <v>0.45753261405131501</v>
      </c>
      <c r="BT34">
        <v>0.16694274325820399</v>
      </c>
      <c r="BU34">
        <v>0.48719841341495401</v>
      </c>
      <c r="BV34">
        <v>0.36492060015550498</v>
      </c>
      <c r="BW34">
        <v>0.13248216524201001</v>
      </c>
      <c r="BX34">
        <v>0.165582427906588</v>
      </c>
      <c r="BY34">
        <v>0.188095311241575</v>
      </c>
      <c r="BZ34">
        <v>0.40449988735072201</v>
      </c>
      <c r="CA34">
        <v>0.15455348093229301</v>
      </c>
      <c r="CB34">
        <v>0.43239102167391502</v>
      </c>
      <c r="CC34">
        <v>0.123701382670079</v>
      </c>
      <c r="CD34">
        <v>0.15349735205297199</v>
      </c>
      <c r="CE34">
        <v>0.19486804117006401</v>
      </c>
      <c r="CF34">
        <v>0.272434268698454</v>
      </c>
      <c r="CG34">
        <v>0.15191231525978199</v>
      </c>
      <c r="CH34">
        <v>3.5708394457871599E-2</v>
      </c>
      <c r="CI34">
        <v>0.15405402127523199</v>
      </c>
      <c r="CJ34">
        <v>0.11443765231722799</v>
      </c>
      <c r="CK34">
        <v>7.2026504366151503E-2</v>
      </c>
      <c r="CL34">
        <v>0.29292699561178098</v>
      </c>
      <c r="CM34">
        <v>0.195988328844134</v>
      </c>
      <c r="CN34">
        <v>5.5805574063734098E-2</v>
      </c>
      <c r="CO34">
        <v>0.13038714731880699</v>
      </c>
      <c r="CP34">
        <v>0.15345703069935801</v>
      </c>
      <c r="CQ34">
        <v>0.166649653669842</v>
      </c>
      <c r="CR34">
        <v>0.22634987515789201</v>
      </c>
      <c r="CS34">
        <v>2.7929853305610899E-2</v>
      </c>
      <c r="CT34">
        <v>0.29994101234798498</v>
      </c>
      <c r="CU34">
        <v>0.33257511301874298</v>
      </c>
      <c r="CV34">
        <v>0.47961934366836501</v>
      </c>
      <c r="CW34">
        <v>3.4685624129563997E-2</v>
      </c>
    </row>
    <row r="35" spans="1:101" x14ac:dyDescent="0.25">
      <c r="A35">
        <v>34</v>
      </c>
      <c r="B35">
        <v>0.40794132654948601</v>
      </c>
      <c r="C35">
        <v>0.28163530264691</v>
      </c>
      <c r="D35">
        <v>0.498097565477571</v>
      </c>
      <c r="E35">
        <v>0.18806137851181701</v>
      </c>
      <c r="F35">
        <v>7.1625371628515996E-2</v>
      </c>
      <c r="G35">
        <v>6.1592305664182799E-2</v>
      </c>
      <c r="H35">
        <v>0.35939511118492901</v>
      </c>
      <c r="I35">
        <v>7.1988069637140897E-2</v>
      </c>
      <c r="J35">
        <v>0.37804838669259799</v>
      </c>
      <c r="K35">
        <v>0.55975713989437903</v>
      </c>
      <c r="L35">
        <v>0.188019858082246</v>
      </c>
      <c r="M35">
        <v>0.24362840959094201</v>
      </c>
      <c r="N35">
        <v>0.472890905735246</v>
      </c>
      <c r="O35">
        <v>0.26338781579027298</v>
      </c>
      <c r="P35">
        <v>0.235320928884062</v>
      </c>
      <c r="Q35">
        <v>0.19756262390879301</v>
      </c>
      <c r="R35">
        <v>0.249859786403409</v>
      </c>
      <c r="S35">
        <v>0.190367089153026</v>
      </c>
      <c r="T35">
        <v>0.22490778712824799</v>
      </c>
      <c r="U35">
        <v>0.15305771318578501</v>
      </c>
      <c r="V35">
        <v>0.24521300619394101</v>
      </c>
      <c r="W35">
        <v>0.27936754166961703</v>
      </c>
      <c r="X35">
        <v>0.49354744821020602</v>
      </c>
      <c r="Y35">
        <v>0.180500290111337</v>
      </c>
      <c r="Z35">
        <v>0.13927358751424501</v>
      </c>
      <c r="AA35">
        <v>0.34861299651591199</v>
      </c>
      <c r="AB35">
        <v>0.21163393230233399</v>
      </c>
      <c r="AC35">
        <v>0.25314762661532297</v>
      </c>
      <c r="AD35">
        <v>0.151672226216785</v>
      </c>
      <c r="AE35">
        <v>0.45157342220725899</v>
      </c>
      <c r="AF35">
        <v>0.392458730695463</v>
      </c>
      <c r="AG35">
        <v>0.18626079338324</v>
      </c>
      <c r="AH35">
        <v>0.29623158947085498</v>
      </c>
      <c r="AI35">
        <v>0.14312542313261001</v>
      </c>
      <c r="AJ35">
        <v>0.55636500070399897</v>
      </c>
      <c r="AK35">
        <v>0.43408990637273498</v>
      </c>
      <c r="AL35">
        <v>8.5341542663894002E-2</v>
      </c>
      <c r="AM35">
        <v>0.18192645405277</v>
      </c>
      <c r="AN35">
        <v>0.29391808296651101</v>
      </c>
      <c r="AO35">
        <v>0.23681463622308699</v>
      </c>
      <c r="AP35">
        <v>0.52586971361308399</v>
      </c>
      <c r="AQ35">
        <v>0.57888185505193701</v>
      </c>
      <c r="AR35">
        <v>0.492800254598659</v>
      </c>
      <c r="AS35">
        <v>0.26564026613240799</v>
      </c>
      <c r="AT35">
        <v>0.19575787010882201</v>
      </c>
      <c r="AU35">
        <v>0.33280048606676899</v>
      </c>
      <c r="AV35">
        <v>0.50659932288384502</v>
      </c>
      <c r="AW35">
        <v>0.155554463495579</v>
      </c>
      <c r="AX35">
        <v>0.45106908284869601</v>
      </c>
      <c r="AY35">
        <v>0.30437335514427499</v>
      </c>
      <c r="AZ35">
        <v>0.235332173146167</v>
      </c>
      <c r="BA35">
        <v>0.29154043050228901</v>
      </c>
      <c r="BB35">
        <v>0.56583889952658095</v>
      </c>
      <c r="BC35">
        <v>0.36324695608809299</v>
      </c>
      <c r="BD35">
        <v>7.6416047680986102E-2</v>
      </c>
      <c r="BE35">
        <v>0.19622754861007499</v>
      </c>
      <c r="BF35">
        <v>0.19567217169722401</v>
      </c>
      <c r="BG35">
        <v>0.35365976534465898</v>
      </c>
      <c r="BH35">
        <v>9.8054486226974005E-2</v>
      </c>
      <c r="BI35">
        <v>0.57343044354351802</v>
      </c>
      <c r="BJ35">
        <v>0.39986728436089197</v>
      </c>
      <c r="BK35">
        <v>0.17453156869523401</v>
      </c>
      <c r="BL35">
        <v>0.20236179774374899</v>
      </c>
      <c r="BM35">
        <v>0.18756369754146199</v>
      </c>
      <c r="BN35">
        <v>0.47825812380581201</v>
      </c>
      <c r="BO35">
        <v>0.48834107686713202</v>
      </c>
      <c r="BP35">
        <v>0.40557114238280301</v>
      </c>
      <c r="BQ35">
        <v>0.31491986095545499</v>
      </c>
      <c r="BR35">
        <v>6.2909810021282195E-2</v>
      </c>
      <c r="BS35">
        <v>0.52542042159555402</v>
      </c>
      <c r="BT35">
        <v>0.33812157107017199</v>
      </c>
      <c r="BU35">
        <v>0.53073616350399899</v>
      </c>
      <c r="BV35">
        <v>0.39043875294056202</v>
      </c>
      <c r="BW35">
        <v>0.29225947842357403</v>
      </c>
      <c r="BX35">
        <v>0.235350372064906</v>
      </c>
      <c r="BY35">
        <v>0.30853655631225002</v>
      </c>
      <c r="BZ35">
        <v>0.26894140266527</v>
      </c>
      <c r="CA35">
        <v>0.21761927534026701</v>
      </c>
      <c r="CB35">
        <v>0.45051907607396002</v>
      </c>
      <c r="CC35">
        <v>0.13323276249032701</v>
      </c>
      <c r="CD35">
        <v>0.22437544289174699</v>
      </c>
      <c r="CE35">
        <v>0.28777822797411201</v>
      </c>
      <c r="CF35">
        <v>0.35269760488319502</v>
      </c>
      <c r="CG35">
        <v>0.19989992337027301</v>
      </c>
      <c r="CH35">
        <v>6.5591920410553506E-2</v>
      </c>
      <c r="CI35">
        <v>0.30146397183025397</v>
      </c>
      <c r="CJ35">
        <v>0.220283953121098</v>
      </c>
      <c r="CK35">
        <v>7.5533033061590496E-2</v>
      </c>
      <c r="CL35">
        <v>0.35150518445472601</v>
      </c>
      <c r="CM35">
        <v>0.23442693506427001</v>
      </c>
      <c r="CN35">
        <v>0.22159658676001701</v>
      </c>
      <c r="CO35">
        <v>0.17941895272488501</v>
      </c>
      <c r="CP35">
        <v>0.28097756084084902</v>
      </c>
      <c r="CQ35">
        <v>0.231866794039571</v>
      </c>
      <c r="CR35">
        <v>0.32040571064738099</v>
      </c>
      <c r="CS35">
        <v>0.186134523982462</v>
      </c>
      <c r="CT35">
        <v>0.38010483210340401</v>
      </c>
      <c r="CU35">
        <v>0.31236065533588497</v>
      </c>
      <c r="CV35">
        <v>0.551180452492535</v>
      </c>
      <c r="CW35">
        <v>0.20587049771093399</v>
      </c>
    </row>
    <row r="36" spans="1:101" x14ac:dyDescent="0.25">
      <c r="A36">
        <v>35</v>
      </c>
      <c r="B36">
        <v>0.25338728889789103</v>
      </c>
      <c r="C36">
        <v>0.27166741036867198</v>
      </c>
      <c r="D36">
        <v>0.31743888335042503</v>
      </c>
      <c r="E36">
        <v>0.206873893775913</v>
      </c>
      <c r="F36">
        <v>0.11533292651534099</v>
      </c>
      <c r="G36">
        <v>3.93587429588887E-2</v>
      </c>
      <c r="H36">
        <v>0.37896307630609</v>
      </c>
      <c r="I36">
        <v>0.12329713158428</v>
      </c>
      <c r="J36">
        <v>0.41568842837868603</v>
      </c>
      <c r="K36">
        <v>0.61492797373291896</v>
      </c>
      <c r="L36">
        <v>0.16091617634981301</v>
      </c>
      <c r="M36">
        <v>0.181634662445645</v>
      </c>
      <c r="N36">
        <v>0.45185738734389103</v>
      </c>
      <c r="O36">
        <v>0.26601030404414799</v>
      </c>
      <c r="P36">
        <v>0.32317326282708603</v>
      </c>
      <c r="Q36">
        <v>0.17202525179777201</v>
      </c>
      <c r="R36">
        <v>0.202280666939777</v>
      </c>
      <c r="S36">
        <v>0.14609029844608501</v>
      </c>
      <c r="T36">
        <v>0.20952536813192801</v>
      </c>
      <c r="U36">
        <v>0.16791796082421001</v>
      </c>
      <c r="V36">
        <v>0.13027974770498299</v>
      </c>
      <c r="W36">
        <v>0.33686582791517999</v>
      </c>
      <c r="X36">
        <v>0.54684586203526497</v>
      </c>
      <c r="Y36">
        <v>0.20775746680323801</v>
      </c>
      <c r="Z36">
        <v>0.19104338974215501</v>
      </c>
      <c r="AA36">
        <v>0.27662731431412901</v>
      </c>
      <c r="AB36">
        <v>0.190809345591642</v>
      </c>
      <c r="AC36">
        <v>0.26353094808488498</v>
      </c>
      <c r="AD36">
        <v>7.4778955640698502E-2</v>
      </c>
      <c r="AE36">
        <v>0.26357619019981499</v>
      </c>
      <c r="AF36">
        <v>0.32383873952540498</v>
      </c>
      <c r="AG36">
        <v>0.201371029602845</v>
      </c>
      <c r="AH36">
        <v>0.14694914645965501</v>
      </c>
      <c r="AI36">
        <v>0.219467706851565</v>
      </c>
      <c r="AJ36">
        <v>0.51554178233638603</v>
      </c>
      <c r="AK36">
        <v>0.31539920853658598</v>
      </c>
      <c r="AL36">
        <v>7.9400639941603596E-2</v>
      </c>
      <c r="AM36">
        <v>0.224841240382642</v>
      </c>
      <c r="AN36">
        <v>0.27354660202556802</v>
      </c>
      <c r="AO36">
        <v>0.22384955127588299</v>
      </c>
      <c r="AP36">
        <v>0.61980700052466098</v>
      </c>
      <c r="AQ36">
        <v>0.63768164674759498</v>
      </c>
      <c r="AR36">
        <v>0.52477756809425802</v>
      </c>
      <c r="AS36">
        <v>0.24962290508109</v>
      </c>
      <c r="AT36">
        <v>0.17525598442121701</v>
      </c>
      <c r="AU36">
        <v>0.35456640646756099</v>
      </c>
      <c r="AV36">
        <v>0.56159793107775202</v>
      </c>
      <c r="AW36">
        <v>0.28218908084239303</v>
      </c>
      <c r="AX36">
        <v>0.52567396744227202</v>
      </c>
      <c r="AY36">
        <v>0.44622207521852703</v>
      </c>
      <c r="AZ36">
        <v>0.192318516825878</v>
      </c>
      <c r="BA36">
        <v>0.28642452521975498</v>
      </c>
      <c r="BB36">
        <v>0.61753304256817099</v>
      </c>
      <c r="BC36">
        <v>0.46558079609702702</v>
      </c>
      <c r="BD36">
        <v>0.14340924946027001</v>
      </c>
      <c r="BE36">
        <v>0.26017847075380501</v>
      </c>
      <c r="BF36">
        <v>0.16202206580900799</v>
      </c>
      <c r="BG36">
        <v>0.34661671321841497</v>
      </c>
      <c r="BH36">
        <v>0.26691505558575401</v>
      </c>
      <c r="BI36">
        <v>0.61784603643296898</v>
      </c>
      <c r="BJ36">
        <v>0.35941470131714798</v>
      </c>
      <c r="BK36">
        <v>0.20042021447012501</v>
      </c>
      <c r="BL36">
        <v>0.29793805160777098</v>
      </c>
      <c r="BM36">
        <v>0.225654982221588</v>
      </c>
      <c r="BN36">
        <v>0.395136383226593</v>
      </c>
      <c r="BO36">
        <v>0.59865079088247597</v>
      </c>
      <c r="BP36">
        <v>0.430051402310697</v>
      </c>
      <c r="BQ36">
        <v>0.29687927409674802</v>
      </c>
      <c r="BR36">
        <v>3.6199931391685099E-2</v>
      </c>
      <c r="BS36">
        <v>0.39024431060481501</v>
      </c>
      <c r="BT36">
        <v>0.31085500658313803</v>
      </c>
      <c r="BU36">
        <v>0.348781540745353</v>
      </c>
      <c r="BV36">
        <v>0.46272435146894503</v>
      </c>
      <c r="BW36">
        <v>0.38246818588849102</v>
      </c>
      <c r="BX36">
        <v>0.366868563739292</v>
      </c>
      <c r="BY36">
        <v>0.221312421745395</v>
      </c>
      <c r="BZ36">
        <v>0.246042607061984</v>
      </c>
      <c r="CA36">
        <v>0.27460080529758601</v>
      </c>
      <c r="CB36">
        <v>0.42782465849928297</v>
      </c>
      <c r="CC36">
        <v>0.15790980284998499</v>
      </c>
      <c r="CD36">
        <v>0.235056850707587</v>
      </c>
      <c r="CE36">
        <v>0.26087574065519198</v>
      </c>
      <c r="CF36">
        <v>0.53828545500373504</v>
      </c>
      <c r="CG36">
        <v>0.14315230638176199</v>
      </c>
      <c r="CH36">
        <v>3.59606684835155E-2</v>
      </c>
      <c r="CI36">
        <v>0.28914551674710398</v>
      </c>
      <c r="CJ36">
        <v>0.167123149241372</v>
      </c>
      <c r="CK36">
        <v>0.123892436765334</v>
      </c>
      <c r="CL36">
        <v>0.369929582340708</v>
      </c>
      <c r="CM36">
        <v>0.133676107068676</v>
      </c>
      <c r="CN36">
        <v>0.31944933764262101</v>
      </c>
      <c r="CO36">
        <v>0.1546214478598</v>
      </c>
      <c r="CP36">
        <v>0.20774296738165601</v>
      </c>
      <c r="CQ36">
        <v>0.36364305620958798</v>
      </c>
      <c r="CR36">
        <v>0.25344895917301702</v>
      </c>
      <c r="CS36">
        <v>0.208151459499573</v>
      </c>
      <c r="CT36">
        <v>0.41777184413570601</v>
      </c>
      <c r="CU36">
        <v>0.34601809373526099</v>
      </c>
      <c r="CV36">
        <v>0.62374600487284004</v>
      </c>
      <c r="CW36">
        <v>0.251520945961834</v>
      </c>
    </row>
    <row r="37" spans="1:101" x14ac:dyDescent="0.25">
      <c r="A37">
        <v>36</v>
      </c>
      <c r="B37">
        <v>0.105008385224302</v>
      </c>
      <c r="C37">
        <v>0.18546257502150801</v>
      </c>
      <c r="D37">
        <v>0.2157757181146</v>
      </c>
      <c r="E37">
        <v>0.19092375144634699</v>
      </c>
      <c r="F37">
        <v>6.4377326157118206E-2</v>
      </c>
      <c r="G37">
        <v>2.56940710291436E-2</v>
      </c>
      <c r="H37">
        <v>0.40724099133913499</v>
      </c>
      <c r="I37">
        <v>0.114422611239751</v>
      </c>
      <c r="J37">
        <v>0.32350240140429698</v>
      </c>
      <c r="K37">
        <v>0.52837154781016804</v>
      </c>
      <c r="L37">
        <v>0.24139500555719201</v>
      </c>
      <c r="M37">
        <v>4.6685832318569799E-2</v>
      </c>
      <c r="N37">
        <v>0.34526753768752599</v>
      </c>
      <c r="O37">
        <v>0.2504965346886</v>
      </c>
      <c r="P37">
        <v>0.223455555175441</v>
      </c>
      <c r="Q37">
        <v>0.12549209473327799</v>
      </c>
      <c r="R37">
        <v>0.27790821558842999</v>
      </c>
      <c r="S37">
        <v>0.13320671727070599</v>
      </c>
      <c r="T37">
        <v>0.105061836663343</v>
      </c>
      <c r="U37">
        <v>0.11851484664922</v>
      </c>
      <c r="V37">
        <v>3.00801854933525E-2</v>
      </c>
      <c r="W37">
        <v>0.27748548450141503</v>
      </c>
      <c r="X37">
        <v>0.53148058278093901</v>
      </c>
      <c r="Y37">
        <v>0.17493471806601199</v>
      </c>
      <c r="Z37">
        <v>0.35163739021344398</v>
      </c>
      <c r="AA37">
        <v>0.245015372534962</v>
      </c>
      <c r="AB37">
        <v>0.24499861835146799</v>
      </c>
      <c r="AC37">
        <v>0.38082498689136901</v>
      </c>
      <c r="AD37">
        <v>2.46679635053118E-2</v>
      </c>
      <c r="AE37">
        <v>0.29554781407139102</v>
      </c>
      <c r="AF37">
        <v>0.43716270018873199</v>
      </c>
      <c r="AG37">
        <v>3.0553141546176301E-2</v>
      </c>
      <c r="AH37">
        <v>2.7651574148876E-2</v>
      </c>
      <c r="AI37">
        <v>0.179337729007296</v>
      </c>
      <c r="AJ37">
        <v>0.47261370931914598</v>
      </c>
      <c r="AK37">
        <v>0.29170569091801402</v>
      </c>
      <c r="AL37">
        <v>0.117641489935145</v>
      </c>
      <c r="AM37">
        <v>0.15949879334205899</v>
      </c>
      <c r="AN37">
        <v>0.26928363317332099</v>
      </c>
      <c r="AO37">
        <v>0.17785008872153499</v>
      </c>
      <c r="AP37">
        <v>0.63808516544887495</v>
      </c>
      <c r="AQ37">
        <v>0.64277450197830299</v>
      </c>
      <c r="AR37">
        <v>0.48342025836797597</v>
      </c>
      <c r="AS37">
        <v>0.22031524837699401</v>
      </c>
      <c r="AT37">
        <v>0.17842095251155299</v>
      </c>
      <c r="AU37">
        <v>0.27572452612338499</v>
      </c>
      <c r="AV37">
        <v>0.40672348260368701</v>
      </c>
      <c r="AW37">
        <v>0.27069278568272098</v>
      </c>
      <c r="AX37">
        <v>0.44699139370948099</v>
      </c>
      <c r="AY37">
        <v>0.41542946086647597</v>
      </c>
      <c r="AZ37">
        <v>9.2352736049419903E-2</v>
      </c>
      <c r="BA37">
        <v>0.28706288985691097</v>
      </c>
      <c r="BB37">
        <v>0.51972147770059696</v>
      </c>
      <c r="BC37">
        <v>0.28370409379059802</v>
      </c>
      <c r="BD37">
        <v>0.22903109168289301</v>
      </c>
      <c r="BE37">
        <v>0.223171674872189</v>
      </c>
      <c r="BF37">
        <v>0.235701131390575</v>
      </c>
      <c r="BG37">
        <v>0.49084737471210599</v>
      </c>
      <c r="BH37">
        <v>0.16705509597148499</v>
      </c>
      <c r="BI37">
        <v>0.52753329199309595</v>
      </c>
      <c r="BJ37">
        <v>0.25751699267113198</v>
      </c>
      <c r="BK37">
        <v>0.15978181565630001</v>
      </c>
      <c r="BL37">
        <v>0.33688382979064202</v>
      </c>
      <c r="BM37">
        <v>0.166525173744516</v>
      </c>
      <c r="BN37">
        <v>0.45903164350671799</v>
      </c>
      <c r="BO37">
        <v>0.43371038763311798</v>
      </c>
      <c r="BP37">
        <v>0.37500315615590002</v>
      </c>
      <c r="BQ37">
        <v>0.27984723692910402</v>
      </c>
      <c r="BR37">
        <v>2.4349101850448501E-2</v>
      </c>
      <c r="BS37">
        <v>0.36931117235154698</v>
      </c>
      <c r="BT37">
        <v>0.35247445297526703</v>
      </c>
      <c r="BU37">
        <v>0.33788913111584401</v>
      </c>
      <c r="BV37">
        <v>0.40309143148205001</v>
      </c>
      <c r="BW37">
        <v>0.34306472639779001</v>
      </c>
      <c r="BX37">
        <v>0.30226468898422898</v>
      </c>
      <c r="BY37">
        <v>0.223524475084454</v>
      </c>
      <c r="BZ37">
        <v>0.34644941054828698</v>
      </c>
      <c r="CA37">
        <v>0.27724385139364199</v>
      </c>
      <c r="CB37">
        <v>0.40378452482292598</v>
      </c>
      <c r="CC37">
        <v>0.16489316422773001</v>
      </c>
      <c r="CD37">
        <v>0.32492946863706301</v>
      </c>
      <c r="CE37">
        <v>0.365058225603345</v>
      </c>
      <c r="CF37">
        <v>0.25302070961976397</v>
      </c>
      <c r="CG37">
        <v>8.8993226292426994E-2</v>
      </c>
      <c r="CH37">
        <v>2.5483690553070901E-2</v>
      </c>
      <c r="CI37">
        <v>0.339784740564613</v>
      </c>
      <c r="CJ37">
        <v>0.14416472075168599</v>
      </c>
      <c r="CK37">
        <v>0.14038742511045599</v>
      </c>
      <c r="CL37">
        <v>0.177222332258055</v>
      </c>
      <c r="CM37">
        <v>4.43454013514194E-2</v>
      </c>
      <c r="CN37">
        <v>0.28481482327194002</v>
      </c>
      <c r="CO37">
        <v>0.14162019457382999</v>
      </c>
      <c r="CP37">
        <v>0.28642658538848897</v>
      </c>
      <c r="CQ37">
        <v>0.176456158735809</v>
      </c>
      <c r="CR37">
        <v>0.15286740777074501</v>
      </c>
      <c r="CS37">
        <v>0.220160973957233</v>
      </c>
      <c r="CT37">
        <v>0.27247118079472898</v>
      </c>
      <c r="CU37">
        <v>0.32095104014873499</v>
      </c>
      <c r="CV37">
        <v>0.63605383289683004</v>
      </c>
      <c r="CW37">
        <v>0.13875770697054499</v>
      </c>
    </row>
    <row r="38" spans="1:101" x14ac:dyDescent="0.25">
      <c r="A38">
        <v>37</v>
      </c>
      <c r="B38">
        <v>0.14026457515124999</v>
      </c>
      <c r="C38">
        <v>0.14594250144674401</v>
      </c>
      <c r="D38">
        <v>0.191947733060991</v>
      </c>
      <c r="E38">
        <v>0.120333066758035</v>
      </c>
      <c r="F38">
        <v>5.2530771230119002E-3</v>
      </c>
      <c r="G38">
        <v>5.1238794897304598E-3</v>
      </c>
      <c r="H38">
        <v>0.56056524486486503</v>
      </c>
      <c r="I38">
        <v>9.4493134609918997E-2</v>
      </c>
      <c r="J38">
        <v>0.42598461947970101</v>
      </c>
      <c r="K38">
        <v>0.42116855754061699</v>
      </c>
      <c r="L38">
        <v>0.25873417123143899</v>
      </c>
      <c r="M38">
        <v>5.1335658376626602E-3</v>
      </c>
      <c r="N38">
        <v>0.422128178663359</v>
      </c>
      <c r="O38">
        <v>0.101328484158469</v>
      </c>
      <c r="P38">
        <v>0.408069011911049</v>
      </c>
      <c r="Q38">
        <v>0.106484136144854</v>
      </c>
      <c r="R38">
        <v>0.248420355315326</v>
      </c>
      <c r="S38">
        <v>5.7356402161620901E-3</v>
      </c>
      <c r="T38">
        <v>9.5542511053590407E-2</v>
      </c>
      <c r="U38">
        <v>5.7340816238775896E-3</v>
      </c>
      <c r="V38">
        <v>6.8270896980051404E-3</v>
      </c>
      <c r="W38">
        <v>0.38561600250669897</v>
      </c>
      <c r="X38">
        <v>0.52684584177123495</v>
      </c>
      <c r="Y38">
        <v>0.144950022980324</v>
      </c>
      <c r="Z38">
        <v>0.22705149274574901</v>
      </c>
      <c r="AA38">
        <v>0.255798421670487</v>
      </c>
      <c r="AB38">
        <v>0.11018865414281601</v>
      </c>
      <c r="AC38">
        <v>0.25168558158252902</v>
      </c>
      <c r="AD38">
        <v>4.7790104936546096E-3</v>
      </c>
      <c r="AE38">
        <v>0.26387450037460902</v>
      </c>
      <c r="AF38">
        <v>0.34222772042264299</v>
      </c>
      <c r="AG38">
        <v>5.1949258373994696E-3</v>
      </c>
      <c r="AH38">
        <v>5.1041569564162899E-2</v>
      </c>
      <c r="AI38">
        <v>0.112696027898659</v>
      </c>
      <c r="AJ38">
        <v>0.34344561708091897</v>
      </c>
      <c r="AK38">
        <v>0.232263021690469</v>
      </c>
      <c r="AL38">
        <v>0.108573699924186</v>
      </c>
      <c r="AM38">
        <v>0.20506495909337399</v>
      </c>
      <c r="AN38">
        <v>0.159887651700275</v>
      </c>
      <c r="AO38">
        <v>0.223162380888213</v>
      </c>
      <c r="AP38">
        <v>0.56541180400348801</v>
      </c>
      <c r="AQ38">
        <v>0.54530021726304101</v>
      </c>
      <c r="AR38">
        <v>0.55063787060888902</v>
      </c>
      <c r="AS38">
        <v>0.22723450364436701</v>
      </c>
      <c r="AT38">
        <v>0.191321390028625</v>
      </c>
      <c r="AU38">
        <v>0.13203510875067001</v>
      </c>
      <c r="AV38">
        <v>0.34943849405877297</v>
      </c>
      <c r="AW38">
        <v>0.251259704655796</v>
      </c>
      <c r="AX38">
        <v>0.32231293666807798</v>
      </c>
      <c r="AY38">
        <v>0.36708031042928202</v>
      </c>
      <c r="AZ38">
        <v>6.4930736430301894E-2</v>
      </c>
      <c r="BA38">
        <v>0.17040902438981201</v>
      </c>
      <c r="BB38">
        <v>0.55732532323318296</v>
      </c>
      <c r="BC38">
        <v>0.22551943596077001</v>
      </c>
      <c r="BD38">
        <v>0.23168476751698699</v>
      </c>
      <c r="BE38">
        <v>0.19237439871009601</v>
      </c>
      <c r="BF38">
        <v>0.25541373963623498</v>
      </c>
      <c r="BG38">
        <v>0.50577971484862805</v>
      </c>
      <c r="BH38">
        <v>0.32590328927727802</v>
      </c>
      <c r="BI38">
        <v>0.334921331756595</v>
      </c>
      <c r="BJ38">
        <v>0.17009928963837601</v>
      </c>
      <c r="BK38">
        <v>0.14876875193425801</v>
      </c>
      <c r="BL38">
        <v>0.32221997023083199</v>
      </c>
      <c r="BM38">
        <v>0.21119213417074301</v>
      </c>
      <c r="BN38">
        <v>0.240089554002824</v>
      </c>
      <c r="BO38">
        <v>0.35508571851876097</v>
      </c>
      <c r="BP38">
        <v>0.33636342045585899</v>
      </c>
      <c r="BQ38">
        <v>0.29275714048150903</v>
      </c>
      <c r="BR38">
        <v>4.9140003677823497E-3</v>
      </c>
      <c r="BS38">
        <v>0.330420585923694</v>
      </c>
      <c r="BT38">
        <v>0.31334660892612398</v>
      </c>
      <c r="BU38">
        <v>0.251128461941447</v>
      </c>
      <c r="BV38">
        <v>0.53919090936679703</v>
      </c>
      <c r="BW38">
        <v>0.32671244949404299</v>
      </c>
      <c r="BX38">
        <v>0.33327353031387602</v>
      </c>
      <c r="BY38">
        <v>0.30374190495533898</v>
      </c>
      <c r="BZ38">
        <v>0.48561190070414001</v>
      </c>
      <c r="CA38">
        <v>0.10136504213288799</v>
      </c>
      <c r="CB38">
        <v>0.36817858419105698</v>
      </c>
      <c r="CC38">
        <v>0.172376495513197</v>
      </c>
      <c r="CD38">
        <v>0.122997814489579</v>
      </c>
      <c r="CE38">
        <v>0.286597507235821</v>
      </c>
      <c r="CF38">
        <v>0.33406924301151097</v>
      </c>
      <c r="CG38">
        <v>0.136960406849229</v>
      </c>
      <c r="CH38">
        <v>9.9929083768268895E-2</v>
      </c>
      <c r="CI38">
        <v>0.33440687349928599</v>
      </c>
      <c r="CJ38">
        <v>0.212001901787116</v>
      </c>
      <c r="CK38">
        <v>0.20156690978970801</v>
      </c>
      <c r="CL38">
        <v>0.21387052084924199</v>
      </c>
      <c r="CM38">
        <v>0.12899023932300799</v>
      </c>
      <c r="CN38">
        <v>0.31684133060259601</v>
      </c>
      <c r="CO38">
        <v>0.212719323076484</v>
      </c>
      <c r="CP38">
        <v>0.33201871629726398</v>
      </c>
      <c r="CQ38">
        <v>0.132478649768975</v>
      </c>
      <c r="CR38">
        <v>4.0834802116358003E-2</v>
      </c>
      <c r="CS38">
        <v>0.21544996971666999</v>
      </c>
      <c r="CT38">
        <v>0.30345174766673</v>
      </c>
      <c r="CU38">
        <v>0.49699636542731201</v>
      </c>
      <c r="CV38">
        <v>0.560985312280181</v>
      </c>
      <c r="CW38">
        <v>0.17364811595822899</v>
      </c>
    </row>
    <row r="39" spans="1:101" x14ac:dyDescent="0.25">
      <c r="A39">
        <v>38</v>
      </c>
      <c r="B39">
        <v>0.218466588696763</v>
      </c>
      <c r="C39">
        <v>0.16574090063208599</v>
      </c>
      <c r="D39">
        <v>0.19931204844460099</v>
      </c>
      <c r="E39">
        <v>0.17173529946786101</v>
      </c>
      <c r="F39">
        <v>0</v>
      </c>
      <c r="G39">
        <v>8.2163421300624304E-2</v>
      </c>
      <c r="H39">
        <v>0.51183327506325405</v>
      </c>
      <c r="I39">
        <v>0.105268749532169</v>
      </c>
      <c r="J39">
        <v>0.408497736231692</v>
      </c>
      <c r="K39">
        <v>0.411574543504788</v>
      </c>
      <c r="L39">
        <v>0.24612832056685199</v>
      </c>
      <c r="M39">
        <v>0</v>
      </c>
      <c r="N39">
        <v>0.39646388432389401</v>
      </c>
      <c r="O39">
        <v>0.112810395746202</v>
      </c>
      <c r="P39">
        <v>0.28464553999723502</v>
      </c>
      <c r="Q39">
        <v>7.1684149297499097E-2</v>
      </c>
      <c r="R39">
        <v>9.6956621731831394E-2</v>
      </c>
      <c r="S39">
        <v>3.2546533611271501E-2</v>
      </c>
      <c r="T39">
        <v>0.21715780544371999</v>
      </c>
      <c r="U39">
        <v>3.6126420285071799E-2</v>
      </c>
      <c r="V39">
        <v>2.9074211330244799E-2</v>
      </c>
      <c r="W39">
        <v>0.258986093772336</v>
      </c>
      <c r="X39">
        <v>0.45874108314331202</v>
      </c>
      <c r="Y39">
        <v>7.4324652103211E-2</v>
      </c>
      <c r="Z39">
        <v>0.223522563639526</v>
      </c>
      <c r="AA39">
        <v>0.27803198643259802</v>
      </c>
      <c r="AB39">
        <v>5.4711414208672302E-2</v>
      </c>
      <c r="AC39">
        <v>0.33349750057520799</v>
      </c>
      <c r="AD39">
        <v>0</v>
      </c>
      <c r="AE39">
        <v>0.25862301429830897</v>
      </c>
      <c r="AF39">
        <v>0.32178023242770198</v>
      </c>
      <c r="AG39">
        <v>5.27623072997652E-2</v>
      </c>
      <c r="AH39">
        <v>6.8015582875724206E-2</v>
      </c>
      <c r="AI39">
        <v>4.0107358425964601E-3</v>
      </c>
      <c r="AJ39">
        <v>0.34395518338116798</v>
      </c>
      <c r="AK39">
        <v>0.17970033226503099</v>
      </c>
      <c r="AL39">
        <v>0.29065327458325502</v>
      </c>
      <c r="AM39">
        <v>0.284418810864981</v>
      </c>
      <c r="AN39">
        <v>0.24817837767968301</v>
      </c>
      <c r="AO39">
        <v>0.377567396100769</v>
      </c>
      <c r="AP39">
        <v>0.52185212658066404</v>
      </c>
      <c r="AQ39">
        <v>0.48639873440958897</v>
      </c>
      <c r="AR39">
        <v>0.45749217832207401</v>
      </c>
      <c r="AS39">
        <v>8.1129322031748496E-2</v>
      </c>
      <c r="AT39">
        <v>0.109661591805455</v>
      </c>
      <c r="AU39">
        <v>0.110374152287692</v>
      </c>
      <c r="AV39">
        <v>0.21921213478468099</v>
      </c>
      <c r="AW39">
        <v>0.11401320132473</v>
      </c>
      <c r="AX39">
        <v>0.29015769316436701</v>
      </c>
      <c r="AY39">
        <v>0.36884353802687098</v>
      </c>
      <c r="AZ39">
        <v>5.51622916712333E-2</v>
      </c>
      <c r="BA39">
        <v>0.35866402143453202</v>
      </c>
      <c r="BB39">
        <v>0.531483676171293</v>
      </c>
      <c r="BC39">
        <v>0.38162073023423998</v>
      </c>
      <c r="BD39">
        <v>0.146704019798019</v>
      </c>
      <c r="BE39">
        <v>0.185358209811224</v>
      </c>
      <c r="BF39">
        <v>0.25574180309644501</v>
      </c>
      <c r="BG39">
        <v>0.52151888914816502</v>
      </c>
      <c r="BH39">
        <v>0.13206781453104299</v>
      </c>
      <c r="BI39">
        <v>0.30082573659976303</v>
      </c>
      <c r="BJ39">
        <v>9.3410521032851093E-2</v>
      </c>
      <c r="BK39">
        <v>0.22373744215813901</v>
      </c>
      <c r="BL39">
        <v>0.28328169427126898</v>
      </c>
      <c r="BM39">
        <v>0.175282747054574</v>
      </c>
      <c r="BN39">
        <v>0.22697228559657401</v>
      </c>
      <c r="BO39">
        <v>0.18661456777517299</v>
      </c>
      <c r="BP39">
        <v>0.281539445639921</v>
      </c>
      <c r="BQ39">
        <v>0.26496777994742798</v>
      </c>
      <c r="BR39">
        <v>0</v>
      </c>
      <c r="BS39">
        <v>0.47803411685782699</v>
      </c>
      <c r="BT39">
        <v>0.19588161268899601</v>
      </c>
      <c r="BU39">
        <v>0.13283189495287001</v>
      </c>
      <c r="BV39">
        <v>0.381222194484929</v>
      </c>
      <c r="BW39">
        <v>0.26822688663539401</v>
      </c>
      <c r="BX39">
        <v>0.20655004124846901</v>
      </c>
      <c r="BY39">
        <v>8.0065597000559693E-2</v>
      </c>
      <c r="BZ39">
        <v>0.50720989737946998</v>
      </c>
      <c r="CA39">
        <v>9.3922122792501603E-2</v>
      </c>
      <c r="CB39">
        <v>0.35751146635182202</v>
      </c>
      <c r="CC39">
        <v>9.1259957607432607E-2</v>
      </c>
      <c r="CD39">
        <v>7.2625804462131002E-2</v>
      </c>
      <c r="CE39">
        <v>0.37112409988696099</v>
      </c>
      <c r="CF39">
        <v>0.458134887222794</v>
      </c>
      <c r="CG39">
        <v>0.28272191922094903</v>
      </c>
      <c r="CH39">
        <v>0.12608677168107801</v>
      </c>
      <c r="CI39">
        <v>0.26580917932564202</v>
      </c>
      <c r="CJ39">
        <v>0.26715601910533299</v>
      </c>
      <c r="CK39">
        <v>0.24570320969450701</v>
      </c>
      <c r="CL39">
        <v>0.209906868731741</v>
      </c>
      <c r="CM39">
        <v>0.14160326013484101</v>
      </c>
      <c r="CN39">
        <v>0.170963992347962</v>
      </c>
      <c r="CO39">
        <v>0.15126344335774</v>
      </c>
      <c r="CP39">
        <v>0.337529606053873</v>
      </c>
      <c r="CQ39">
        <v>0.17703330065676101</v>
      </c>
      <c r="CR39">
        <v>0</v>
      </c>
      <c r="CS39">
        <v>0.24724943352536299</v>
      </c>
      <c r="CT39">
        <v>0.35756661956124403</v>
      </c>
      <c r="CU39">
        <v>0.41246209335046602</v>
      </c>
      <c r="CV39">
        <v>0.53392797239115597</v>
      </c>
      <c r="CW39">
        <v>0.14390447500442999</v>
      </c>
    </row>
    <row r="40" spans="1:101" x14ac:dyDescent="0.25">
      <c r="A40">
        <v>39</v>
      </c>
      <c r="B40">
        <v>0.21515092855061499</v>
      </c>
      <c r="C40">
        <v>0.18677621026611399</v>
      </c>
      <c r="D40">
        <v>8.2271641292636602E-2</v>
      </c>
      <c r="E40">
        <v>0.30015802858109703</v>
      </c>
      <c r="F40">
        <v>6.30529076790787E-3</v>
      </c>
      <c r="G40">
        <v>7.9561699291610694E-2</v>
      </c>
      <c r="H40">
        <v>0.468876970763552</v>
      </c>
      <c r="I40">
        <v>0.154926736441371</v>
      </c>
      <c r="J40">
        <v>0.29804080553850398</v>
      </c>
      <c r="K40">
        <v>0.302319219343132</v>
      </c>
      <c r="L40">
        <v>0.26430133540442702</v>
      </c>
      <c r="M40">
        <v>0</v>
      </c>
      <c r="N40">
        <v>0.247434059394325</v>
      </c>
      <c r="O40">
        <v>0.18895076279241199</v>
      </c>
      <c r="P40">
        <v>0.311667768900735</v>
      </c>
      <c r="Q40">
        <v>0.1061641357496</v>
      </c>
      <c r="R40">
        <v>0.16686579157640699</v>
      </c>
      <c r="S40">
        <v>2.7331827896570599E-2</v>
      </c>
      <c r="T40">
        <v>0.108648841967004</v>
      </c>
      <c r="U40">
        <v>7.9599567055216192E-3</v>
      </c>
      <c r="V40">
        <v>6.0348645213280802E-2</v>
      </c>
      <c r="W40">
        <v>0.29493453667789299</v>
      </c>
      <c r="X40">
        <v>0.34265834997455502</v>
      </c>
      <c r="Y40">
        <v>9.3186441664210903E-2</v>
      </c>
      <c r="Z40">
        <v>0.214495012502153</v>
      </c>
      <c r="AA40">
        <v>0.26508485907287999</v>
      </c>
      <c r="AB40">
        <v>5.4529949747651102E-2</v>
      </c>
      <c r="AC40">
        <v>0.15737128441078099</v>
      </c>
      <c r="AD40">
        <v>0</v>
      </c>
      <c r="AE40">
        <v>0.16431640640543199</v>
      </c>
      <c r="AF40">
        <v>0.21003755926700299</v>
      </c>
      <c r="AG40">
        <v>5.0884167527656997E-3</v>
      </c>
      <c r="AH40">
        <v>0.108454487274802</v>
      </c>
      <c r="AI40">
        <v>0</v>
      </c>
      <c r="AJ40">
        <v>0.43507909575131598</v>
      </c>
      <c r="AK40">
        <v>8.0539577828169603E-2</v>
      </c>
      <c r="AL40">
        <v>0.207384376112213</v>
      </c>
      <c r="AM40">
        <v>0.17495135757663399</v>
      </c>
      <c r="AN40">
        <v>0.207676690998184</v>
      </c>
      <c r="AO40">
        <v>0.22860840360426299</v>
      </c>
      <c r="AP40">
        <v>0.44240745007820298</v>
      </c>
      <c r="AQ40">
        <v>0.50200614336284699</v>
      </c>
      <c r="AR40">
        <v>0.34739499860587297</v>
      </c>
      <c r="AS40">
        <v>4.29196986716089E-2</v>
      </c>
      <c r="AT40">
        <v>0.116252274241273</v>
      </c>
      <c r="AU40">
        <v>0.21025274581654399</v>
      </c>
      <c r="AV40">
        <v>0.30343265463202201</v>
      </c>
      <c r="AW40">
        <v>6.9193046742962297E-2</v>
      </c>
      <c r="AX40">
        <v>0.220480839196836</v>
      </c>
      <c r="AY40">
        <v>0.35680290937619102</v>
      </c>
      <c r="AZ40">
        <v>9.1961165323125496E-2</v>
      </c>
      <c r="BA40">
        <v>0.35939353390231299</v>
      </c>
      <c r="BB40">
        <v>0.49941680650972398</v>
      </c>
      <c r="BC40">
        <v>0.30945503537348601</v>
      </c>
      <c r="BD40">
        <v>0.155267186676501</v>
      </c>
      <c r="BE40">
        <v>0.220566676177336</v>
      </c>
      <c r="BF40">
        <v>0.135627065590089</v>
      </c>
      <c r="BG40">
        <v>0.32847956059571498</v>
      </c>
      <c r="BH40">
        <v>0.14407238169879799</v>
      </c>
      <c r="BI40">
        <v>0.22005905008954199</v>
      </c>
      <c r="BJ40">
        <v>0.17977021053178799</v>
      </c>
      <c r="BK40">
        <v>0.29934280490569098</v>
      </c>
      <c r="BL40">
        <v>0.31469392589700301</v>
      </c>
      <c r="BM40">
        <v>0.26350101768627099</v>
      </c>
      <c r="BN40">
        <v>0.26596866754037501</v>
      </c>
      <c r="BO40">
        <v>0.16731711817040901</v>
      </c>
      <c r="BP40">
        <v>0.173021620475101</v>
      </c>
      <c r="BQ40">
        <v>0.20329662885393601</v>
      </c>
      <c r="BR40">
        <v>0</v>
      </c>
      <c r="BS40">
        <v>0.34783338879007297</v>
      </c>
      <c r="BT40">
        <v>0.145711345364822</v>
      </c>
      <c r="BU40">
        <v>0.15092452790524</v>
      </c>
      <c r="BV40">
        <v>0.449952211882998</v>
      </c>
      <c r="BW40">
        <v>0.33636947945367202</v>
      </c>
      <c r="BX40">
        <v>0.388435185819131</v>
      </c>
      <c r="BY40">
        <v>0.14385472184251499</v>
      </c>
      <c r="BZ40">
        <v>0.42146863815424102</v>
      </c>
      <c r="CA40">
        <v>0.148587784054794</v>
      </c>
      <c r="CB40">
        <v>0.24523907906211101</v>
      </c>
      <c r="CC40">
        <v>0.114377871560199</v>
      </c>
      <c r="CD40">
        <v>0.21596980805809499</v>
      </c>
      <c r="CE40">
        <v>0.30370552933141598</v>
      </c>
      <c r="CF40">
        <v>0.34242218927406298</v>
      </c>
      <c r="CG40">
        <v>0.22922809401740199</v>
      </c>
      <c r="CH40">
        <v>0.16944925714190001</v>
      </c>
      <c r="CI40">
        <v>0.26222476002756201</v>
      </c>
      <c r="CJ40">
        <v>0.18617419229471899</v>
      </c>
      <c r="CK40">
        <v>0.162073231540141</v>
      </c>
      <c r="CL40">
        <v>0.19650342815664601</v>
      </c>
      <c r="CM40">
        <v>7.6017433577393406E-2</v>
      </c>
      <c r="CN40">
        <v>0.183621769816042</v>
      </c>
      <c r="CO40">
        <v>0.128802749397122</v>
      </c>
      <c r="CP40">
        <v>0.15423617463102501</v>
      </c>
      <c r="CQ40">
        <v>0.165482489806032</v>
      </c>
      <c r="CR40">
        <v>0</v>
      </c>
      <c r="CS40">
        <v>0.145841664794227</v>
      </c>
      <c r="CT40">
        <v>0.34621102471438903</v>
      </c>
      <c r="CU40">
        <v>0.33388205146743699</v>
      </c>
      <c r="CV40">
        <v>0.51992679950057197</v>
      </c>
      <c r="CW40">
        <v>0.14563657032202901</v>
      </c>
    </row>
    <row r="41" spans="1:101" x14ac:dyDescent="0.25">
      <c r="A41">
        <v>40</v>
      </c>
      <c r="B41">
        <v>0.236870008435486</v>
      </c>
      <c r="C41">
        <v>0.184146699784068</v>
      </c>
      <c r="D41">
        <v>8.8593907340957401E-2</v>
      </c>
      <c r="E41">
        <v>0.242140828608091</v>
      </c>
      <c r="F41">
        <v>1.6510882788871001E-2</v>
      </c>
      <c r="G41">
        <v>2.3172369042678002E-2</v>
      </c>
      <c r="H41">
        <v>0.29206440669204098</v>
      </c>
      <c r="I41">
        <v>5.0240362564859899E-2</v>
      </c>
      <c r="J41">
        <v>0.186431184169844</v>
      </c>
      <c r="K41">
        <v>0.29292750088647201</v>
      </c>
      <c r="L41">
        <v>0.18776914935295</v>
      </c>
      <c r="M41">
        <v>7.4548628881126497E-2</v>
      </c>
      <c r="N41">
        <v>0.16355260367614999</v>
      </c>
      <c r="O41">
        <v>0.200306381166135</v>
      </c>
      <c r="P41">
        <v>0.39047034770703198</v>
      </c>
      <c r="Q41">
        <v>0.103396731552302</v>
      </c>
      <c r="R41">
        <v>0.191094808326392</v>
      </c>
      <c r="S41">
        <v>5.0044081209500602E-2</v>
      </c>
      <c r="T41">
        <v>5.8993459835996402E-2</v>
      </c>
      <c r="U41">
        <v>4.3438430510579697E-2</v>
      </c>
      <c r="V41">
        <v>0.129975204316603</v>
      </c>
      <c r="W41">
        <v>0.146896961108202</v>
      </c>
      <c r="X41">
        <v>0.35306689247273898</v>
      </c>
      <c r="Y41">
        <v>0.178854766771819</v>
      </c>
      <c r="Z41">
        <v>0.156489738241058</v>
      </c>
      <c r="AA41">
        <v>0.162577655901257</v>
      </c>
      <c r="AB41">
        <v>9.4282730261690303E-2</v>
      </c>
      <c r="AC41">
        <v>0.11576688166683601</v>
      </c>
      <c r="AD41">
        <v>0</v>
      </c>
      <c r="AE41">
        <v>0.115579135491021</v>
      </c>
      <c r="AF41">
        <v>0.28120100259584202</v>
      </c>
      <c r="AG41">
        <v>0</v>
      </c>
      <c r="AH41">
        <v>4.7171441878816799E-2</v>
      </c>
      <c r="AI41">
        <v>0</v>
      </c>
      <c r="AJ41">
        <v>0.42433164019324898</v>
      </c>
      <c r="AK41">
        <v>7.5440981620656905E-2</v>
      </c>
      <c r="AL41">
        <v>0.33237485432094699</v>
      </c>
      <c r="AM41">
        <v>0.134446351546363</v>
      </c>
      <c r="AN41">
        <v>0.118347778122874</v>
      </c>
      <c r="AO41">
        <v>0.19483769774111701</v>
      </c>
      <c r="AP41">
        <v>0.41258749549829798</v>
      </c>
      <c r="AQ41">
        <v>0.41537883708682599</v>
      </c>
      <c r="AR41">
        <v>0.35254315329970798</v>
      </c>
      <c r="AS41">
        <v>9.1260822495943694E-2</v>
      </c>
      <c r="AT41">
        <v>0.13751275272348701</v>
      </c>
      <c r="AU41">
        <v>0.16838767563787099</v>
      </c>
      <c r="AV41">
        <v>0.37674666772288501</v>
      </c>
      <c r="AW41">
        <v>0.13564961628956501</v>
      </c>
      <c r="AX41">
        <v>9.3234341603681006E-2</v>
      </c>
      <c r="AY41">
        <v>0.35791115114988198</v>
      </c>
      <c r="AZ41">
        <v>0.106080144977242</v>
      </c>
      <c r="BA41">
        <v>0.45176975753828702</v>
      </c>
      <c r="BB41">
        <v>0.49848806445178001</v>
      </c>
      <c r="BC41">
        <v>0.311165299937949</v>
      </c>
      <c r="BD41">
        <v>0.23148097526648001</v>
      </c>
      <c r="BE41">
        <v>0.22994007404804601</v>
      </c>
      <c r="BF41">
        <v>0.112567123540272</v>
      </c>
      <c r="BG41">
        <v>0.27774741263014902</v>
      </c>
      <c r="BH41">
        <v>0.143668574386212</v>
      </c>
      <c r="BI41">
        <v>0.11427580348435</v>
      </c>
      <c r="BJ41">
        <v>0.25436510588362998</v>
      </c>
      <c r="BK41">
        <v>0.363733942831997</v>
      </c>
      <c r="BL41">
        <v>0.19661008940996799</v>
      </c>
      <c r="BM41">
        <v>0.13533196209447601</v>
      </c>
      <c r="BN41">
        <v>0.16433184289379199</v>
      </c>
      <c r="BO41">
        <v>0.20959639455059501</v>
      </c>
      <c r="BP41">
        <v>0.18999688131185699</v>
      </c>
      <c r="BQ41">
        <v>0.21382056024731899</v>
      </c>
      <c r="BR41">
        <v>5.29494142819441E-2</v>
      </c>
      <c r="BS41">
        <v>0.190325672615242</v>
      </c>
      <c r="BT41">
        <v>0.15919980646878501</v>
      </c>
      <c r="BU41">
        <v>9.3838151663822103E-2</v>
      </c>
      <c r="BV41">
        <v>0.36647033885104002</v>
      </c>
      <c r="BW41">
        <v>0.36115911955549101</v>
      </c>
      <c r="BX41">
        <v>0.23907074072425999</v>
      </c>
      <c r="BY41">
        <v>0.108785178839647</v>
      </c>
      <c r="BZ41">
        <v>0.29015589631601102</v>
      </c>
      <c r="CA41">
        <v>0.170712526244752</v>
      </c>
      <c r="CB41">
        <v>0.25853466029477101</v>
      </c>
      <c r="CC41">
        <v>0.130088012929442</v>
      </c>
      <c r="CD41">
        <v>9.2446210642264201E-2</v>
      </c>
      <c r="CE41">
        <v>0.18087371544004399</v>
      </c>
      <c r="CF41">
        <v>0.31380171967840198</v>
      </c>
      <c r="CG41">
        <v>0.16929919068567501</v>
      </c>
      <c r="CH41">
        <v>0.23153313250701599</v>
      </c>
      <c r="CI41">
        <v>0.122382738661685</v>
      </c>
      <c r="CJ41">
        <v>0.104930880629393</v>
      </c>
      <c r="CK41">
        <v>0.147799162996155</v>
      </c>
      <c r="CL41">
        <v>0.15656821262600101</v>
      </c>
      <c r="CM41">
        <v>6.4071906093063596E-2</v>
      </c>
      <c r="CN41">
        <v>0.19466242482593801</v>
      </c>
      <c r="CO41">
        <v>0.16125204297112999</v>
      </c>
      <c r="CP41">
        <v>0.12042578322758</v>
      </c>
      <c r="CQ41">
        <v>0.104469225225433</v>
      </c>
      <c r="CR41">
        <v>0</v>
      </c>
      <c r="CS41">
        <v>0.145245039489558</v>
      </c>
      <c r="CT41">
        <v>0.45605525350464499</v>
      </c>
      <c r="CU41">
        <v>0.23866957816776499</v>
      </c>
      <c r="CV41">
        <v>0.43046231421429398</v>
      </c>
      <c r="CW41">
        <v>4.1999222052389901E-2</v>
      </c>
    </row>
    <row r="42" spans="1:101" x14ac:dyDescent="0.25">
      <c r="A42">
        <v>41</v>
      </c>
      <c r="B42">
        <v>0.13929574724169999</v>
      </c>
      <c r="C42">
        <v>0.21537113632173999</v>
      </c>
      <c r="D42">
        <v>0.121644285950508</v>
      </c>
      <c r="E42">
        <v>0.151157221162139</v>
      </c>
      <c r="F42">
        <v>5.3743210475647799E-3</v>
      </c>
      <c r="G42">
        <v>0</v>
      </c>
      <c r="H42">
        <v>0.258221051832904</v>
      </c>
      <c r="I42">
        <v>0.124253375751913</v>
      </c>
      <c r="J42">
        <v>8.5840275131823102E-2</v>
      </c>
      <c r="K42">
        <v>0.221660383623903</v>
      </c>
      <c r="L42">
        <v>0.113208051486165</v>
      </c>
      <c r="M42">
        <v>0.109053456041119</v>
      </c>
      <c r="N42">
        <v>0.184137573638676</v>
      </c>
      <c r="O42">
        <v>0.38530176561163099</v>
      </c>
      <c r="P42">
        <v>0.22549097976628699</v>
      </c>
      <c r="Q42">
        <v>0.104824827299766</v>
      </c>
      <c r="R42">
        <v>9.6146809954005E-2</v>
      </c>
      <c r="S42">
        <v>0.100315626407742</v>
      </c>
      <c r="T42">
        <v>0.11664508762955</v>
      </c>
      <c r="U42">
        <v>7.6781069921094694E-2</v>
      </c>
      <c r="V42">
        <v>0.13995897880116401</v>
      </c>
      <c r="W42">
        <v>0.12208345360760101</v>
      </c>
      <c r="X42">
        <v>0.30695574539522802</v>
      </c>
      <c r="Y42">
        <v>7.5799340256766004E-2</v>
      </c>
      <c r="Z42">
        <v>0.26575267693697402</v>
      </c>
      <c r="AA42">
        <v>0.16723507025453599</v>
      </c>
      <c r="AB42">
        <v>9.1530782048724099E-2</v>
      </c>
      <c r="AC42">
        <v>0.13344225324768499</v>
      </c>
      <c r="AD42">
        <v>5.2850946246529203E-2</v>
      </c>
      <c r="AE42">
        <v>0.11426542754315699</v>
      </c>
      <c r="AF42">
        <v>0.227719460548122</v>
      </c>
      <c r="AG42">
        <v>0</v>
      </c>
      <c r="AH42">
        <v>0.132425808048278</v>
      </c>
      <c r="AI42">
        <v>9.6681374550354596E-2</v>
      </c>
      <c r="AJ42">
        <v>0.39965804687379802</v>
      </c>
      <c r="AK42">
        <v>6.2582592447562604E-2</v>
      </c>
      <c r="AL42">
        <v>0.12857292392705</v>
      </c>
      <c r="AM42">
        <v>0.27605848104355701</v>
      </c>
      <c r="AN42">
        <v>0.13275306761873901</v>
      </c>
      <c r="AO42">
        <v>9.6024660957656605E-2</v>
      </c>
      <c r="AP42">
        <v>0.18310841049073001</v>
      </c>
      <c r="AQ42">
        <v>0.20613949382484301</v>
      </c>
      <c r="AR42">
        <v>0.407186078398319</v>
      </c>
      <c r="AS42">
        <v>6.4292774562171806E-2</v>
      </c>
      <c r="AT42">
        <v>0.120242706306584</v>
      </c>
      <c r="AU42">
        <v>0.15250597793193099</v>
      </c>
      <c r="AV42">
        <v>0.41214250860555801</v>
      </c>
      <c r="AW42">
        <v>0.106337376500009</v>
      </c>
      <c r="AX42">
        <v>0.104388182930488</v>
      </c>
      <c r="AY42">
        <v>0.381572904480523</v>
      </c>
      <c r="AZ42">
        <v>0.111752786695007</v>
      </c>
      <c r="BA42">
        <v>0.42807093555861703</v>
      </c>
      <c r="BB42">
        <v>0.43447851541118798</v>
      </c>
      <c r="BC42">
        <v>0.194282440199052</v>
      </c>
      <c r="BD42">
        <v>0.15590414615678999</v>
      </c>
      <c r="BE42">
        <v>0.33164643425419699</v>
      </c>
      <c r="BF42">
        <v>0.18385645592886399</v>
      </c>
      <c r="BG42">
        <v>0.33253728975611102</v>
      </c>
      <c r="BH42">
        <v>0.13287327771308299</v>
      </c>
      <c r="BI42">
        <v>0.138331090568211</v>
      </c>
      <c r="BJ42">
        <v>0.309166427487786</v>
      </c>
      <c r="BK42">
        <v>0.39552601573990398</v>
      </c>
      <c r="BL42">
        <v>0.18911826057346301</v>
      </c>
      <c r="BM42">
        <v>0.13344026972460599</v>
      </c>
      <c r="BN42">
        <v>0.269502615634237</v>
      </c>
      <c r="BO42">
        <v>0.15594780577544601</v>
      </c>
      <c r="BP42">
        <v>0.16518860184926101</v>
      </c>
      <c r="BQ42">
        <v>0.116325799617955</v>
      </c>
      <c r="BR42">
        <v>7.5107150982074294E-2</v>
      </c>
      <c r="BS42">
        <v>0.256479169660978</v>
      </c>
      <c r="BT42">
        <v>0.103160975571019</v>
      </c>
      <c r="BU42">
        <v>0.16588207102296901</v>
      </c>
      <c r="BV42">
        <v>0.41673536470231498</v>
      </c>
      <c r="BW42">
        <v>0.19679377998362901</v>
      </c>
      <c r="BX42">
        <v>0.226458637318358</v>
      </c>
      <c r="BY42">
        <v>0.13506195507462501</v>
      </c>
      <c r="BZ42">
        <v>0.41689024252215201</v>
      </c>
      <c r="CA42">
        <v>0.181510798388613</v>
      </c>
      <c r="CB42">
        <v>0.199429804751414</v>
      </c>
      <c r="CC42">
        <v>0.14131683245895699</v>
      </c>
      <c r="CD42">
        <v>0.108285410102855</v>
      </c>
      <c r="CE42">
        <v>0.13924723066761499</v>
      </c>
      <c r="CF42">
        <v>0.30607769374528898</v>
      </c>
      <c r="CG42">
        <v>0.31325207884789902</v>
      </c>
      <c r="CH42">
        <v>0.26255561613643102</v>
      </c>
      <c r="CI42">
        <v>0.134272100865994</v>
      </c>
      <c r="CJ42">
        <v>0.10836584194323801</v>
      </c>
      <c r="CK42">
        <v>0.10670482917191999</v>
      </c>
      <c r="CL42">
        <v>0.264302608671522</v>
      </c>
      <c r="CM42">
        <v>7.7186087210872001E-2</v>
      </c>
      <c r="CN42">
        <v>0.13478510906408001</v>
      </c>
      <c r="CO42">
        <v>0.10842650441146801</v>
      </c>
      <c r="CP42">
        <v>0.10413035172524</v>
      </c>
      <c r="CQ42">
        <v>8.7094870500763102E-2</v>
      </c>
      <c r="CR42">
        <v>7.8957579718210796E-2</v>
      </c>
      <c r="CS42">
        <v>0.103495300457633</v>
      </c>
      <c r="CT42">
        <v>0.413626526473654</v>
      </c>
      <c r="CU42">
        <v>0.16734960315428399</v>
      </c>
      <c r="CV42">
        <v>0.42100352134932401</v>
      </c>
      <c r="CW42">
        <v>8.8443636999717704E-2</v>
      </c>
    </row>
    <row r="43" spans="1:101" x14ac:dyDescent="0.25">
      <c r="A43">
        <v>42</v>
      </c>
      <c r="B43">
        <v>0.116903469196167</v>
      </c>
      <c r="C43">
        <v>0.10651602267766599</v>
      </c>
      <c r="D43">
        <v>0.16207354704201901</v>
      </c>
      <c r="E43">
        <v>8.7795538459376002E-2</v>
      </c>
      <c r="F43">
        <v>2.7739646944469801E-2</v>
      </c>
      <c r="G43">
        <v>5.7046430009325202E-2</v>
      </c>
      <c r="H43">
        <v>0.17539908440572999</v>
      </c>
      <c r="I43">
        <v>0.13054716228862201</v>
      </c>
      <c r="J43">
        <v>8.8864542813532593E-2</v>
      </c>
      <c r="K43">
        <v>0.114834846032577</v>
      </c>
      <c r="L43">
        <v>0.142778116377826</v>
      </c>
      <c r="M43">
        <v>0.101700218863122</v>
      </c>
      <c r="N43">
        <v>0.16047423813849401</v>
      </c>
      <c r="O43">
        <v>0.40491593380386698</v>
      </c>
      <c r="P43">
        <v>0.27979753755376902</v>
      </c>
      <c r="Q43">
        <v>9.67496726344904E-2</v>
      </c>
      <c r="R43">
        <v>7.1737598040683803E-2</v>
      </c>
      <c r="S43">
        <v>4.2200999183254498E-2</v>
      </c>
      <c r="T43">
        <v>7.3618108904986906E-2</v>
      </c>
      <c r="U43">
        <v>3.1889916600384101E-2</v>
      </c>
      <c r="V43">
        <v>0.14604316693093</v>
      </c>
      <c r="W43">
        <v>9.7973958218786406E-2</v>
      </c>
      <c r="X43">
        <v>0.27255508766666298</v>
      </c>
      <c r="Y43">
        <v>9.2960800068309604E-2</v>
      </c>
      <c r="Z43">
        <v>0.15310757064710401</v>
      </c>
      <c r="AA43">
        <v>0.122099067801322</v>
      </c>
      <c r="AB43">
        <v>5.8806091646571398E-2</v>
      </c>
      <c r="AC43">
        <v>0.13145781732814599</v>
      </c>
      <c r="AD43">
        <v>2.7950780466490199E-2</v>
      </c>
      <c r="AE43">
        <v>0.14730992855307901</v>
      </c>
      <c r="AF43">
        <v>0.18695083863301501</v>
      </c>
      <c r="AG43">
        <v>2.68745538130713E-2</v>
      </c>
      <c r="AH43">
        <v>0.10591952430434901</v>
      </c>
      <c r="AI43">
        <v>0.11350181228451001</v>
      </c>
      <c r="AJ43">
        <v>0.36484594200915799</v>
      </c>
      <c r="AK43">
        <v>7.2484316768799503E-2</v>
      </c>
      <c r="AL43">
        <v>0.21767270538212899</v>
      </c>
      <c r="AM43">
        <v>0.25471160177538099</v>
      </c>
      <c r="AN43">
        <v>0.103316466875436</v>
      </c>
      <c r="AO43">
        <v>6.5749109691886798E-2</v>
      </c>
      <c r="AP43">
        <v>0.126057819061556</v>
      </c>
      <c r="AQ43">
        <v>0.13043029559163799</v>
      </c>
      <c r="AR43">
        <v>0.21398618091480201</v>
      </c>
      <c r="AS43">
        <v>7.6404274294134503E-2</v>
      </c>
      <c r="AT43">
        <v>6.0528875930861002E-2</v>
      </c>
      <c r="AU43">
        <v>0.16629570669715399</v>
      </c>
      <c r="AV43">
        <v>0.36904868086707199</v>
      </c>
      <c r="AW43">
        <v>7.5283445320791398E-2</v>
      </c>
      <c r="AX43">
        <v>7.8021331439290006E-2</v>
      </c>
      <c r="AY43">
        <v>0.34955541692772302</v>
      </c>
      <c r="AZ43">
        <v>0.10290724874545</v>
      </c>
      <c r="BA43">
        <v>0.39996927096279</v>
      </c>
      <c r="BB43">
        <v>0.411537822232317</v>
      </c>
      <c r="BC43">
        <v>0.15910711339619499</v>
      </c>
      <c r="BD43">
        <v>0.14443942465471399</v>
      </c>
      <c r="BE43">
        <v>0.315300061390137</v>
      </c>
      <c r="BF43">
        <v>0.119172975674259</v>
      </c>
      <c r="BG43">
        <v>0.30547847271657003</v>
      </c>
      <c r="BH43">
        <v>0.10684110390976501</v>
      </c>
      <c r="BI43">
        <v>0.102190172871808</v>
      </c>
      <c r="BJ43">
        <v>0.25368533989006198</v>
      </c>
      <c r="BK43">
        <v>0.39703981572872499</v>
      </c>
      <c r="BL43">
        <v>9.0368167159640203E-2</v>
      </c>
      <c r="BM43">
        <v>6.1735072212438499E-2</v>
      </c>
      <c r="BN43">
        <v>0.24191270045714</v>
      </c>
      <c r="BO43">
        <v>0.13124986933015401</v>
      </c>
      <c r="BP43">
        <v>9.7769970726394304E-2</v>
      </c>
      <c r="BQ43">
        <v>2.7702681780171198E-2</v>
      </c>
      <c r="BR43">
        <v>8.2114024072495698E-2</v>
      </c>
      <c r="BS43">
        <v>0.15618393929527799</v>
      </c>
      <c r="BT43">
        <v>9.9093596041835902E-2</v>
      </c>
      <c r="BU43">
        <v>0.173876881201487</v>
      </c>
      <c r="BV43">
        <v>0.253250884007303</v>
      </c>
      <c r="BW43">
        <v>0.183857988024868</v>
      </c>
      <c r="BX43">
        <v>0.37088762434144901</v>
      </c>
      <c r="BY43">
        <v>0.14471104243604199</v>
      </c>
      <c r="BZ43">
        <v>0.39671773972419</v>
      </c>
      <c r="CA43">
        <v>0.145876844089256</v>
      </c>
      <c r="CB43">
        <v>0.254045373319714</v>
      </c>
      <c r="CC43">
        <v>7.8758558414803503E-2</v>
      </c>
      <c r="CD43">
        <v>0.112388879146158</v>
      </c>
      <c r="CE43">
        <v>0.168173598394152</v>
      </c>
      <c r="CF43">
        <v>0.25417804686943102</v>
      </c>
      <c r="CG43">
        <v>0.343903058475863</v>
      </c>
      <c r="CH43">
        <v>0.230002123076231</v>
      </c>
      <c r="CI43">
        <v>9.2573796690115007E-2</v>
      </c>
      <c r="CJ43">
        <v>9.1430821885574595E-2</v>
      </c>
      <c r="CK43">
        <v>9.58883411978948E-2</v>
      </c>
      <c r="CL43">
        <v>0.17187609170131399</v>
      </c>
      <c r="CM43">
        <v>0.105699020543036</v>
      </c>
      <c r="CN43">
        <v>0.13425196459990299</v>
      </c>
      <c r="CO43">
        <v>0.133283391092748</v>
      </c>
      <c r="CP43">
        <v>8.8415334286488997E-2</v>
      </c>
      <c r="CQ43">
        <v>8.48227860022404E-2</v>
      </c>
      <c r="CR43">
        <v>3.1622876176453998E-2</v>
      </c>
      <c r="CS43">
        <v>0.11809863612930301</v>
      </c>
      <c r="CT43">
        <v>0.39977812989151601</v>
      </c>
      <c r="CU43">
        <v>0.27730660020931602</v>
      </c>
      <c r="CV43">
        <v>0.37041184890417</v>
      </c>
      <c r="CW43">
        <v>7.72527521865711E-2</v>
      </c>
    </row>
    <row r="44" spans="1:101" x14ac:dyDescent="0.25">
      <c r="A44">
        <v>43</v>
      </c>
      <c r="B44">
        <v>9.5301834805115795E-2</v>
      </c>
      <c r="C44">
        <v>0.13255818722506599</v>
      </c>
      <c r="D44">
        <v>9.1631866412937704E-2</v>
      </c>
      <c r="E44">
        <v>5.1021576115424502E-2</v>
      </c>
      <c r="F44">
        <v>2.4843105697687901E-2</v>
      </c>
      <c r="G44">
        <v>2.99273783494266E-2</v>
      </c>
      <c r="H44">
        <v>6.7663099926786804E-2</v>
      </c>
      <c r="I44">
        <v>7.2913977534750304E-2</v>
      </c>
      <c r="J44">
        <v>5.5105571555468601E-2</v>
      </c>
      <c r="K44">
        <v>7.1602360261518505E-2</v>
      </c>
      <c r="L44">
        <v>6.8279030669837495E-2</v>
      </c>
      <c r="M44">
        <v>7.1130693969002998E-2</v>
      </c>
      <c r="N44">
        <v>5.1278440225611698E-2</v>
      </c>
      <c r="O44">
        <v>0.211141981529124</v>
      </c>
      <c r="P44">
        <v>0.10760789604488601</v>
      </c>
      <c r="Q44">
        <v>3.32909295443947E-2</v>
      </c>
      <c r="R44">
        <v>4.3810206401552497E-2</v>
      </c>
      <c r="S44">
        <v>3.0939881282257799E-2</v>
      </c>
      <c r="T44">
        <v>4.18422844820448E-2</v>
      </c>
      <c r="U44">
        <v>4.9312191454471098E-2</v>
      </c>
      <c r="V44">
        <v>0.141629303525837</v>
      </c>
      <c r="W44">
        <v>4.4469434524622202E-2</v>
      </c>
      <c r="X44">
        <v>0.32356998011633797</v>
      </c>
      <c r="Y44">
        <v>8.1902249523992096E-2</v>
      </c>
      <c r="Z44">
        <v>9.7019202787214501E-2</v>
      </c>
      <c r="AA44">
        <v>0.17140727826433899</v>
      </c>
      <c r="AB44">
        <v>4.3146318273051397E-2</v>
      </c>
      <c r="AC44">
        <v>0.24918625142391901</v>
      </c>
      <c r="AD44">
        <v>2.1938053903874301E-2</v>
      </c>
      <c r="AE44">
        <v>0.33908466786712399</v>
      </c>
      <c r="AF44">
        <v>8.1692746398044205E-2</v>
      </c>
      <c r="AG44">
        <v>2.2747351327768301E-2</v>
      </c>
      <c r="AH44">
        <v>7.5807626262535094E-2</v>
      </c>
      <c r="AI44">
        <v>0.105092811005533</v>
      </c>
      <c r="AJ44">
        <v>0.35198154746466698</v>
      </c>
      <c r="AK44">
        <v>2.2859604149920401E-2</v>
      </c>
      <c r="AL44">
        <v>0.22609964303997099</v>
      </c>
      <c r="AM44">
        <v>0.297571725357062</v>
      </c>
      <c r="AN44">
        <v>0.113842993822204</v>
      </c>
      <c r="AO44">
        <v>4.88266040883873E-2</v>
      </c>
      <c r="AP44">
        <v>0.20184624259946901</v>
      </c>
      <c r="AQ44">
        <v>8.0536242489824494E-2</v>
      </c>
      <c r="AR44">
        <v>0.16439784669702501</v>
      </c>
      <c r="AS44">
        <v>8.5551222706728006E-2</v>
      </c>
      <c r="AT44">
        <v>2.4737219923552201E-2</v>
      </c>
      <c r="AU44">
        <v>0.12547138945467801</v>
      </c>
      <c r="AV44">
        <v>0.38231832664383902</v>
      </c>
      <c r="AW44">
        <v>6.4935416326335801E-2</v>
      </c>
      <c r="AX44">
        <v>4.8971586617577202E-2</v>
      </c>
      <c r="AY44">
        <v>0.38986872401956302</v>
      </c>
      <c r="AZ44">
        <v>6.6415495439354794E-2</v>
      </c>
      <c r="BA44">
        <v>0.38393795743405101</v>
      </c>
      <c r="BB44">
        <v>0.39503442741601902</v>
      </c>
      <c r="BC44">
        <v>9.6739207962725102E-2</v>
      </c>
      <c r="BD44">
        <v>0.30965848832666398</v>
      </c>
      <c r="BE44">
        <v>0.38096477128602502</v>
      </c>
      <c r="BF44">
        <v>0.107061706650162</v>
      </c>
      <c r="BG44">
        <v>0.37781864923376302</v>
      </c>
      <c r="BH44">
        <v>9.4858097708787004E-2</v>
      </c>
      <c r="BI44">
        <v>7.5774555238522001E-2</v>
      </c>
      <c r="BJ44">
        <v>0.281408164013007</v>
      </c>
      <c r="BK44">
        <v>0.234419271541393</v>
      </c>
      <c r="BL44">
        <v>7.9230359967639705E-2</v>
      </c>
      <c r="BM44">
        <v>2.33733863583745E-2</v>
      </c>
      <c r="BN44">
        <v>0.116881145456268</v>
      </c>
      <c r="BO44">
        <v>9.3343025115525405E-2</v>
      </c>
      <c r="BP44">
        <v>6.2198828717965102E-2</v>
      </c>
      <c r="BQ44">
        <v>2.9758478575486001E-2</v>
      </c>
      <c r="BR44">
        <v>6.06373686274553E-2</v>
      </c>
      <c r="BS44">
        <v>0.188576465633187</v>
      </c>
      <c r="BT44">
        <v>7.7748128731872604E-2</v>
      </c>
      <c r="BU44">
        <v>8.3845357998046502E-2</v>
      </c>
      <c r="BV44">
        <v>0.255036691307445</v>
      </c>
      <c r="BW44">
        <v>9.4246333823694406E-2</v>
      </c>
      <c r="BX44">
        <v>0.287384478405035</v>
      </c>
      <c r="BY44">
        <v>0.17321162258842299</v>
      </c>
      <c r="BZ44">
        <v>0.158475529212836</v>
      </c>
      <c r="CA44">
        <v>9.68534955941215E-2</v>
      </c>
      <c r="CB44">
        <v>0.17713765184245001</v>
      </c>
      <c r="CC44">
        <v>5.8694602859744899E-2</v>
      </c>
      <c r="CD44">
        <v>0.18507843190796999</v>
      </c>
      <c r="CE44">
        <v>0.15947764250426699</v>
      </c>
      <c r="CF44">
        <v>0.38758726592965398</v>
      </c>
      <c r="CG44">
        <v>0.28520101230233902</v>
      </c>
      <c r="CH44">
        <v>0.198354203960421</v>
      </c>
      <c r="CI44">
        <v>5.4426403955581897E-2</v>
      </c>
      <c r="CJ44">
        <v>5.9841197468421203E-2</v>
      </c>
      <c r="CK44">
        <v>8.1665499632883401E-2</v>
      </c>
      <c r="CL44">
        <v>0.16155347453198299</v>
      </c>
      <c r="CM44">
        <v>8.5025774052652797E-2</v>
      </c>
      <c r="CN44">
        <v>5.0617167599597397E-2</v>
      </c>
      <c r="CO44">
        <v>7.2590133116101102E-2</v>
      </c>
      <c r="CP44">
        <v>6.0049855554460303E-2</v>
      </c>
      <c r="CQ44">
        <v>5.76786003719141E-2</v>
      </c>
      <c r="CR44">
        <v>4.9283172805597499E-2</v>
      </c>
      <c r="CS44">
        <v>0.13983397739494099</v>
      </c>
      <c r="CT44">
        <v>0.23506149682017799</v>
      </c>
      <c r="CU44">
        <v>8.1659072446423203E-2</v>
      </c>
      <c r="CV44">
        <v>0.17056319646676699</v>
      </c>
      <c r="CW44">
        <v>5.5351012974943402E-2</v>
      </c>
    </row>
    <row r="45" spans="1:101" x14ac:dyDescent="0.25">
      <c r="A45" t="s">
        <v>416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79998168889431442"/>
  </sheetPr>
  <dimension ref="A1:AA7"/>
  <sheetViews>
    <sheetView workbookViewId="0">
      <selection activeCell="D12" sqref="D12"/>
    </sheetView>
  </sheetViews>
  <sheetFormatPr defaultRowHeight="13.8" x14ac:dyDescent="0.25"/>
  <cols>
    <col min="5" max="5" width="9.109375" bestFit="1" customWidth="1"/>
    <col min="6" max="6" width="9.21875" bestFit="1" customWidth="1"/>
    <col min="8" max="8" width="9.109375" bestFit="1" customWidth="1"/>
    <col min="9" max="9" width="9.21875" bestFit="1" customWidth="1"/>
    <col min="13" max="13" width="9.109375" bestFit="1" customWidth="1"/>
    <col min="21" max="21" width="9.109375" bestFit="1" customWidth="1"/>
    <col min="22" max="22" width="9.21875" bestFit="1" customWidth="1"/>
    <col min="24" max="24" width="9.21875" bestFit="1" customWidth="1"/>
    <col min="25" max="25" width="9.109375" bestFit="1" customWidth="1"/>
  </cols>
  <sheetData>
    <row r="1" spans="1:27" ht="27.6" x14ac:dyDescent="0.25">
      <c r="A1" s="7" t="s">
        <v>20</v>
      </c>
      <c r="B1" s="7" t="s">
        <v>46</v>
      </c>
      <c r="C1" s="2" t="s">
        <v>2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7" t="s">
        <v>63</v>
      </c>
      <c r="U1" s="7" t="s">
        <v>64</v>
      </c>
      <c r="V1" s="7" t="s">
        <v>65</v>
      </c>
      <c r="W1" s="7" t="s">
        <v>66</v>
      </c>
      <c r="X1" s="7" t="s">
        <v>67</v>
      </c>
      <c r="Y1" s="7" t="s">
        <v>68</v>
      </c>
      <c r="Z1" s="7" t="s">
        <v>69</v>
      </c>
      <c r="AA1" s="7" t="s">
        <v>70</v>
      </c>
    </row>
    <row r="2" spans="1:27" x14ac:dyDescent="0.25">
      <c r="A2" s="11">
        <v>1</v>
      </c>
      <c r="B2" s="14">
        <v>1</v>
      </c>
      <c r="C2" s="14" t="s">
        <v>71</v>
      </c>
      <c r="D2" s="43">
        <v>0.15074636159999999</v>
      </c>
      <c r="E2" s="44">
        <v>0.16423089799999999</v>
      </c>
      <c r="F2" s="44">
        <v>0.190847982</v>
      </c>
      <c r="G2" s="44">
        <v>0.1533563104</v>
      </c>
      <c r="H2" s="45">
        <v>0.20180736360000001</v>
      </c>
      <c r="I2" s="45">
        <v>0.35300512519999999</v>
      </c>
      <c r="J2" s="44">
        <v>0.42210155319999998</v>
      </c>
      <c r="K2" s="44">
        <v>0.43233383520000002</v>
      </c>
      <c r="L2" s="44">
        <v>0.42674825399999999</v>
      </c>
      <c r="M2" s="44">
        <v>0.37743431319999998</v>
      </c>
      <c r="N2" s="44">
        <v>0.42696289440000001</v>
      </c>
      <c r="O2" s="44">
        <v>0.39248484480000001</v>
      </c>
      <c r="P2" s="44">
        <v>0.37904653840000002</v>
      </c>
      <c r="Q2" s="44">
        <v>0.38804272519999999</v>
      </c>
      <c r="R2" s="44">
        <v>0.4364218936</v>
      </c>
      <c r="S2" s="44">
        <v>0.27592463319999999</v>
      </c>
      <c r="T2" s="44">
        <v>0.19846259720000001</v>
      </c>
      <c r="U2" s="45">
        <v>0.1658218944</v>
      </c>
      <c r="V2" s="45">
        <v>0.18584777</v>
      </c>
      <c r="W2" s="44">
        <v>0.15981630960000001</v>
      </c>
      <c r="X2" s="44">
        <v>0.16330080120000001</v>
      </c>
      <c r="Y2" s="44">
        <v>0.12740820080000001</v>
      </c>
      <c r="Z2" s="44">
        <v>9.5383531199999996E-2</v>
      </c>
      <c r="AA2" s="46">
        <v>0.11545023879999999</v>
      </c>
    </row>
    <row r="7" spans="1:27" ht="15.6" x14ac:dyDescent="0.35">
      <c r="A7" t="s">
        <v>277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G6"/>
  <sheetViews>
    <sheetView tabSelected="1" workbookViewId="0">
      <selection activeCell="D6" sqref="D6"/>
    </sheetView>
  </sheetViews>
  <sheetFormatPr defaultColWidth="9" defaultRowHeight="13.8" x14ac:dyDescent="0.25"/>
  <cols>
    <col min="1" max="1" width="12.44140625" style="5" bestFit="1" customWidth="1"/>
    <col min="2" max="2" width="17.44140625" style="5" customWidth="1"/>
    <col min="3" max="3" width="19.77734375" style="5" customWidth="1"/>
    <col min="4" max="4" width="13" style="5" customWidth="1"/>
    <col min="5" max="5" width="16.33203125" style="5" bestFit="1" customWidth="1"/>
    <col min="6" max="6" width="12.88671875" style="5" customWidth="1"/>
    <col min="7" max="16384" width="9" style="5"/>
  </cols>
  <sheetData>
    <row r="1" spans="1:7" ht="55.2" x14ac:dyDescent="0.25">
      <c r="A1" s="2" t="s">
        <v>0</v>
      </c>
      <c r="B1" s="3" t="s">
        <v>422</v>
      </c>
      <c r="C1" s="5" t="s">
        <v>78</v>
      </c>
      <c r="D1" s="5" t="s">
        <v>79</v>
      </c>
      <c r="E1" s="5" t="s">
        <v>73</v>
      </c>
      <c r="F1" s="5" t="s">
        <v>74</v>
      </c>
      <c r="G1" s="5" t="s">
        <v>75</v>
      </c>
    </row>
    <row r="2" spans="1:7" x14ac:dyDescent="0.25">
      <c r="A2" s="15">
        <v>0.1</v>
      </c>
      <c r="B2" s="16">
        <v>500</v>
      </c>
      <c r="C2" s="77">
        <v>200000</v>
      </c>
      <c r="D2" s="17">
        <v>100000</v>
      </c>
      <c r="E2" s="17">
        <v>1</v>
      </c>
      <c r="F2" s="17">
        <v>0</v>
      </c>
      <c r="G2" s="17">
        <v>0</v>
      </c>
    </row>
    <row r="6" spans="1:7" ht="124.2" x14ac:dyDescent="0.25">
      <c r="A6" s="5" t="s">
        <v>465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O58"/>
  <sheetViews>
    <sheetView workbookViewId="0">
      <selection activeCell="G15" sqref="G15"/>
    </sheetView>
  </sheetViews>
  <sheetFormatPr defaultColWidth="9" defaultRowHeight="13.8" x14ac:dyDescent="0.25"/>
  <cols>
    <col min="1" max="1" width="7.109375" style="22" customWidth="1"/>
    <col min="2" max="2" width="9.77734375" style="22" bestFit="1" customWidth="1"/>
    <col min="3" max="3" width="4.77734375" style="22" bestFit="1" customWidth="1"/>
    <col min="4" max="5" width="11" style="22" bestFit="1" customWidth="1"/>
    <col min="6" max="6" width="10.6640625" style="22" customWidth="1"/>
    <col min="7" max="7" width="12.6640625" style="22" customWidth="1"/>
    <col min="8" max="8" width="11.21875" style="22" customWidth="1"/>
    <col min="9" max="9" width="13.44140625" style="22" bestFit="1" customWidth="1"/>
    <col min="10" max="10" width="18" style="22" bestFit="1" customWidth="1"/>
    <col min="11" max="11" width="10.44140625" style="22" bestFit="1" customWidth="1"/>
    <col min="12" max="12" width="12.77734375" style="22" bestFit="1" customWidth="1"/>
    <col min="13" max="13" width="11.44140625" style="22" bestFit="1" customWidth="1"/>
    <col min="14" max="14" width="14" style="22" bestFit="1" customWidth="1"/>
    <col min="15" max="16384" width="9" style="22"/>
  </cols>
  <sheetData>
    <row r="1" spans="1:14" s="20" customFormat="1" ht="41.25" customHeight="1" x14ac:dyDescent="0.25">
      <c r="A1" s="19" t="s">
        <v>1</v>
      </c>
      <c r="B1" s="19" t="s">
        <v>2</v>
      </c>
      <c r="C1" s="19" t="s">
        <v>3</v>
      </c>
      <c r="D1" s="19" t="s">
        <v>423</v>
      </c>
      <c r="E1" s="19" t="s">
        <v>424</v>
      </c>
      <c r="F1" s="19" t="s">
        <v>425</v>
      </c>
      <c r="G1" s="19" t="s">
        <v>426</v>
      </c>
      <c r="H1" s="19" t="s">
        <v>427</v>
      </c>
      <c r="I1" s="19" t="s">
        <v>428</v>
      </c>
      <c r="J1" s="19" t="s">
        <v>429</v>
      </c>
      <c r="K1" s="19" t="s">
        <v>430</v>
      </c>
      <c r="L1" s="19" t="s">
        <v>431</v>
      </c>
      <c r="M1" s="19" t="s">
        <v>432</v>
      </c>
      <c r="N1" s="19" t="s">
        <v>433</v>
      </c>
    </row>
    <row r="2" spans="1:14" s="4" customFormat="1" x14ac:dyDescent="0.25">
      <c r="A2" s="1">
        <v>1</v>
      </c>
      <c r="B2" s="57" t="s">
        <v>4</v>
      </c>
      <c r="C2">
        <v>101</v>
      </c>
      <c r="D2" s="21">
        <v>1.5199999999999998</v>
      </c>
      <c r="E2" s="1">
        <v>0</v>
      </c>
      <c r="F2" s="1">
        <v>1.5199999999999998</v>
      </c>
      <c r="G2" s="1">
        <v>1.5199999999999998</v>
      </c>
      <c r="H2" s="1">
        <v>1.5199999999999998</v>
      </c>
      <c r="I2" s="1">
        <v>1.5199999999999998</v>
      </c>
      <c r="J2" s="1">
        <v>7.9920000000000009</v>
      </c>
      <c r="K2" s="1">
        <v>1.5</v>
      </c>
      <c r="L2" s="1">
        <v>1.4000000000000001</v>
      </c>
      <c r="M2" s="1">
        <v>1.5</v>
      </c>
      <c r="N2" s="1">
        <v>1.0999999999999999</v>
      </c>
    </row>
    <row r="3" spans="1:14" s="4" customFormat="1" x14ac:dyDescent="0.25">
      <c r="A3" s="1">
        <v>2</v>
      </c>
      <c r="B3" s="57" t="s">
        <v>444</v>
      </c>
      <c r="C3">
        <v>102</v>
      </c>
      <c r="D3" s="21">
        <v>1.5199999999999998</v>
      </c>
      <c r="E3" s="1">
        <v>0</v>
      </c>
      <c r="F3" s="1">
        <v>1.5199999999999998</v>
      </c>
      <c r="G3" s="1">
        <v>1.5199999999999998</v>
      </c>
      <c r="H3" s="1">
        <v>1.5199999999999998</v>
      </c>
      <c r="I3" s="1">
        <v>1.5199999999999998</v>
      </c>
      <c r="J3" s="1">
        <f>J2+0.5</f>
        <v>8.4920000000000009</v>
      </c>
      <c r="K3" s="1">
        <v>1.5</v>
      </c>
      <c r="L3" s="1">
        <v>1.4000000000000001</v>
      </c>
      <c r="M3" s="1">
        <v>1.5</v>
      </c>
      <c r="N3" s="1">
        <v>1.0999999999999999</v>
      </c>
    </row>
    <row r="4" spans="1:14" s="4" customFormat="1" x14ac:dyDescent="0.25">
      <c r="A4" s="1">
        <v>3</v>
      </c>
      <c r="B4" s="57" t="s">
        <v>445</v>
      </c>
      <c r="C4">
        <v>107</v>
      </c>
      <c r="D4" s="21">
        <v>3.5</v>
      </c>
      <c r="E4" s="1">
        <v>0</v>
      </c>
      <c r="F4" s="1">
        <v>3.5</v>
      </c>
      <c r="G4" s="1">
        <v>3.5</v>
      </c>
      <c r="H4" s="1">
        <v>3.5</v>
      </c>
      <c r="I4" s="1">
        <v>3.5</v>
      </c>
      <c r="J4" s="1">
        <v>12.42</v>
      </c>
      <c r="K4" s="1">
        <v>1</v>
      </c>
      <c r="L4" s="1">
        <v>0.89999999999999991</v>
      </c>
      <c r="M4" s="1">
        <v>2.4</v>
      </c>
      <c r="N4" s="1">
        <v>1.6</v>
      </c>
    </row>
    <row r="5" spans="1:14" s="4" customFormat="1" x14ac:dyDescent="0.25">
      <c r="A5" s="1">
        <v>4</v>
      </c>
      <c r="B5" s="57" t="s">
        <v>80</v>
      </c>
      <c r="C5">
        <v>113</v>
      </c>
      <c r="D5" s="21">
        <v>5.91</v>
      </c>
      <c r="E5" s="1">
        <v>0</v>
      </c>
      <c r="F5" s="1">
        <v>5.91</v>
      </c>
      <c r="G5" s="1">
        <v>5.91</v>
      </c>
      <c r="H5" s="1">
        <v>5.91</v>
      </c>
      <c r="I5" s="1">
        <v>5.91</v>
      </c>
      <c r="J5" s="1">
        <v>12.558</v>
      </c>
      <c r="K5" s="1">
        <v>0.8</v>
      </c>
      <c r="L5" s="1">
        <v>0.70000000000000007</v>
      </c>
      <c r="M5" s="1">
        <v>2.5</v>
      </c>
      <c r="N5" s="1">
        <v>1.7000000000000002</v>
      </c>
    </row>
    <row r="6" spans="1:14" s="4" customFormat="1" x14ac:dyDescent="0.25">
      <c r="A6" s="1">
        <v>5</v>
      </c>
      <c r="B6" s="57" t="s">
        <v>446</v>
      </c>
      <c r="C6">
        <v>115</v>
      </c>
      <c r="D6" s="21">
        <v>2.15</v>
      </c>
      <c r="E6" s="1">
        <v>0</v>
      </c>
      <c r="F6" s="1">
        <v>2.15</v>
      </c>
      <c r="G6" s="1">
        <v>2.15</v>
      </c>
      <c r="H6" s="1">
        <v>2.15</v>
      </c>
      <c r="I6" s="1">
        <v>2.15</v>
      </c>
      <c r="J6" s="58">
        <v>15.665999999999999</v>
      </c>
      <c r="K6" s="27">
        <v>0.70000000000000007</v>
      </c>
      <c r="L6" s="27">
        <v>0.5</v>
      </c>
      <c r="M6" s="27">
        <v>2.8000000000000003</v>
      </c>
      <c r="N6" s="27">
        <v>2.2999999999999998</v>
      </c>
    </row>
    <row r="7" spans="1:14" s="4" customFormat="1" x14ac:dyDescent="0.25">
      <c r="A7" s="1">
        <v>7</v>
      </c>
      <c r="B7" s="57" t="s">
        <v>81</v>
      </c>
      <c r="C7">
        <v>116</v>
      </c>
      <c r="D7" s="21">
        <v>1.55</v>
      </c>
      <c r="E7" s="1">
        <v>0</v>
      </c>
      <c r="F7" s="1">
        <v>1.55</v>
      </c>
      <c r="G7" s="1">
        <v>1.55</v>
      </c>
      <c r="H7" s="1">
        <v>1.55</v>
      </c>
      <c r="I7" s="1">
        <v>1.55</v>
      </c>
      <c r="J7" s="1">
        <v>6.3119999999999994</v>
      </c>
      <c r="K7" s="1">
        <v>1.6</v>
      </c>
      <c r="L7" s="1">
        <v>1.4000000000000001</v>
      </c>
      <c r="M7" s="1">
        <v>1.6</v>
      </c>
      <c r="N7" s="1">
        <v>0.70000000000000007</v>
      </c>
    </row>
    <row r="8" spans="1:14" s="4" customFormat="1" x14ac:dyDescent="0.25">
      <c r="A8" s="1">
        <v>8</v>
      </c>
      <c r="B8" s="57" t="s">
        <v>82</v>
      </c>
      <c r="C8">
        <v>118</v>
      </c>
      <c r="D8" s="21">
        <v>4</v>
      </c>
      <c r="E8" s="1">
        <v>0</v>
      </c>
      <c r="F8" s="1">
        <v>4</v>
      </c>
      <c r="G8" s="1">
        <v>4</v>
      </c>
      <c r="H8" s="1">
        <v>4</v>
      </c>
      <c r="I8" s="1">
        <v>4</v>
      </c>
      <c r="J8" s="1">
        <v>3.6120000000000001</v>
      </c>
      <c r="K8" s="1">
        <v>0</v>
      </c>
      <c r="L8" s="1">
        <v>0</v>
      </c>
      <c r="M8" s="1">
        <v>0</v>
      </c>
      <c r="N8" s="1">
        <v>0</v>
      </c>
    </row>
    <row r="9" spans="1:14" s="4" customFormat="1" x14ac:dyDescent="0.25">
      <c r="A9" s="1">
        <v>9</v>
      </c>
      <c r="B9" s="57" t="s">
        <v>83</v>
      </c>
      <c r="C9">
        <v>121</v>
      </c>
      <c r="D9" s="21">
        <v>4</v>
      </c>
      <c r="E9" s="1">
        <v>0</v>
      </c>
      <c r="F9" s="1">
        <v>4</v>
      </c>
      <c r="G9" s="1">
        <v>4</v>
      </c>
      <c r="H9" s="1">
        <v>4</v>
      </c>
      <c r="I9" s="1">
        <v>4</v>
      </c>
      <c r="J9" s="1">
        <v>3.282</v>
      </c>
      <c r="K9" s="1">
        <v>0</v>
      </c>
      <c r="L9" s="1">
        <v>0</v>
      </c>
      <c r="M9" s="1">
        <v>0</v>
      </c>
      <c r="N9" s="1">
        <v>0</v>
      </c>
    </row>
    <row r="10" spans="1:14" s="4" customFormat="1" x14ac:dyDescent="0.25">
      <c r="A10" s="1">
        <v>10</v>
      </c>
      <c r="B10" s="57" t="s">
        <v>84</v>
      </c>
      <c r="C10">
        <v>122</v>
      </c>
      <c r="D10" s="21">
        <v>2.9999999999999996</v>
      </c>
      <c r="E10" s="1">
        <v>0</v>
      </c>
      <c r="F10" s="1">
        <v>2.9999999999999996</v>
      </c>
      <c r="G10" s="1">
        <v>2.9999999999999996</v>
      </c>
      <c r="H10" s="1">
        <v>2.9999999999999996</v>
      </c>
      <c r="I10" s="1">
        <v>2.9999999999999996</v>
      </c>
      <c r="J10" s="27">
        <f>J7+0.5</f>
        <v>6.8119999999999994</v>
      </c>
      <c r="K10" s="1">
        <v>0</v>
      </c>
      <c r="L10" s="1">
        <v>0</v>
      </c>
      <c r="M10" s="1">
        <v>0</v>
      </c>
      <c r="N10" s="1">
        <v>0</v>
      </c>
    </row>
    <row r="11" spans="1:14" s="4" customFormat="1" x14ac:dyDescent="0.25">
      <c r="A11" s="1">
        <v>11</v>
      </c>
      <c r="B11" s="57" t="s">
        <v>447</v>
      </c>
      <c r="C11" s="4">
        <v>123</v>
      </c>
      <c r="D11" s="21">
        <v>6.6</v>
      </c>
      <c r="E11" s="1">
        <v>0</v>
      </c>
      <c r="F11" s="1">
        <v>6.6</v>
      </c>
      <c r="G11" s="1">
        <v>6.6</v>
      </c>
      <c r="H11" s="1">
        <v>6.6</v>
      </c>
      <c r="I11" s="1">
        <v>6.6</v>
      </c>
      <c r="J11" s="27">
        <v>6.4290000000000003</v>
      </c>
      <c r="K11" s="27">
        <v>1.65</v>
      </c>
      <c r="L11" s="27">
        <v>1.5</v>
      </c>
      <c r="M11" s="27">
        <v>1.5</v>
      </c>
      <c r="N11" s="27">
        <v>0.8</v>
      </c>
    </row>
    <row r="12" spans="1:14" s="4" customFormat="1" x14ac:dyDescent="0.25">
      <c r="A12" s="1">
        <v>1</v>
      </c>
      <c r="B12" s="57" t="s">
        <v>4</v>
      </c>
      <c r="C12">
        <v>201</v>
      </c>
      <c r="D12" s="21">
        <v>1.5199999999999998</v>
      </c>
      <c r="E12" s="1">
        <v>0</v>
      </c>
      <c r="F12" s="1">
        <v>1.5199999999999998</v>
      </c>
      <c r="G12" s="1">
        <v>1.5199999999999998</v>
      </c>
      <c r="H12" s="1">
        <v>1.5199999999999998</v>
      </c>
      <c r="I12" s="1">
        <v>1.5199999999999998</v>
      </c>
      <c r="J12" s="1">
        <v>7.9920000000000009</v>
      </c>
      <c r="K12" s="1">
        <v>1.5</v>
      </c>
      <c r="L12" s="1">
        <v>1.4000000000000001</v>
      </c>
      <c r="M12" s="1">
        <v>1.5</v>
      </c>
      <c r="N12" s="1">
        <v>1.0999999999999999</v>
      </c>
    </row>
    <row r="13" spans="1:14" s="4" customFormat="1" x14ac:dyDescent="0.25">
      <c r="A13" s="1">
        <v>2</v>
      </c>
      <c r="B13" s="57" t="s">
        <v>444</v>
      </c>
      <c r="C13">
        <v>202</v>
      </c>
      <c r="D13" s="21">
        <v>1.5199999999999998</v>
      </c>
      <c r="E13" s="1">
        <v>0</v>
      </c>
      <c r="F13" s="1">
        <v>1.5199999999999998</v>
      </c>
      <c r="G13" s="1">
        <v>1.5199999999999998</v>
      </c>
      <c r="H13" s="1">
        <v>1.5199999999999998</v>
      </c>
      <c r="I13" s="1">
        <v>1.5199999999999998</v>
      </c>
      <c r="J13" s="1">
        <f>J12+0.5</f>
        <v>8.4920000000000009</v>
      </c>
      <c r="K13" s="1">
        <v>1.5</v>
      </c>
      <c r="L13" s="1">
        <v>1.4000000000000001</v>
      </c>
      <c r="M13" s="1">
        <v>1.5</v>
      </c>
      <c r="N13" s="1">
        <v>1.0999999999999999</v>
      </c>
    </row>
    <row r="14" spans="1:14" s="4" customFormat="1" x14ac:dyDescent="0.25">
      <c r="A14" s="1">
        <v>3</v>
      </c>
      <c r="B14" s="57" t="s">
        <v>445</v>
      </c>
      <c r="C14">
        <v>207</v>
      </c>
      <c r="D14" s="21">
        <v>3.5</v>
      </c>
      <c r="E14" s="1">
        <v>0</v>
      </c>
      <c r="F14" s="1">
        <v>3.5</v>
      </c>
      <c r="G14" s="1">
        <v>3.5</v>
      </c>
      <c r="H14" s="1">
        <v>3.5</v>
      </c>
      <c r="I14" s="1">
        <v>3.5</v>
      </c>
      <c r="J14" s="1">
        <v>12.42</v>
      </c>
      <c r="K14" s="1">
        <v>1</v>
      </c>
      <c r="L14" s="1">
        <v>0.89999999999999991</v>
      </c>
      <c r="M14" s="1">
        <v>2.4</v>
      </c>
      <c r="N14" s="1">
        <v>1.6</v>
      </c>
    </row>
    <row r="15" spans="1:14" s="4" customFormat="1" x14ac:dyDescent="0.25">
      <c r="A15" s="1">
        <v>4</v>
      </c>
      <c r="B15" s="57" t="s">
        <v>80</v>
      </c>
      <c r="C15">
        <v>213</v>
      </c>
      <c r="D15" s="21">
        <v>5.91</v>
      </c>
      <c r="E15" s="1">
        <v>0</v>
      </c>
      <c r="F15" s="1">
        <v>5.91</v>
      </c>
      <c r="G15" s="1">
        <v>5.91</v>
      </c>
      <c r="H15" s="1">
        <v>5.91</v>
      </c>
      <c r="I15" s="1">
        <v>5.91</v>
      </c>
      <c r="J15" s="1">
        <v>12.558</v>
      </c>
      <c r="K15" s="1">
        <v>0.8</v>
      </c>
      <c r="L15" s="1">
        <v>0.70000000000000007</v>
      </c>
      <c r="M15" s="1">
        <v>2.5</v>
      </c>
      <c r="N15" s="1">
        <v>1.7000000000000002</v>
      </c>
    </row>
    <row r="16" spans="1:14" s="4" customFormat="1" x14ac:dyDescent="0.25">
      <c r="A16" s="1">
        <v>5</v>
      </c>
      <c r="B16" s="57" t="s">
        <v>446</v>
      </c>
      <c r="C16">
        <v>215</v>
      </c>
      <c r="D16" s="21">
        <v>2.15</v>
      </c>
      <c r="E16" s="1">
        <v>0</v>
      </c>
      <c r="F16" s="1">
        <v>2.15</v>
      </c>
      <c r="G16" s="1">
        <v>2.15</v>
      </c>
      <c r="H16" s="1">
        <v>2.15</v>
      </c>
      <c r="I16" s="1">
        <v>2.15</v>
      </c>
      <c r="J16" s="58">
        <v>15.665999999999999</v>
      </c>
      <c r="K16" s="27">
        <v>0.70000000000000007</v>
      </c>
      <c r="L16" s="27">
        <v>0.5</v>
      </c>
      <c r="M16" s="27">
        <v>2.8000000000000003</v>
      </c>
      <c r="N16" s="27">
        <v>2.2999999999999998</v>
      </c>
    </row>
    <row r="17" spans="1:14" s="4" customFormat="1" x14ac:dyDescent="0.25">
      <c r="A17" s="1">
        <v>7</v>
      </c>
      <c r="B17" s="57" t="s">
        <v>81</v>
      </c>
      <c r="C17">
        <v>216</v>
      </c>
      <c r="D17" s="21">
        <v>1.55</v>
      </c>
      <c r="E17" s="1">
        <v>0</v>
      </c>
      <c r="F17" s="1">
        <v>1.55</v>
      </c>
      <c r="G17" s="1">
        <v>1.55</v>
      </c>
      <c r="H17" s="1">
        <v>1.55</v>
      </c>
      <c r="I17" s="1">
        <v>1.55</v>
      </c>
      <c r="J17" s="1">
        <v>6.3119999999999994</v>
      </c>
      <c r="K17" s="1">
        <v>1.6</v>
      </c>
      <c r="L17" s="1">
        <v>1.4000000000000001</v>
      </c>
      <c r="M17" s="1">
        <v>1.6</v>
      </c>
      <c r="N17" s="1">
        <v>0.70000000000000007</v>
      </c>
    </row>
    <row r="18" spans="1:14" s="4" customFormat="1" x14ac:dyDescent="0.25">
      <c r="A18" s="1">
        <v>8</v>
      </c>
      <c r="B18" s="57" t="s">
        <v>82</v>
      </c>
      <c r="C18">
        <v>218</v>
      </c>
      <c r="D18" s="21">
        <v>4</v>
      </c>
      <c r="E18" s="1">
        <v>0</v>
      </c>
      <c r="F18" s="1">
        <v>4</v>
      </c>
      <c r="G18" s="1">
        <v>4</v>
      </c>
      <c r="H18" s="1">
        <v>4</v>
      </c>
      <c r="I18" s="1">
        <v>4</v>
      </c>
      <c r="J18" s="1">
        <v>3.6120000000000001</v>
      </c>
      <c r="K18" s="1">
        <v>0</v>
      </c>
      <c r="L18" s="1">
        <v>0</v>
      </c>
      <c r="M18" s="1">
        <v>0</v>
      </c>
      <c r="N18" s="1">
        <v>0</v>
      </c>
    </row>
    <row r="19" spans="1:14" s="4" customFormat="1" x14ac:dyDescent="0.25">
      <c r="A19" s="1">
        <v>9</v>
      </c>
      <c r="B19" s="57" t="s">
        <v>83</v>
      </c>
      <c r="C19">
        <v>221</v>
      </c>
      <c r="D19" s="21">
        <v>4</v>
      </c>
      <c r="E19" s="1">
        <v>0</v>
      </c>
      <c r="F19" s="1">
        <v>4</v>
      </c>
      <c r="G19" s="1">
        <v>4</v>
      </c>
      <c r="H19" s="1">
        <v>4</v>
      </c>
      <c r="I19" s="1">
        <v>4</v>
      </c>
      <c r="J19" s="1">
        <v>3.282</v>
      </c>
      <c r="K19" s="1">
        <v>0</v>
      </c>
      <c r="L19" s="1">
        <v>0</v>
      </c>
      <c r="M19" s="1">
        <v>0</v>
      </c>
      <c r="N19" s="1">
        <v>0</v>
      </c>
    </row>
    <row r="20" spans="1:14" s="4" customFormat="1" x14ac:dyDescent="0.25">
      <c r="A20" s="1">
        <v>10</v>
      </c>
      <c r="B20" s="57" t="s">
        <v>84</v>
      </c>
      <c r="C20">
        <v>222</v>
      </c>
      <c r="D20" s="21">
        <v>2.9999999999999996</v>
      </c>
      <c r="E20" s="1">
        <v>0</v>
      </c>
      <c r="F20" s="1">
        <v>2.9999999999999996</v>
      </c>
      <c r="G20" s="1">
        <v>2.9999999999999996</v>
      </c>
      <c r="H20" s="1">
        <v>2.9999999999999996</v>
      </c>
      <c r="I20" s="1">
        <v>2.9999999999999996</v>
      </c>
      <c r="J20" s="27">
        <f>J17+0.5</f>
        <v>6.8119999999999994</v>
      </c>
      <c r="K20" s="1">
        <v>0</v>
      </c>
      <c r="L20" s="1">
        <v>0</v>
      </c>
      <c r="M20" s="1">
        <v>0</v>
      </c>
      <c r="N20" s="1">
        <v>0</v>
      </c>
    </row>
    <row r="21" spans="1:14" s="4" customFormat="1" x14ac:dyDescent="0.25">
      <c r="A21" s="1">
        <v>11</v>
      </c>
      <c r="B21" s="57" t="s">
        <v>447</v>
      </c>
      <c r="C21" s="4">
        <v>223</v>
      </c>
      <c r="D21" s="21">
        <v>6.6</v>
      </c>
      <c r="E21" s="1">
        <v>0</v>
      </c>
      <c r="F21" s="1">
        <v>6.6</v>
      </c>
      <c r="G21" s="1">
        <v>6.6</v>
      </c>
      <c r="H21" s="1">
        <v>6.6</v>
      </c>
      <c r="I21" s="1">
        <v>6.6</v>
      </c>
      <c r="J21" s="27">
        <v>6.4290000000000003</v>
      </c>
      <c r="K21" s="27">
        <v>1.65</v>
      </c>
      <c r="L21" s="27">
        <v>1.5</v>
      </c>
      <c r="M21" s="27">
        <v>1.5</v>
      </c>
      <c r="N21" s="27">
        <v>0.8</v>
      </c>
    </row>
    <row r="22" spans="1:14" s="4" customFormat="1" x14ac:dyDescent="0.25">
      <c r="A22" s="1">
        <v>1</v>
      </c>
      <c r="B22" s="57" t="s">
        <v>4</v>
      </c>
      <c r="C22">
        <v>301</v>
      </c>
      <c r="D22" s="21">
        <v>1.5199999999999998</v>
      </c>
      <c r="E22" s="1">
        <v>0</v>
      </c>
      <c r="F22" s="1">
        <v>1.5199999999999998</v>
      </c>
      <c r="G22" s="1">
        <v>1.5199999999999998</v>
      </c>
      <c r="H22" s="1">
        <v>1.5199999999999998</v>
      </c>
      <c r="I22" s="1">
        <v>1.5199999999999998</v>
      </c>
      <c r="J22" s="1">
        <v>7.9920000000000009</v>
      </c>
      <c r="K22" s="1">
        <v>1.5</v>
      </c>
      <c r="L22" s="1">
        <v>1.4000000000000001</v>
      </c>
      <c r="M22" s="1">
        <v>1.5</v>
      </c>
      <c r="N22" s="1">
        <v>1.0999999999999999</v>
      </c>
    </row>
    <row r="23" spans="1:14" s="4" customFormat="1" x14ac:dyDescent="0.25">
      <c r="A23" s="1">
        <v>2</v>
      </c>
      <c r="B23" s="57" t="s">
        <v>444</v>
      </c>
      <c r="C23">
        <v>302</v>
      </c>
      <c r="D23" s="21">
        <v>1.5199999999999998</v>
      </c>
      <c r="E23" s="1">
        <v>0</v>
      </c>
      <c r="F23" s="1">
        <v>1.5199999999999998</v>
      </c>
      <c r="G23" s="1">
        <v>1.5199999999999998</v>
      </c>
      <c r="H23" s="1">
        <v>1.5199999999999998</v>
      </c>
      <c r="I23" s="1">
        <v>1.5199999999999998</v>
      </c>
      <c r="J23" s="1">
        <f>J22+0.5</f>
        <v>8.4920000000000009</v>
      </c>
      <c r="K23" s="1">
        <v>1.5</v>
      </c>
      <c r="L23" s="1">
        <v>1.4000000000000001</v>
      </c>
      <c r="M23" s="1">
        <v>1.5</v>
      </c>
      <c r="N23" s="1">
        <v>1.0999999999999999</v>
      </c>
    </row>
    <row r="24" spans="1:14" s="4" customFormat="1" x14ac:dyDescent="0.25">
      <c r="A24" s="1">
        <v>3</v>
      </c>
      <c r="B24" s="57" t="s">
        <v>445</v>
      </c>
      <c r="C24">
        <v>307</v>
      </c>
      <c r="D24" s="21">
        <v>3.5</v>
      </c>
      <c r="E24" s="1">
        <v>0</v>
      </c>
      <c r="F24" s="1">
        <v>3.5</v>
      </c>
      <c r="G24" s="1">
        <v>3.5</v>
      </c>
      <c r="H24" s="1">
        <v>3.5</v>
      </c>
      <c r="I24" s="1">
        <v>3.5</v>
      </c>
      <c r="J24" s="1">
        <v>12.42</v>
      </c>
      <c r="K24" s="1">
        <v>1</v>
      </c>
      <c r="L24" s="1">
        <v>0.89999999999999991</v>
      </c>
      <c r="M24" s="1">
        <v>2.4</v>
      </c>
      <c r="N24" s="1">
        <v>1.6</v>
      </c>
    </row>
    <row r="25" spans="1:14" s="4" customFormat="1" x14ac:dyDescent="0.25">
      <c r="A25" s="1">
        <v>4</v>
      </c>
      <c r="B25" s="57" t="s">
        <v>80</v>
      </c>
      <c r="C25">
        <v>313</v>
      </c>
      <c r="D25" s="21">
        <v>5.91</v>
      </c>
      <c r="E25" s="1">
        <v>0</v>
      </c>
      <c r="F25" s="1">
        <v>5.91</v>
      </c>
      <c r="G25" s="1">
        <v>5.91</v>
      </c>
      <c r="H25" s="1">
        <v>5.91</v>
      </c>
      <c r="I25" s="1">
        <v>5.91</v>
      </c>
      <c r="J25" s="1">
        <v>12.558</v>
      </c>
      <c r="K25" s="1">
        <v>0.8</v>
      </c>
      <c r="L25" s="1">
        <v>0.70000000000000007</v>
      </c>
      <c r="M25" s="1">
        <v>2.5</v>
      </c>
      <c r="N25" s="1">
        <v>1.7000000000000002</v>
      </c>
    </row>
    <row r="26" spans="1:14" s="4" customFormat="1" x14ac:dyDescent="0.25">
      <c r="A26" s="1">
        <v>5</v>
      </c>
      <c r="B26" s="57" t="s">
        <v>446</v>
      </c>
      <c r="C26">
        <v>315</v>
      </c>
      <c r="D26" s="21">
        <v>2.15</v>
      </c>
      <c r="E26" s="1">
        <v>0</v>
      </c>
      <c r="F26" s="1">
        <v>2.15</v>
      </c>
      <c r="G26" s="1">
        <v>2.15</v>
      </c>
      <c r="H26" s="1">
        <v>2.15</v>
      </c>
      <c r="I26" s="1">
        <v>2.15</v>
      </c>
      <c r="J26" s="58">
        <v>15.665999999999999</v>
      </c>
      <c r="K26" s="27">
        <v>0.70000000000000007</v>
      </c>
      <c r="L26" s="27">
        <v>0.5</v>
      </c>
      <c r="M26" s="27">
        <v>2.8000000000000003</v>
      </c>
      <c r="N26" s="27">
        <v>2.2999999999999998</v>
      </c>
    </row>
    <row r="27" spans="1:14" s="4" customFormat="1" x14ac:dyDescent="0.25">
      <c r="A27" s="1">
        <v>7</v>
      </c>
      <c r="B27" s="57" t="s">
        <v>81</v>
      </c>
      <c r="C27">
        <v>316</v>
      </c>
      <c r="D27" s="21">
        <v>1.55</v>
      </c>
      <c r="E27" s="1">
        <v>0</v>
      </c>
      <c r="F27" s="1">
        <v>1.55</v>
      </c>
      <c r="G27" s="1">
        <v>1.55</v>
      </c>
      <c r="H27" s="1">
        <v>1.55</v>
      </c>
      <c r="I27" s="1">
        <v>1.55</v>
      </c>
      <c r="J27" s="1">
        <v>6.3119999999999994</v>
      </c>
      <c r="K27" s="1">
        <v>1.6</v>
      </c>
      <c r="L27" s="1">
        <v>1.4000000000000001</v>
      </c>
      <c r="M27" s="1">
        <v>1.6</v>
      </c>
      <c r="N27" s="1">
        <v>0.70000000000000007</v>
      </c>
    </row>
    <row r="28" spans="1:14" s="4" customFormat="1" x14ac:dyDescent="0.25">
      <c r="A28" s="1">
        <v>8</v>
      </c>
      <c r="B28" s="57" t="s">
        <v>82</v>
      </c>
      <c r="C28">
        <v>318</v>
      </c>
      <c r="D28" s="21">
        <v>4</v>
      </c>
      <c r="E28" s="1">
        <v>0</v>
      </c>
      <c r="F28" s="1">
        <v>4</v>
      </c>
      <c r="G28" s="1">
        <v>4</v>
      </c>
      <c r="H28" s="1">
        <v>4</v>
      </c>
      <c r="I28" s="1">
        <v>4</v>
      </c>
      <c r="J28" s="1">
        <v>3.6120000000000001</v>
      </c>
      <c r="K28" s="1">
        <v>0</v>
      </c>
      <c r="L28" s="1">
        <v>0</v>
      </c>
      <c r="M28" s="1">
        <v>0</v>
      </c>
      <c r="N28" s="1">
        <v>0</v>
      </c>
    </row>
    <row r="29" spans="1:14" s="4" customFormat="1" x14ac:dyDescent="0.25">
      <c r="A29" s="1">
        <v>9</v>
      </c>
      <c r="B29" s="57" t="s">
        <v>83</v>
      </c>
      <c r="C29">
        <v>321</v>
      </c>
      <c r="D29" s="21">
        <v>4</v>
      </c>
      <c r="E29" s="1">
        <v>0</v>
      </c>
      <c r="F29" s="1">
        <v>4</v>
      </c>
      <c r="G29" s="1">
        <v>4</v>
      </c>
      <c r="H29" s="1">
        <v>4</v>
      </c>
      <c r="I29" s="1">
        <v>4</v>
      </c>
      <c r="J29" s="1">
        <v>3.282</v>
      </c>
      <c r="K29" s="1">
        <v>0</v>
      </c>
      <c r="L29" s="1">
        <v>0</v>
      </c>
      <c r="M29" s="1">
        <v>0</v>
      </c>
      <c r="N29" s="1">
        <v>0</v>
      </c>
    </row>
    <row r="30" spans="1:14" s="4" customFormat="1" x14ac:dyDescent="0.25">
      <c r="A30" s="1">
        <v>10</v>
      </c>
      <c r="B30" s="57" t="s">
        <v>84</v>
      </c>
      <c r="C30">
        <v>322</v>
      </c>
      <c r="D30" s="21">
        <v>2.9999999999999996</v>
      </c>
      <c r="E30" s="1">
        <v>0</v>
      </c>
      <c r="F30" s="1">
        <v>2.9999999999999996</v>
      </c>
      <c r="G30" s="1">
        <v>2.9999999999999996</v>
      </c>
      <c r="H30" s="1">
        <v>2.9999999999999996</v>
      </c>
      <c r="I30" s="1">
        <v>2.9999999999999996</v>
      </c>
      <c r="J30" s="27">
        <f>J27+0.5</f>
        <v>6.8119999999999994</v>
      </c>
      <c r="K30" s="1">
        <v>0</v>
      </c>
      <c r="L30" s="1">
        <v>0</v>
      </c>
      <c r="M30" s="1">
        <v>0</v>
      </c>
      <c r="N30" s="1">
        <v>0</v>
      </c>
    </row>
    <row r="31" spans="1:14" s="4" customFormat="1" x14ac:dyDescent="0.25">
      <c r="A31" s="1">
        <v>11</v>
      </c>
      <c r="B31" s="57" t="s">
        <v>447</v>
      </c>
      <c r="C31" s="4">
        <v>323</v>
      </c>
      <c r="D31" s="21">
        <v>6.6</v>
      </c>
      <c r="E31" s="1">
        <v>0</v>
      </c>
      <c r="F31" s="1">
        <v>6.6</v>
      </c>
      <c r="G31" s="1">
        <v>6.6</v>
      </c>
      <c r="H31" s="1">
        <v>6.6</v>
      </c>
      <c r="I31" s="1">
        <v>6.6</v>
      </c>
      <c r="J31" s="27">
        <v>6.4290000000000003</v>
      </c>
      <c r="K31" s="27">
        <v>1.65</v>
      </c>
      <c r="L31" s="27">
        <v>1.5</v>
      </c>
      <c r="M31" s="27">
        <v>1.5</v>
      </c>
      <c r="N31" s="27">
        <v>0.8</v>
      </c>
    </row>
    <row r="32" spans="1:14" x14ac:dyDescent="0.25">
      <c r="A32" s="21"/>
      <c r="B32" s="18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x14ac:dyDescent="0.25">
      <c r="A33" s="21"/>
      <c r="B33" s="18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1:14" x14ac:dyDescent="0.25">
      <c r="A34" s="21"/>
      <c r="B34" s="1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x14ac:dyDescent="0.25">
      <c r="A35" s="21"/>
      <c r="B35" s="18"/>
      <c r="D35" s="21"/>
      <c r="E35" s="21"/>
      <c r="F35" s="21"/>
      <c r="G35" s="21"/>
      <c r="H35" s="21"/>
      <c r="I35" s="21"/>
      <c r="J35" s="51"/>
      <c r="K35" s="21"/>
      <c r="L35" s="21"/>
      <c r="M35" s="21"/>
      <c r="N35" s="21"/>
    </row>
    <row r="36" spans="1:14" x14ac:dyDescent="0.25">
      <c r="A36" s="21"/>
      <c r="B36" s="18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1:14" x14ac:dyDescent="0.25">
      <c r="A37" s="21"/>
      <c r="B37" s="1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4" x14ac:dyDescent="0.25">
      <c r="E38"/>
      <c r="F38"/>
      <c r="G38"/>
      <c r="H38"/>
      <c r="I38"/>
    </row>
    <row r="44" spans="1:14" x14ac:dyDescent="0.25">
      <c r="A44" s="22" t="s">
        <v>278</v>
      </c>
    </row>
    <row r="45" spans="1:14" x14ac:dyDescent="0.25">
      <c r="A45" s="22" t="s">
        <v>420</v>
      </c>
      <c r="E45"/>
      <c r="F45"/>
      <c r="G45"/>
      <c r="H45"/>
      <c r="I45"/>
    </row>
    <row r="46" spans="1:14" x14ac:dyDescent="0.25">
      <c r="A46" s="22" t="s">
        <v>421</v>
      </c>
      <c r="E46"/>
      <c r="F46"/>
      <c r="G46"/>
      <c r="H46"/>
      <c r="I46"/>
    </row>
    <row r="57" spans="6:15" ht="15.6" x14ac:dyDescent="0.4"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6:15" x14ac:dyDescent="0.25">
      <c r="F5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K14"/>
  <sheetViews>
    <sheetView workbookViewId="0">
      <selection activeCell="H6" sqref="H6"/>
    </sheetView>
  </sheetViews>
  <sheetFormatPr defaultColWidth="9" defaultRowHeight="13.8" x14ac:dyDescent="0.25"/>
  <cols>
    <col min="1" max="3" width="9" style="21"/>
    <col min="4" max="4" width="8.6640625" style="21" bestFit="1" customWidth="1"/>
    <col min="5" max="5" width="11.44140625" style="21" bestFit="1" customWidth="1"/>
    <col min="6" max="6" width="14.33203125" style="21" customWidth="1"/>
    <col min="7" max="7" width="9" style="21"/>
    <col min="8" max="8" width="13.21875" style="21" customWidth="1"/>
    <col min="9" max="10" width="14.88671875" style="21" customWidth="1"/>
    <col min="11" max="11" width="14.109375" style="21" customWidth="1"/>
    <col min="12" max="16384" width="9" style="21"/>
  </cols>
  <sheetData>
    <row r="1" spans="1:11" s="19" customFormat="1" ht="55.2" x14ac:dyDescent="0.25">
      <c r="A1" s="19" t="s">
        <v>1</v>
      </c>
      <c r="B1" s="19" t="s">
        <v>2</v>
      </c>
      <c r="C1" s="19" t="s">
        <v>3</v>
      </c>
      <c r="D1" s="19" t="s">
        <v>423</v>
      </c>
      <c r="E1" s="19" t="s">
        <v>424</v>
      </c>
      <c r="F1" s="23" t="s">
        <v>435</v>
      </c>
      <c r="G1" s="19" t="s">
        <v>72</v>
      </c>
      <c r="H1" s="19" t="s">
        <v>76</v>
      </c>
      <c r="I1" s="19" t="s">
        <v>77</v>
      </c>
      <c r="J1" s="28" t="s">
        <v>274</v>
      </c>
      <c r="K1" s="47" t="s">
        <v>434</v>
      </c>
    </row>
    <row r="2" spans="1:11" x14ac:dyDescent="0.25">
      <c r="A2" s="21">
        <v>1</v>
      </c>
      <c r="B2" s="18" t="s">
        <v>5</v>
      </c>
      <c r="C2" s="18">
        <v>105</v>
      </c>
      <c r="D2" s="18">
        <v>0.2</v>
      </c>
      <c r="E2" s="18">
        <v>0</v>
      </c>
      <c r="F2" s="24">
        <v>100000</v>
      </c>
      <c r="G2" s="18">
        <v>25</v>
      </c>
      <c r="H2" s="18">
        <v>0</v>
      </c>
      <c r="I2" s="18">
        <v>1</v>
      </c>
      <c r="J2" s="29">
        <v>50</v>
      </c>
      <c r="K2" s="48">
        <v>0</v>
      </c>
    </row>
    <row r="3" spans="1:11" x14ac:dyDescent="0.25">
      <c r="A3" s="21">
        <v>1</v>
      </c>
      <c r="B3" s="18" t="s">
        <v>5</v>
      </c>
      <c r="C3" s="18">
        <v>207</v>
      </c>
      <c r="D3" s="18">
        <v>0.2</v>
      </c>
      <c r="E3" s="18">
        <v>0</v>
      </c>
      <c r="F3" s="24">
        <v>100000</v>
      </c>
      <c r="G3" s="18">
        <v>25</v>
      </c>
      <c r="H3" s="18">
        <v>0</v>
      </c>
      <c r="I3" s="18">
        <v>1</v>
      </c>
      <c r="J3" s="29">
        <v>50</v>
      </c>
      <c r="K3" s="48">
        <v>0</v>
      </c>
    </row>
    <row r="12" spans="1:11" x14ac:dyDescent="0.25">
      <c r="A12" s="76" t="s">
        <v>279</v>
      </c>
    </row>
    <row r="13" spans="1:11" x14ac:dyDescent="0.25">
      <c r="A13" s="76" t="s">
        <v>464</v>
      </c>
    </row>
    <row r="14" spans="1:11" x14ac:dyDescent="0.25">
      <c r="A14" s="7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R3"/>
  <sheetViews>
    <sheetView workbookViewId="0">
      <selection activeCell="H11" sqref="H11"/>
    </sheetView>
  </sheetViews>
  <sheetFormatPr defaultColWidth="9" defaultRowHeight="13.8" x14ac:dyDescent="0.25"/>
  <cols>
    <col min="1" max="1" width="9.77734375" style="21" customWidth="1"/>
    <col min="2" max="2" width="6.109375" style="21" customWidth="1"/>
    <col min="3" max="3" width="11" style="21" bestFit="1" customWidth="1"/>
    <col min="4" max="4" width="10.88671875" style="21" bestFit="1" customWidth="1"/>
    <col min="5" max="5" width="7.6640625" style="21" bestFit="1" customWidth="1"/>
    <col min="6" max="6" width="8" style="21" bestFit="1" customWidth="1"/>
    <col min="7" max="7" width="9" style="21"/>
    <col min="8" max="8" width="8.88671875" style="21" bestFit="1" customWidth="1"/>
    <col min="9" max="9" width="9" style="21"/>
    <col min="10" max="10" width="10.33203125" style="21" customWidth="1"/>
    <col min="11" max="12" width="8.88671875" style="21" customWidth="1"/>
    <col min="13" max="13" width="12.109375" style="21" customWidth="1"/>
    <col min="14" max="14" width="14.44140625" style="21" customWidth="1"/>
    <col min="15" max="15" width="17.6640625" style="21" customWidth="1"/>
    <col min="16" max="16" width="18.33203125" style="21" customWidth="1"/>
    <col min="17" max="17" width="12.44140625" style="21" customWidth="1"/>
    <col min="18" max="18" width="11.44140625" style="21" customWidth="1"/>
    <col min="19" max="16384" width="9" style="21"/>
  </cols>
  <sheetData>
    <row r="1" spans="1:18" ht="55.2" x14ac:dyDescent="0.25">
      <c r="A1" s="19" t="s">
        <v>1</v>
      </c>
      <c r="B1" s="23" t="s">
        <v>2</v>
      </c>
      <c r="C1" s="23" t="s">
        <v>3</v>
      </c>
      <c r="D1" s="23" t="s">
        <v>423</v>
      </c>
      <c r="E1" s="23" t="s">
        <v>436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 t="s">
        <v>11</v>
      </c>
      <c r="L1" s="23" t="s">
        <v>12</v>
      </c>
      <c r="M1" s="23" t="s">
        <v>437</v>
      </c>
      <c r="N1" s="23" t="s">
        <v>438</v>
      </c>
      <c r="O1" s="23" t="s">
        <v>439</v>
      </c>
      <c r="P1" s="23" t="s">
        <v>440</v>
      </c>
      <c r="Q1" s="21" t="s">
        <v>72</v>
      </c>
      <c r="R1" s="28" t="s">
        <v>274</v>
      </c>
    </row>
    <row r="2" spans="1:18" x14ac:dyDescent="0.25">
      <c r="A2" s="21">
        <v>1</v>
      </c>
      <c r="B2" s="18" t="s">
        <v>13</v>
      </c>
      <c r="C2" s="18">
        <v>105</v>
      </c>
      <c r="D2" s="21">
        <v>0.1</v>
      </c>
      <c r="E2" s="21">
        <v>0.4</v>
      </c>
      <c r="F2" s="55">
        <v>0.05</v>
      </c>
      <c r="G2" s="55">
        <v>0.95</v>
      </c>
      <c r="H2" s="25">
        <v>0.5</v>
      </c>
      <c r="I2" s="25">
        <v>0</v>
      </c>
      <c r="J2" s="18">
        <v>4</v>
      </c>
      <c r="K2" s="55">
        <v>0.95</v>
      </c>
      <c r="L2" s="55">
        <v>0.95</v>
      </c>
      <c r="M2" s="21">
        <v>0.1</v>
      </c>
      <c r="N2" s="51">
        <v>0.1</v>
      </c>
      <c r="O2" s="52">
        <v>21100</v>
      </c>
      <c r="P2" s="52">
        <v>18900</v>
      </c>
      <c r="Q2" s="18">
        <v>15</v>
      </c>
      <c r="R2" s="18">
        <v>0</v>
      </c>
    </row>
    <row r="3" spans="1:18" x14ac:dyDescent="0.25">
      <c r="A3" s="21">
        <v>1</v>
      </c>
      <c r="B3" s="18" t="s">
        <v>13</v>
      </c>
      <c r="C3" s="18">
        <v>207</v>
      </c>
      <c r="D3" s="21">
        <v>0.1</v>
      </c>
      <c r="E3" s="21">
        <v>0.4</v>
      </c>
      <c r="F3" s="55">
        <v>0.05</v>
      </c>
      <c r="G3" s="55">
        <v>0.95</v>
      </c>
      <c r="H3" s="25">
        <v>0.5</v>
      </c>
      <c r="I3" s="25">
        <v>0</v>
      </c>
      <c r="J3" s="18">
        <v>4</v>
      </c>
      <c r="K3" s="55">
        <v>0.95</v>
      </c>
      <c r="L3" s="55">
        <v>0.95</v>
      </c>
      <c r="M3" s="21">
        <v>0.1</v>
      </c>
      <c r="N3" s="51">
        <v>0.1</v>
      </c>
      <c r="O3" s="52">
        <v>21100</v>
      </c>
      <c r="P3" s="52">
        <v>18900</v>
      </c>
      <c r="Q3" s="18">
        <v>15</v>
      </c>
      <c r="R3" s="1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L128"/>
  <sheetViews>
    <sheetView workbookViewId="0">
      <selection activeCell="K5" sqref="K5"/>
    </sheetView>
  </sheetViews>
  <sheetFormatPr defaultColWidth="8.88671875" defaultRowHeight="13.8" x14ac:dyDescent="0.25"/>
  <cols>
    <col min="1" max="1" width="8.88671875" style="1"/>
    <col min="2" max="2" width="6.77734375" style="1" bestFit="1" customWidth="1"/>
    <col min="3" max="3" width="9.44140625" style="1" bestFit="1" customWidth="1"/>
    <col min="4" max="4" width="10.88671875" style="1" bestFit="1" customWidth="1"/>
    <col min="5" max="6" width="8.88671875" style="1"/>
    <col min="7" max="7" width="11.33203125" style="1" bestFit="1" customWidth="1"/>
    <col min="8" max="8" width="22.21875" style="1" customWidth="1"/>
    <col min="9" max="9" width="8.33203125" style="1" bestFit="1" customWidth="1"/>
    <col min="10" max="16384" width="8.88671875" style="1"/>
  </cols>
  <sheetData>
    <row r="1" spans="1:12" x14ac:dyDescent="0.25">
      <c r="A1" s="60" t="s">
        <v>14</v>
      </c>
      <c r="B1" s="60" t="s">
        <v>15</v>
      </c>
      <c r="C1" s="60" t="s">
        <v>16</v>
      </c>
      <c r="D1" s="60" t="s">
        <v>17</v>
      </c>
      <c r="E1" s="60" t="s">
        <v>18</v>
      </c>
      <c r="F1" s="60" t="s">
        <v>19</v>
      </c>
      <c r="G1" s="60" t="s">
        <v>441</v>
      </c>
      <c r="H1" s="60" t="s">
        <v>85</v>
      </c>
      <c r="I1" s="60" t="s">
        <v>72</v>
      </c>
    </row>
    <row r="2" spans="1:12" x14ac:dyDescent="0.25">
      <c r="A2" s="61">
        <v>1</v>
      </c>
      <c r="B2" s="61">
        <v>1</v>
      </c>
      <c r="C2" s="62">
        <v>3</v>
      </c>
      <c r="D2" s="61">
        <v>101</v>
      </c>
      <c r="E2" s="61">
        <v>102</v>
      </c>
      <c r="F2" s="61">
        <v>1.46E-2</v>
      </c>
      <c r="G2" s="1">
        <f>1.225*(0.75/0.7)</f>
        <v>1.3125</v>
      </c>
      <c r="H2" s="61">
        <v>2850.0000000000005</v>
      </c>
      <c r="I2" s="61">
        <v>40</v>
      </c>
    </row>
    <row r="3" spans="1:12" x14ac:dyDescent="0.25">
      <c r="A3" s="61">
        <v>2</v>
      </c>
      <c r="B3" s="61">
        <v>1</v>
      </c>
      <c r="C3" s="62">
        <v>3</v>
      </c>
      <c r="D3" s="61">
        <v>101</v>
      </c>
      <c r="E3" s="61">
        <v>103</v>
      </c>
      <c r="F3" s="61">
        <v>0.2253</v>
      </c>
      <c r="G3" s="1">
        <f>1.225*(0.75/0.7)</f>
        <v>1.3125</v>
      </c>
      <c r="H3" s="61">
        <v>52250</v>
      </c>
      <c r="I3" s="61">
        <v>40</v>
      </c>
    </row>
    <row r="4" spans="1:12" x14ac:dyDescent="0.25">
      <c r="A4" s="73">
        <v>3</v>
      </c>
      <c r="B4" s="73">
        <v>0</v>
      </c>
      <c r="C4" s="74">
        <v>3</v>
      </c>
      <c r="D4" s="73">
        <v>101</v>
      </c>
      <c r="E4" s="73">
        <v>105</v>
      </c>
      <c r="F4" s="73">
        <v>9.0700000000000003E-2</v>
      </c>
      <c r="G4" s="27">
        <v>1</v>
      </c>
      <c r="H4" s="73">
        <v>20900</v>
      </c>
      <c r="I4" s="73">
        <v>40</v>
      </c>
    </row>
    <row r="5" spans="1:12" s="61" customFormat="1" x14ac:dyDescent="0.25">
      <c r="A5" s="61">
        <v>4</v>
      </c>
      <c r="B5" s="61">
        <v>1</v>
      </c>
      <c r="C5" s="62">
        <v>3</v>
      </c>
      <c r="D5" s="61">
        <v>102</v>
      </c>
      <c r="E5" s="61">
        <v>104</v>
      </c>
      <c r="F5" s="61">
        <v>0.1356</v>
      </c>
      <c r="G5" s="1">
        <f>1.225*(0.75/0.7)</f>
        <v>1.3125</v>
      </c>
      <c r="H5" s="61">
        <v>31350.000000000004</v>
      </c>
      <c r="I5" s="61">
        <v>40</v>
      </c>
    </row>
    <row r="6" spans="1:12" x14ac:dyDescent="0.25">
      <c r="A6" s="61">
        <v>5</v>
      </c>
      <c r="B6" s="61">
        <v>1</v>
      </c>
      <c r="C6" s="62">
        <v>3</v>
      </c>
      <c r="D6" s="61">
        <v>102</v>
      </c>
      <c r="E6" s="61">
        <v>106</v>
      </c>
      <c r="F6" s="61">
        <v>0.20499999999999999</v>
      </c>
      <c r="G6" s="1">
        <f>1.225*(0.75/0.7)</f>
        <v>1.3125</v>
      </c>
      <c r="H6" s="61">
        <v>47500</v>
      </c>
      <c r="I6" s="61">
        <v>40</v>
      </c>
    </row>
    <row r="7" spans="1:12" x14ac:dyDescent="0.25">
      <c r="A7" s="61">
        <v>6</v>
      </c>
      <c r="B7" s="61">
        <v>1</v>
      </c>
      <c r="C7" s="62">
        <v>3</v>
      </c>
      <c r="D7" s="61">
        <v>103</v>
      </c>
      <c r="E7" s="61">
        <v>109</v>
      </c>
      <c r="F7" s="61">
        <v>0.12709999999999999</v>
      </c>
      <c r="G7" s="1">
        <f>1.225*(0.75/0.7)</f>
        <v>1.3125</v>
      </c>
      <c r="H7" s="61">
        <v>29450</v>
      </c>
      <c r="I7" s="61">
        <v>40</v>
      </c>
    </row>
    <row r="8" spans="1:12" x14ac:dyDescent="0.25">
      <c r="A8" s="61">
        <v>7</v>
      </c>
      <c r="B8" s="61">
        <v>1</v>
      </c>
      <c r="C8" s="62">
        <v>3</v>
      </c>
      <c r="D8" s="61">
        <v>103</v>
      </c>
      <c r="E8" s="61">
        <v>124</v>
      </c>
      <c r="F8" s="61">
        <v>8.4000000000000005E-2</v>
      </c>
      <c r="G8" s="1">
        <f>2.8*(0.75/0.7)</f>
        <v>2.9999999999999996</v>
      </c>
      <c r="H8" s="61">
        <v>47500</v>
      </c>
      <c r="I8" s="61">
        <v>40</v>
      </c>
    </row>
    <row r="9" spans="1:12" s="61" customFormat="1" x14ac:dyDescent="0.25">
      <c r="A9" s="61">
        <v>8</v>
      </c>
      <c r="B9" s="61">
        <v>1</v>
      </c>
      <c r="C9" s="62">
        <v>3</v>
      </c>
      <c r="D9" s="61">
        <v>104</v>
      </c>
      <c r="E9" s="61">
        <v>109</v>
      </c>
      <c r="F9" s="61">
        <v>0.111</v>
      </c>
      <c r="G9" s="1">
        <f>1.225*(0.75/0.7)</f>
        <v>1.3125</v>
      </c>
      <c r="H9" s="61">
        <v>25650</v>
      </c>
      <c r="I9" s="61">
        <v>40</v>
      </c>
    </row>
    <row r="10" spans="1:12" x14ac:dyDescent="0.25">
      <c r="A10" s="73">
        <v>9</v>
      </c>
      <c r="B10" s="73">
        <v>0</v>
      </c>
      <c r="C10" s="74">
        <v>3</v>
      </c>
      <c r="D10" s="73">
        <v>105</v>
      </c>
      <c r="E10" s="73">
        <v>110</v>
      </c>
      <c r="F10" s="73">
        <v>9.4E-2</v>
      </c>
      <c r="G10" s="27">
        <v>1</v>
      </c>
      <c r="H10" s="73">
        <v>21850</v>
      </c>
      <c r="I10" s="73">
        <v>40</v>
      </c>
    </row>
    <row r="11" spans="1:12" x14ac:dyDescent="0.25">
      <c r="A11" s="61">
        <v>10</v>
      </c>
      <c r="B11" s="61">
        <v>1</v>
      </c>
      <c r="C11" s="62">
        <v>3</v>
      </c>
      <c r="D11" s="61">
        <v>106</v>
      </c>
      <c r="E11" s="61">
        <v>110</v>
      </c>
      <c r="F11" s="61">
        <v>6.4199999999999993E-2</v>
      </c>
      <c r="G11" s="1">
        <f>1.225*(0.75/0.7)</f>
        <v>1.3125</v>
      </c>
      <c r="H11" s="61">
        <v>15200</v>
      </c>
      <c r="I11" s="61">
        <v>40</v>
      </c>
    </row>
    <row r="12" spans="1:12" s="49" customFormat="1" x14ac:dyDescent="0.25">
      <c r="A12" s="61">
        <v>11</v>
      </c>
      <c r="B12" s="63">
        <v>1</v>
      </c>
      <c r="C12" s="63">
        <v>3</v>
      </c>
      <c r="D12" s="63">
        <v>107</v>
      </c>
      <c r="E12" s="63">
        <v>108</v>
      </c>
      <c r="F12" s="64">
        <v>6.5199999999999994E-2</v>
      </c>
      <c r="G12" s="1">
        <f>2.45*(0.75/0.7)</f>
        <v>2.625</v>
      </c>
      <c r="H12" s="65">
        <v>30400</v>
      </c>
      <c r="I12" s="63">
        <v>40</v>
      </c>
      <c r="K12" s="1"/>
      <c r="L12" s="1"/>
    </row>
    <row r="13" spans="1:12" x14ac:dyDescent="0.25">
      <c r="A13" s="61">
        <v>12</v>
      </c>
      <c r="B13" s="61">
        <v>1</v>
      </c>
      <c r="C13" s="62">
        <v>3</v>
      </c>
      <c r="D13" s="61">
        <v>108</v>
      </c>
      <c r="E13" s="61">
        <v>109</v>
      </c>
      <c r="F13" s="61">
        <v>0.1762</v>
      </c>
      <c r="G13" s="1">
        <f>1.225*(0.75/0.7)</f>
        <v>1.3125</v>
      </c>
      <c r="H13" s="61">
        <v>40850</v>
      </c>
      <c r="I13" s="61">
        <v>40</v>
      </c>
    </row>
    <row r="14" spans="1:12" x14ac:dyDescent="0.25">
      <c r="A14" s="61">
        <v>13</v>
      </c>
      <c r="B14" s="61">
        <v>1</v>
      </c>
      <c r="C14" s="62">
        <v>3</v>
      </c>
      <c r="D14" s="61">
        <v>108</v>
      </c>
      <c r="E14" s="61">
        <v>110</v>
      </c>
      <c r="F14" s="61">
        <v>0.1762</v>
      </c>
      <c r="G14" s="1">
        <f>1.225*(0.75/0.7)</f>
        <v>1.3125</v>
      </c>
      <c r="H14" s="61">
        <v>40850</v>
      </c>
      <c r="I14" s="61">
        <v>40</v>
      </c>
    </row>
    <row r="15" spans="1:12" x14ac:dyDescent="0.25">
      <c r="A15" s="61">
        <v>14</v>
      </c>
      <c r="B15" s="61">
        <v>1</v>
      </c>
      <c r="C15" s="62">
        <v>3</v>
      </c>
      <c r="D15" s="61">
        <v>109</v>
      </c>
      <c r="E15" s="61">
        <v>111</v>
      </c>
      <c r="F15" s="61">
        <v>8.4000000000000005E-2</v>
      </c>
      <c r="G15" s="1">
        <f>2.8*(0.75/0.7)</f>
        <v>2.9999999999999996</v>
      </c>
      <c r="H15" s="61">
        <v>47500</v>
      </c>
      <c r="I15" s="61">
        <v>40</v>
      </c>
    </row>
    <row r="16" spans="1:12" x14ac:dyDescent="0.25">
      <c r="A16" s="61">
        <v>15</v>
      </c>
      <c r="B16" s="61">
        <v>1</v>
      </c>
      <c r="C16" s="62">
        <v>3</v>
      </c>
      <c r="D16" s="61">
        <v>109</v>
      </c>
      <c r="E16" s="61">
        <v>112</v>
      </c>
      <c r="F16" s="61">
        <v>8.4000000000000005E-2</v>
      </c>
      <c r="G16" s="1">
        <f>2.8*(0.75/0.7)</f>
        <v>2.9999999999999996</v>
      </c>
      <c r="H16" s="61">
        <v>47500</v>
      </c>
      <c r="I16" s="61">
        <v>40</v>
      </c>
    </row>
    <row r="17" spans="1:9" x14ac:dyDescent="0.25">
      <c r="A17" s="61">
        <v>16</v>
      </c>
      <c r="B17" s="61">
        <v>1</v>
      </c>
      <c r="C17" s="62">
        <v>3</v>
      </c>
      <c r="D17" s="61">
        <v>110</v>
      </c>
      <c r="E17" s="61">
        <v>111</v>
      </c>
      <c r="F17" s="61">
        <v>8.4000000000000005E-2</v>
      </c>
      <c r="G17" s="1">
        <f>2.8*(0.75/0.7)</f>
        <v>2.9999999999999996</v>
      </c>
      <c r="H17" s="61">
        <v>47500</v>
      </c>
      <c r="I17" s="61">
        <v>40</v>
      </c>
    </row>
    <row r="18" spans="1:9" x14ac:dyDescent="0.25">
      <c r="A18" s="61">
        <v>17</v>
      </c>
      <c r="B18" s="61">
        <v>1</v>
      </c>
      <c r="C18" s="62">
        <v>3</v>
      </c>
      <c r="D18" s="61">
        <v>110</v>
      </c>
      <c r="E18" s="61">
        <v>112</v>
      </c>
      <c r="F18" s="61">
        <v>8.4000000000000005E-2</v>
      </c>
      <c r="G18" s="1">
        <f>2.8*(0.75/0.7)</f>
        <v>2.9999999999999996</v>
      </c>
      <c r="H18" s="61">
        <v>47500</v>
      </c>
      <c r="I18" s="61">
        <v>40</v>
      </c>
    </row>
    <row r="19" spans="1:9" x14ac:dyDescent="0.25">
      <c r="A19" s="61">
        <v>18</v>
      </c>
      <c r="B19" s="61">
        <v>1</v>
      </c>
      <c r="C19" s="62">
        <v>3</v>
      </c>
      <c r="D19" s="61">
        <v>111</v>
      </c>
      <c r="E19" s="61">
        <v>113</v>
      </c>
      <c r="F19" s="61">
        <v>4.8800000000000003E-2</v>
      </c>
      <c r="G19" s="1">
        <f t="shared" ref="G19:G25" si="0">3.5*(0.75/0.7)</f>
        <v>3.75</v>
      </c>
      <c r="H19" s="61">
        <v>31350.000000000004</v>
      </c>
      <c r="I19" s="61">
        <v>40</v>
      </c>
    </row>
    <row r="20" spans="1:9" x14ac:dyDescent="0.25">
      <c r="A20" s="61">
        <v>19</v>
      </c>
      <c r="B20" s="61">
        <v>1</v>
      </c>
      <c r="C20" s="62">
        <v>3</v>
      </c>
      <c r="D20" s="61">
        <v>111</v>
      </c>
      <c r="E20" s="61">
        <v>114</v>
      </c>
      <c r="F20" s="61">
        <v>4.2599999999999999E-2</v>
      </c>
      <c r="G20" s="1">
        <f t="shared" si="0"/>
        <v>3.75</v>
      </c>
      <c r="H20" s="61">
        <v>27550</v>
      </c>
      <c r="I20" s="61">
        <v>40</v>
      </c>
    </row>
    <row r="21" spans="1:9" x14ac:dyDescent="0.25">
      <c r="A21" s="61">
        <v>20</v>
      </c>
      <c r="B21" s="61">
        <v>1</v>
      </c>
      <c r="C21" s="62">
        <v>3</v>
      </c>
      <c r="D21" s="61">
        <v>112</v>
      </c>
      <c r="E21" s="61">
        <v>113</v>
      </c>
      <c r="F21" s="61">
        <v>4.8800000000000003E-2</v>
      </c>
      <c r="G21" s="1">
        <f t="shared" si="0"/>
        <v>3.75</v>
      </c>
      <c r="H21" s="61">
        <v>31350.000000000004</v>
      </c>
      <c r="I21" s="61">
        <v>40</v>
      </c>
    </row>
    <row r="22" spans="1:9" x14ac:dyDescent="0.25">
      <c r="A22" s="61">
        <v>21</v>
      </c>
      <c r="B22" s="61">
        <v>1</v>
      </c>
      <c r="C22" s="62">
        <v>3</v>
      </c>
      <c r="D22" s="61">
        <v>112</v>
      </c>
      <c r="E22" s="61">
        <v>123</v>
      </c>
      <c r="F22" s="61">
        <v>9.8500000000000004E-2</v>
      </c>
      <c r="G22" s="1">
        <f t="shared" si="0"/>
        <v>3.75</v>
      </c>
      <c r="H22" s="61">
        <v>63650</v>
      </c>
      <c r="I22" s="61">
        <v>40</v>
      </c>
    </row>
    <row r="23" spans="1:9" x14ac:dyDescent="0.25">
      <c r="A23" s="61">
        <v>22</v>
      </c>
      <c r="B23" s="61">
        <v>1</v>
      </c>
      <c r="C23" s="62">
        <v>3</v>
      </c>
      <c r="D23" s="61">
        <v>113</v>
      </c>
      <c r="E23" s="61">
        <v>123</v>
      </c>
      <c r="F23" s="61">
        <v>8.8400000000000006E-2</v>
      </c>
      <c r="G23" s="27">
        <f>(3.5*(0.75/0.7))*0.8</f>
        <v>3</v>
      </c>
      <c r="H23" s="61">
        <v>57000</v>
      </c>
      <c r="I23" s="61">
        <v>40</v>
      </c>
    </row>
    <row r="24" spans="1:9" x14ac:dyDescent="0.25">
      <c r="A24" s="61">
        <v>23</v>
      </c>
      <c r="B24" s="61">
        <v>1</v>
      </c>
      <c r="C24" s="62">
        <v>3</v>
      </c>
      <c r="D24" s="61">
        <v>114</v>
      </c>
      <c r="E24" s="61">
        <v>116</v>
      </c>
      <c r="F24" s="61">
        <v>5.9400000000000001E-2</v>
      </c>
      <c r="G24" s="27">
        <v>1.875</v>
      </c>
      <c r="H24" s="61">
        <v>25650</v>
      </c>
      <c r="I24" s="61">
        <v>40</v>
      </c>
    </row>
    <row r="25" spans="1:9" x14ac:dyDescent="0.25">
      <c r="A25" s="61">
        <v>24</v>
      </c>
      <c r="B25" s="61">
        <v>1</v>
      </c>
      <c r="C25" s="62">
        <v>3</v>
      </c>
      <c r="D25" s="61">
        <v>115</v>
      </c>
      <c r="E25" s="61">
        <v>116</v>
      </c>
      <c r="F25" s="61">
        <v>1.72E-2</v>
      </c>
      <c r="G25" s="1">
        <f t="shared" si="0"/>
        <v>3.75</v>
      </c>
      <c r="H25" s="61">
        <v>11400.000000000002</v>
      </c>
      <c r="I25" s="61">
        <v>40</v>
      </c>
    </row>
    <row r="26" spans="1:9" x14ac:dyDescent="0.25">
      <c r="A26" s="61">
        <v>25</v>
      </c>
      <c r="B26" s="61">
        <v>1</v>
      </c>
      <c r="C26" s="62">
        <v>3</v>
      </c>
      <c r="D26" s="61">
        <v>115</v>
      </c>
      <c r="E26" s="61">
        <v>121</v>
      </c>
      <c r="F26" s="61">
        <v>2.4899999999999999E-2</v>
      </c>
      <c r="G26" s="1">
        <f>7*(0.75/0.7)</f>
        <v>7.5</v>
      </c>
      <c r="H26" s="61">
        <v>32300</v>
      </c>
      <c r="I26" s="61">
        <v>40</v>
      </c>
    </row>
    <row r="27" spans="1:9" x14ac:dyDescent="0.25">
      <c r="A27" s="61">
        <v>26</v>
      </c>
      <c r="B27" s="61">
        <v>1</v>
      </c>
      <c r="C27" s="62">
        <v>3</v>
      </c>
      <c r="D27" s="61">
        <v>115</v>
      </c>
      <c r="E27" s="61">
        <v>124</v>
      </c>
      <c r="F27" s="61">
        <v>5.2900000000000003E-2</v>
      </c>
      <c r="G27" s="1">
        <f>3.5*(0.75/0.7)</f>
        <v>3.75</v>
      </c>
      <c r="H27" s="61">
        <v>17100</v>
      </c>
      <c r="I27" s="61">
        <v>40</v>
      </c>
    </row>
    <row r="28" spans="1:9" x14ac:dyDescent="0.25">
      <c r="A28" s="61">
        <v>27</v>
      </c>
      <c r="B28" s="61">
        <v>1</v>
      </c>
      <c r="C28" s="62">
        <v>3</v>
      </c>
      <c r="D28" s="61">
        <v>116</v>
      </c>
      <c r="E28" s="61">
        <v>117</v>
      </c>
      <c r="F28" s="61">
        <v>2.63E-2</v>
      </c>
      <c r="G28" s="1">
        <f>3.5*(0.75/0.7)</f>
        <v>3.75</v>
      </c>
      <c r="H28" s="61">
        <v>15200</v>
      </c>
      <c r="I28" s="61">
        <v>40</v>
      </c>
    </row>
    <row r="29" spans="1:9" x14ac:dyDescent="0.25">
      <c r="A29" s="61">
        <v>28</v>
      </c>
      <c r="B29" s="61">
        <v>1</v>
      </c>
      <c r="C29" s="62">
        <v>3</v>
      </c>
      <c r="D29" s="61">
        <v>116</v>
      </c>
      <c r="E29" s="61">
        <v>119</v>
      </c>
      <c r="F29" s="61">
        <v>2.3400000000000001E-2</v>
      </c>
      <c r="G29" s="1">
        <f>3.5*(0.75/0.7)</f>
        <v>3.75</v>
      </c>
      <c r="H29" s="61">
        <v>9500</v>
      </c>
      <c r="I29" s="61">
        <v>40</v>
      </c>
    </row>
    <row r="30" spans="1:9" x14ac:dyDescent="0.25">
      <c r="A30" s="61">
        <v>29</v>
      </c>
      <c r="B30" s="61">
        <v>1</v>
      </c>
      <c r="C30" s="62">
        <v>3</v>
      </c>
      <c r="D30" s="61">
        <v>117</v>
      </c>
      <c r="E30" s="61">
        <v>118</v>
      </c>
      <c r="F30" s="61">
        <v>1.43E-2</v>
      </c>
      <c r="G30" s="1">
        <f>3.5*(0.75/0.7)</f>
        <v>3.75</v>
      </c>
      <c r="H30" s="61">
        <v>69350</v>
      </c>
      <c r="I30" s="61">
        <v>40</v>
      </c>
    </row>
    <row r="31" spans="1:9" x14ac:dyDescent="0.25">
      <c r="A31" s="61">
        <v>30</v>
      </c>
      <c r="B31" s="61">
        <v>1</v>
      </c>
      <c r="C31" s="61">
        <v>3</v>
      </c>
      <c r="D31" s="61">
        <v>117</v>
      </c>
      <c r="E31" s="61">
        <v>122</v>
      </c>
      <c r="F31" s="61">
        <v>0.1069</v>
      </c>
      <c r="G31" s="1">
        <f>3.5*(0.75/0.7)</f>
        <v>3.75</v>
      </c>
      <c r="H31" s="61">
        <v>17100</v>
      </c>
      <c r="I31" s="61">
        <v>40</v>
      </c>
    </row>
    <row r="32" spans="1:9" x14ac:dyDescent="0.25">
      <c r="A32" s="61">
        <v>31</v>
      </c>
      <c r="B32" s="61">
        <v>1</v>
      </c>
      <c r="C32" s="61">
        <v>3</v>
      </c>
      <c r="D32" s="61">
        <v>118</v>
      </c>
      <c r="E32" s="61">
        <v>121</v>
      </c>
      <c r="F32" s="61">
        <v>1.32E-2</v>
      </c>
      <c r="G32" s="1">
        <f>7*(0.75/0.7)</f>
        <v>7.5</v>
      </c>
      <c r="H32" s="61">
        <v>26125</v>
      </c>
      <c r="I32" s="61">
        <v>40</v>
      </c>
    </row>
    <row r="33" spans="1:12" x14ac:dyDescent="0.25">
      <c r="A33" s="61">
        <v>32</v>
      </c>
      <c r="B33" s="61">
        <v>1</v>
      </c>
      <c r="C33" s="61">
        <v>3</v>
      </c>
      <c r="D33" s="61">
        <v>119</v>
      </c>
      <c r="E33" s="61">
        <v>120</v>
      </c>
      <c r="F33" s="61">
        <v>2.0299999999999999E-2</v>
      </c>
      <c r="G33" s="1">
        <f>7*(0.75/0.7)</f>
        <v>7.5</v>
      </c>
      <c r="H33" s="61">
        <v>44650</v>
      </c>
      <c r="I33" s="61">
        <v>40</v>
      </c>
    </row>
    <row r="34" spans="1:12" x14ac:dyDescent="0.25">
      <c r="A34" s="61">
        <v>33</v>
      </c>
      <c r="B34" s="61">
        <v>1</v>
      </c>
      <c r="C34" s="61">
        <v>3</v>
      </c>
      <c r="D34" s="61">
        <v>120</v>
      </c>
      <c r="E34" s="61">
        <v>123</v>
      </c>
      <c r="F34" s="61">
        <v>1.12E-2</v>
      </c>
      <c r="G34" s="1">
        <f>7*(0.75/0.7)</f>
        <v>7.5</v>
      </c>
      <c r="H34" s="61">
        <v>31349.999999999996</v>
      </c>
      <c r="I34" s="61">
        <v>40</v>
      </c>
    </row>
    <row r="35" spans="1:12" x14ac:dyDescent="0.25">
      <c r="A35" s="61">
        <v>34</v>
      </c>
      <c r="B35" s="61">
        <v>1</v>
      </c>
      <c r="C35" s="61">
        <v>3</v>
      </c>
      <c r="D35" s="61">
        <v>121</v>
      </c>
      <c r="E35" s="61">
        <v>122</v>
      </c>
      <c r="F35" s="61">
        <v>6.9199999999999998E-2</v>
      </c>
      <c r="G35" s="1">
        <f>3.5*(0.75/0.7)</f>
        <v>3.75</v>
      </c>
      <c r="H35" s="61">
        <v>29450</v>
      </c>
      <c r="I35" s="61">
        <v>40</v>
      </c>
    </row>
    <row r="36" spans="1:12" x14ac:dyDescent="0.25">
      <c r="A36" s="61">
        <v>35</v>
      </c>
      <c r="B36" s="61">
        <v>1</v>
      </c>
      <c r="C36" s="62">
        <v>3</v>
      </c>
      <c r="D36" s="61">
        <v>201</v>
      </c>
      <c r="E36" s="61">
        <v>202</v>
      </c>
      <c r="F36" s="61">
        <v>1.46E-2</v>
      </c>
      <c r="G36" s="1">
        <f>1.225*(0.75/0.7)</f>
        <v>1.3125</v>
      </c>
      <c r="H36" s="61">
        <v>2850.0000000000005</v>
      </c>
      <c r="I36" s="61">
        <v>40</v>
      </c>
    </row>
    <row r="37" spans="1:12" x14ac:dyDescent="0.25">
      <c r="A37" s="61">
        <v>36</v>
      </c>
      <c r="B37" s="61">
        <v>1</v>
      </c>
      <c r="C37" s="62">
        <v>3</v>
      </c>
      <c r="D37" s="61">
        <v>201</v>
      </c>
      <c r="E37" s="61">
        <v>203</v>
      </c>
      <c r="F37" s="61">
        <v>0.2253</v>
      </c>
      <c r="G37" s="1">
        <f>1.225*(0.75/0.7)</f>
        <v>1.3125</v>
      </c>
      <c r="H37" s="61">
        <v>52250</v>
      </c>
      <c r="I37" s="61">
        <v>40</v>
      </c>
    </row>
    <row r="38" spans="1:12" x14ac:dyDescent="0.25">
      <c r="A38" s="73">
        <v>37</v>
      </c>
      <c r="B38" s="73">
        <v>1</v>
      </c>
      <c r="C38" s="74">
        <v>3</v>
      </c>
      <c r="D38" s="73">
        <v>201</v>
      </c>
      <c r="E38" s="73">
        <v>205</v>
      </c>
      <c r="F38" s="73">
        <v>9.0700000000000003E-2</v>
      </c>
      <c r="G38" s="27">
        <v>1.5</v>
      </c>
      <c r="H38" s="73">
        <v>20900</v>
      </c>
      <c r="I38" s="73">
        <v>40</v>
      </c>
    </row>
    <row r="39" spans="1:12" s="61" customFormat="1" x14ac:dyDescent="0.25">
      <c r="A39" s="61">
        <v>38</v>
      </c>
      <c r="B39" s="61">
        <v>1</v>
      </c>
      <c r="C39" s="62">
        <v>3</v>
      </c>
      <c r="D39" s="61">
        <v>202</v>
      </c>
      <c r="E39" s="61">
        <v>204</v>
      </c>
      <c r="F39" s="61">
        <v>0.1356</v>
      </c>
      <c r="G39" s="1">
        <f>1.225*(0.75/0.7)</f>
        <v>1.3125</v>
      </c>
      <c r="H39" s="61">
        <v>31350.000000000004</v>
      </c>
      <c r="I39" s="61">
        <v>40</v>
      </c>
    </row>
    <row r="40" spans="1:12" s="27" customFormat="1" x14ac:dyDescent="0.25">
      <c r="A40" s="61">
        <v>39</v>
      </c>
      <c r="B40" s="61">
        <v>1</v>
      </c>
      <c r="C40" s="62">
        <v>3</v>
      </c>
      <c r="D40" s="61">
        <v>202</v>
      </c>
      <c r="E40" s="61">
        <v>206</v>
      </c>
      <c r="F40" s="61">
        <v>0.20499999999999999</v>
      </c>
      <c r="G40" s="1">
        <f>1.225*(0.75/0.7)</f>
        <v>1.3125</v>
      </c>
      <c r="H40" s="61">
        <v>47500</v>
      </c>
      <c r="I40" s="61">
        <v>40</v>
      </c>
      <c r="K40" s="1"/>
      <c r="L40" s="1"/>
    </row>
    <row r="41" spans="1:12" s="27" customFormat="1" x14ac:dyDescent="0.25">
      <c r="A41" s="61">
        <v>40</v>
      </c>
      <c r="B41" s="61">
        <v>1</v>
      </c>
      <c r="C41" s="62">
        <v>3</v>
      </c>
      <c r="D41" s="61">
        <v>203</v>
      </c>
      <c r="E41" s="61">
        <v>209</v>
      </c>
      <c r="F41" s="61">
        <v>0.12709999999999999</v>
      </c>
      <c r="G41" s="1">
        <f>1.225*(0.75/0.7)</f>
        <v>1.3125</v>
      </c>
      <c r="H41" s="61">
        <v>29450</v>
      </c>
      <c r="I41" s="61">
        <v>40</v>
      </c>
      <c r="K41" s="1"/>
      <c r="L41" s="1"/>
    </row>
    <row r="42" spans="1:12" s="27" customFormat="1" x14ac:dyDescent="0.25">
      <c r="A42" s="61">
        <v>41</v>
      </c>
      <c r="B42" s="61">
        <v>1</v>
      </c>
      <c r="C42" s="62">
        <v>3</v>
      </c>
      <c r="D42" s="61">
        <v>203</v>
      </c>
      <c r="E42" s="61">
        <v>224</v>
      </c>
      <c r="F42" s="61">
        <v>8.4000000000000005E-2</v>
      </c>
      <c r="G42" s="1">
        <f>2.8*(0.75/0.7)</f>
        <v>2.9999999999999996</v>
      </c>
      <c r="H42" s="61">
        <v>47500</v>
      </c>
      <c r="I42" s="61">
        <v>40</v>
      </c>
      <c r="K42" s="1"/>
      <c r="L42" s="1"/>
    </row>
    <row r="43" spans="1:12" s="65" customFormat="1" x14ac:dyDescent="0.25">
      <c r="A43" s="61">
        <v>42</v>
      </c>
      <c r="B43" s="61">
        <v>1</v>
      </c>
      <c r="C43" s="62">
        <v>3</v>
      </c>
      <c r="D43" s="61">
        <v>204</v>
      </c>
      <c r="E43" s="61">
        <v>209</v>
      </c>
      <c r="F43" s="61">
        <v>0.111</v>
      </c>
      <c r="G43" s="1">
        <f>1.225*(0.75/0.7)</f>
        <v>1.3125</v>
      </c>
      <c r="H43" s="61">
        <v>25650</v>
      </c>
      <c r="I43" s="61">
        <v>40</v>
      </c>
      <c r="K43" s="61"/>
      <c r="L43" s="61"/>
    </row>
    <row r="44" spans="1:12" s="27" customFormat="1" x14ac:dyDescent="0.25">
      <c r="A44" s="73">
        <v>43</v>
      </c>
      <c r="B44" s="73">
        <v>1</v>
      </c>
      <c r="C44" s="74">
        <v>3</v>
      </c>
      <c r="D44" s="73">
        <v>205</v>
      </c>
      <c r="E44" s="73">
        <v>210</v>
      </c>
      <c r="F44" s="73">
        <v>9.4E-2</v>
      </c>
      <c r="G44" s="27">
        <v>1.5</v>
      </c>
      <c r="H44" s="73">
        <v>21850</v>
      </c>
      <c r="I44" s="73">
        <v>40</v>
      </c>
      <c r="K44" s="1"/>
      <c r="L44" s="1"/>
    </row>
    <row r="45" spans="1:12" x14ac:dyDescent="0.25">
      <c r="A45" s="61">
        <v>44</v>
      </c>
      <c r="B45" s="61">
        <v>1</v>
      </c>
      <c r="C45" s="62">
        <v>3</v>
      </c>
      <c r="D45" s="61">
        <v>206</v>
      </c>
      <c r="E45" s="61">
        <v>210</v>
      </c>
      <c r="F45" s="61">
        <v>6.4199999999999993E-2</v>
      </c>
      <c r="G45" s="1">
        <f>1.225*(0.75/0.7)</f>
        <v>1.3125</v>
      </c>
      <c r="H45" s="61">
        <v>15200</v>
      </c>
      <c r="I45" s="61">
        <v>40</v>
      </c>
    </row>
    <row r="46" spans="1:12" x14ac:dyDescent="0.25">
      <c r="A46" s="61">
        <v>45</v>
      </c>
      <c r="B46" s="63">
        <v>1</v>
      </c>
      <c r="C46" s="63">
        <v>3</v>
      </c>
      <c r="D46" s="63">
        <v>207</v>
      </c>
      <c r="E46" s="63">
        <v>208</v>
      </c>
      <c r="F46" s="64">
        <v>6.5199999999999994E-2</v>
      </c>
      <c r="G46" s="27">
        <v>1</v>
      </c>
      <c r="H46" s="65">
        <v>30400</v>
      </c>
      <c r="I46" s="63">
        <v>40</v>
      </c>
    </row>
    <row r="47" spans="1:12" x14ac:dyDescent="0.25">
      <c r="A47" s="61">
        <v>46</v>
      </c>
      <c r="B47" s="61">
        <v>1</v>
      </c>
      <c r="C47" s="62">
        <v>3</v>
      </c>
      <c r="D47" s="61">
        <v>208</v>
      </c>
      <c r="E47" s="61">
        <v>209</v>
      </c>
      <c r="F47" s="61">
        <v>0.1762</v>
      </c>
      <c r="G47" s="1">
        <f>1.225*(0.75/0.7)</f>
        <v>1.3125</v>
      </c>
      <c r="H47" s="61">
        <v>40850</v>
      </c>
      <c r="I47" s="61">
        <v>40</v>
      </c>
    </row>
    <row r="48" spans="1:12" x14ac:dyDescent="0.25">
      <c r="A48" s="61">
        <v>47</v>
      </c>
      <c r="B48" s="61">
        <v>1</v>
      </c>
      <c r="C48" s="62">
        <v>3</v>
      </c>
      <c r="D48" s="61">
        <v>208</v>
      </c>
      <c r="E48" s="61">
        <v>210</v>
      </c>
      <c r="F48" s="61">
        <v>0.1762</v>
      </c>
      <c r="G48" s="1">
        <f>1.225*(0.75/0.7)</f>
        <v>1.3125</v>
      </c>
      <c r="H48" s="61">
        <v>40850</v>
      </c>
      <c r="I48" s="61">
        <v>40</v>
      </c>
    </row>
    <row r="49" spans="1:9" x14ac:dyDescent="0.25">
      <c r="A49" s="61">
        <v>48</v>
      </c>
      <c r="B49" s="61">
        <v>1</v>
      </c>
      <c r="C49" s="62">
        <v>3</v>
      </c>
      <c r="D49" s="61">
        <v>209</v>
      </c>
      <c r="E49" s="61">
        <v>211</v>
      </c>
      <c r="F49" s="61">
        <v>8.4000000000000005E-2</v>
      </c>
      <c r="G49" s="1">
        <f>2.8*(0.75/0.7)</f>
        <v>2.9999999999999996</v>
      </c>
      <c r="H49" s="61">
        <v>47500</v>
      </c>
      <c r="I49" s="61">
        <v>40</v>
      </c>
    </row>
    <row r="50" spans="1:9" x14ac:dyDescent="0.25">
      <c r="A50" s="61">
        <v>49</v>
      </c>
      <c r="B50" s="61">
        <v>1</v>
      </c>
      <c r="C50" s="62">
        <v>3</v>
      </c>
      <c r="D50" s="61">
        <v>209</v>
      </c>
      <c r="E50" s="61">
        <v>212</v>
      </c>
      <c r="F50" s="61">
        <v>8.4000000000000005E-2</v>
      </c>
      <c r="G50" s="1">
        <f>2.8*(0.75/0.7)</f>
        <v>2.9999999999999996</v>
      </c>
      <c r="H50" s="61">
        <v>47500</v>
      </c>
      <c r="I50" s="61">
        <v>40</v>
      </c>
    </row>
    <row r="51" spans="1:9" x14ac:dyDescent="0.25">
      <c r="A51" s="61">
        <v>50</v>
      </c>
      <c r="B51" s="61">
        <v>1</v>
      </c>
      <c r="C51" s="62">
        <v>3</v>
      </c>
      <c r="D51" s="61">
        <v>210</v>
      </c>
      <c r="E51" s="61">
        <v>211</v>
      </c>
      <c r="F51" s="61">
        <v>8.4000000000000005E-2</v>
      </c>
      <c r="G51" s="1">
        <f>2.8*(0.75/0.7)</f>
        <v>2.9999999999999996</v>
      </c>
      <c r="H51" s="61">
        <v>47500</v>
      </c>
      <c r="I51" s="61">
        <v>40</v>
      </c>
    </row>
    <row r="52" spans="1:9" x14ac:dyDescent="0.25">
      <c r="A52" s="61">
        <v>51</v>
      </c>
      <c r="B52" s="61">
        <v>1</v>
      </c>
      <c r="C52" s="62">
        <v>3</v>
      </c>
      <c r="D52" s="61">
        <v>210</v>
      </c>
      <c r="E52" s="61">
        <v>212</v>
      </c>
      <c r="F52" s="61">
        <v>8.4000000000000005E-2</v>
      </c>
      <c r="G52" s="1">
        <f>2.8*(0.75/0.7)</f>
        <v>2.9999999999999996</v>
      </c>
      <c r="H52" s="61">
        <v>47500</v>
      </c>
      <c r="I52" s="61">
        <v>40</v>
      </c>
    </row>
    <row r="53" spans="1:9" x14ac:dyDescent="0.25">
      <c r="A53" s="61">
        <v>52</v>
      </c>
      <c r="B53" s="61">
        <v>1</v>
      </c>
      <c r="C53" s="62">
        <v>3</v>
      </c>
      <c r="D53" s="61">
        <v>211</v>
      </c>
      <c r="E53" s="61">
        <v>213</v>
      </c>
      <c r="F53" s="61">
        <v>4.8800000000000003E-2</v>
      </c>
      <c r="G53" s="1">
        <f t="shared" ref="G53:G59" si="1">3.5*(0.75/0.7)</f>
        <v>3.75</v>
      </c>
      <c r="H53" s="61">
        <v>31350.000000000004</v>
      </c>
      <c r="I53" s="61">
        <v>40</v>
      </c>
    </row>
    <row r="54" spans="1:9" x14ac:dyDescent="0.25">
      <c r="A54" s="61">
        <v>53</v>
      </c>
      <c r="B54" s="61">
        <v>1</v>
      </c>
      <c r="C54" s="62">
        <v>3</v>
      </c>
      <c r="D54" s="61">
        <v>211</v>
      </c>
      <c r="E54" s="61">
        <v>214</v>
      </c>
      <c r="F54" s="61">
        <v>4.2599999999999999E-2</v>
      </c>
      <c r="G54" s="1">
        <f t="shared" si="1"/>
        <v>3.75</v>
      </c>
      <c r="H54" s="61">
        <v>27550</v>
      </c>
      <c r="I54" s="61">
        <v>40</v>
      </c>
    </row>
    <row r="55" spans="1:9" x14ac:dyDescent="0.25">
      <c r="A55" s="61">
        <v>54</v>
      </c>
      <c r="B55" s="61">
        <v>1</v>
      </c>
      <c r="C55" s="62">
        <v>3</v>
      </c>
      <c r="D55" s="61">
        <v>212</v>
      </c>
      <c r="E55" s="61">
        <v>213</v>
      </c>
      <c r="F55" s="61">
        <v>4.8800000000000003E-2</v>
      </c>
      <c r="G55" s="1">
        <f t="shared" si="1"/>
        <v>3.75</v>
      </c>
      <c r="H55" s="61">
        <v>31350.000000000004</v>
      </c>
      <c r="I55" s="61">
        <v>40</v>
      </c>
    </row>
    <row r="56" spans="1:9" x14ac:dyDescent="0.25">
      <c r="A56" s="61">
        <v>55</v>
      </c>
      <c r="B56" s="61">
        <v>1</v>
      </c>
      <c r="C56" s="62">
        <v>3</v>
      </c>
      <c r="D56" s="61">
        <v>212</v>
      </c>
      <c r="E56" s="61">
        <v>223</v>
      </c>
      <c r="F56" s="61">
        <v>9.8500000000000004E-2</v>
      </c>
      <c r="G56" s="1">
        <f t="shared" si="1"/>
        <v>3.75</v>
      </c>
      <c r="H56" s="61">
        <v>63650</v>
      </c>
      <c r="I56" s="61">
        <v>40</v>
      </c>
    </row>
    <row r="57" spans="1:9" x14ac:dyDescent="0.25">
      <c r="A57" s="61">
        <v>56</v>
      </c>
      <c r="B57" s="61">
        <v>1</v>
      </c>
      <c r="C57" s="62">
        <v>3</v>
      </c>
      <c r="D57" s="61">
        <v>213</v>
      </c>
      <c r="E57" s="61">
        <v>223</v>
      </c>
      <c r="F57" s="61">
        <v>8.8400000000000006E-2</v>
      </c>
      <c r="G57" s="27">
        <f>(3.5*(0.75/0.7))*0.8</f>
        <v>3</v>
      </c>
      <c r="H57" s="61">
        <v>57000</v>
      </c>
      <c r="I57" s="61">
        <v>40</v>
      </c>
    </row>
    <row r="58" spans="1:9" x14ac:dyDescent="0.25">
      <c r="A58" s="61">
        <v>57</v>
      </c>
      <c r="B58" s="61">
        <v>1</v>
      </c>
      <c r="C58" s="62">
        <v>3</v>
      </c>
      <c r="D58" s="61">
        <v>214</v>
      </c>
      <c r="E58" s="61">
        <v>216</v>
      </c>
      <c r="F58" s="61">
        <v>5.9400000000000001E-2</v>
      </c>
      <c r="G58" s="27">
        <v>1.875</v>
      </c>
      <c r="H58" s="61">
        <v>25650</v>
      </c>
      <c r="I58" s="61">
        <v>40</v>
      </c>
    </row>
    <row r="59" spans="1:9" x14ac:dyDescent="0.25">
      <c r="A59" s="61">
        <v>58</v>
      </c>
      <c r="B59" s="61">
        <v>1</v>
      </c>
      <c r="C59" s="62">
        <v>3</v>
      </c>
      <c r="D59" s="61">
        <v>215</v>
      </c>
      <c r="E59" s="61">
        <v>216</v>
      </c>
      <c r="F59" s="61">
        <v>1.72E-2</v>
      </c>
      <c r="G59" s="1">
        <f t="shared" si="1"/>
        <v>3.75</v>
      </c>
      <c r="H59" s="61">
        <v>11400.000000000002</v>
      </c>
      <c r="I59" s="61">
        <v>40</v>
      </c>
    </row>
    <row r="60" spans="1:9" x14ac:dyDescent="0.25">
      <c r="A60" s="61">
        <v>59</v>
      </c>
      <c r="B60" s="61">
        <v>1</v>
      </c>
      <c r="C60" s="62">
        <v>3</v>
      </c>
      <c r="D60" s="61">
        <v>215</v>
      </c>
      <c r="E60" s="61">
        <v>221</v>
      </c>
      <c r="F60" s="61">
        <v>2.4899999999999999E-2</v>
      </c>
      <c r="G60" s="1">
        <f>7*(0.75/0.7)</f>
        <v>7.5</v>
      </c>
      <c r="H60" s="61">
        <v>32300</v>
      </c>
      <c r="I60" s="61">
        <v>40</v>
      </c>
    </row>
    <row r="61" spans="1:9" x14ac:dyDescent="0.25">
      <c r="A61" s="61">
        <v>60</v>
      </c>
      <c r="B61" s="61">
        <v>1</v>
      </c>
      <c r="C61" s="62">
        <v>3</v>
      </c>
      <c r="D61" s="61">
        <v>215</v>
      </c>
      <c r="E61" s="61">
        <v>224</v>
      </c>
      <c r="F61" s="61">
        <v>5.2900000000000003E-2</v>
      </c>
      <c r="G61" s="1">
        <f>3.5*(0.75/0.7)</f>
        <v>3.75</v>
      </c>
      <c r="H61" s="61">
        <v>17100</v>
      </c>
      <c r="I61" s="61">
        <v>40</v>
      </c>
    </row>
    <row r="62" spans="1:9" x14ac:dyDescent="0.25">
      <c r="A62" s="61">
        <v>61</v>
      </c>
      <c r="B62" s="61">
        <v>1</v>
      </c>
      <c r="C62" s="62">
        <v>3</v>
      </c>
      <c r="D62" s="61">
        <v>216</v>
      </c>
      <c r="E62" s="61">
        <v>217</v>
      </c>
      <c r="F62" s="61">
        <v>2.63E-2</v>
      </c>
      <c r="G62" s="1">
        <f>3.5*(0.75/0.7)</f>
        <v>3.75</v>
      </c>
      <c r="H62" s="61">
        <v>15200</v>
      </c>
      <c r="I62" s="61">
        <v>40</v>
      </c>
    </row>
    <row r="63" spans="1:9" x14ac:dyDescent="0.25">
      <c r="A63" s="61">
        <v>62</v>
      </c>
      <c r="B63" s="61">
        <v>1</v>
      </c>
      <c r="C63" s="62">
        <v>3</v>
      </c>
      <c r="D63" s="61">
        <v>216</v>
      </c>
      <c r="E63" s="61">
        <v>219</v>
      </c>
      <c r="F63" s="61">
        <v>2.3400000000000001E-2</v>
      </c>
      <c r="G63" s="1">
        <f>3.5*(0.75/0.7)</f>
        <v>3.75</v>
      </c>
      <c r="H63" s="61">
        <v>9500</v>
      </c>
      <c r="I63" s="61">
        <v>40</v>
      </c>
    </row>
    <row r="64" spans="1:9" x14ac:dyDescent="0.25">
      <c r="A64" s="61">
        <v>63</v>
      </c>
      <c r="B64" s="61">
        <v>1</v>
      </c>
      <c r="C64" s="62">
        <v>3</v>
      </c>
      <c r="D64" s="61">
        <v>217</v>
      </c>
      <c r="E64" s="61">
        <v>218</v>
      </c>
      <c r="F64" s="61">
        <v>1.43E-2</v>
      </c>
      <c r="G64" s="1">
        <f>3.5*(0.75/0.7)</f>
        <v>3.75</v>
      </c>
      <c r="H64" s="61">
        <v>69350</v>
      </c>
      <c r="I64" s="61">
        <v>40</v>
      </c>
    </row>
    <row r="65" spans="1:9" x14ac:dyDescent="0.25">
      <c r="A65" s="61">
        <v>64</v>
      </c>
      <c r="B65" s="61">
        <v>1</v>
      </c>
      <c r="C65" s="61">
        <v>3</v>
      </c>
      <c r="D65" s="61">
        <v>217</v>
      </c>
      <c r="E65" s="61">
        <v>222</v>
      </c>
      <c r="F65" s="61">
        <v>0.1069</v>
      </c>
      <c r="G65" s="1">
        <f>3.5*(0.75/0.7)</f>
        <v>3.75</v>
      </c>
      <c r="H65" s="61">
        <v>17100</v>
      </c>
      <c r="I65" s="61">
        <v>40</v>
      </c>
    </row>
    <row r="66" spans="1:9" x14ac:dyDescent="0.25">
      <c r="A66" s="61">
        <v>65</v>
      </c>
      <c r="B66" s="61">
        <v>1</v>
      </c>
      <c r="C66" s="61">
        <v>3</v>
      </c>
      <c r="D66" s="61">
        <v>218</v>
      </c>
      <c r="E66" s="61">
        <v>221</v>
      </c>
      <c r="F66" s="61">
        <v>1.32E-2</v>
      </c>
      <c r="G66" s="1">
        <f>7*(0.75/0.7)</f>
        <v>7.5</v>
      </c>
      <c r="H66" s="61">
        <v>26125</v>
      </c>
      <c r="I66" s="61">
        <v>40</v>
      </c>
    </row>
    <row r="67" spans="1:9" x14ac:dyDescent="0.25">
      <c r="A67" s="61">
        <v>66</v>
      </c>
      <c r="B67" s="61">
        <v>1</v>
      </c>
      <c r="C67" s="61">
        <v>3</v>
      </c>
      <c r="D67" s="61">
        <v>219</v>
      </c>
      <c r="E67" s="61">
        <v>220</v>
      </c>
      <c r="F67" s="61">
        <v>2.0299999999999999E-2</v>
      </c>
      <c r="G67" s="1">
        <f>7*(0.75/0.7)</f>
        <v>7.5</v>
      </c>
      <c r="H67" s="61">
        <v>44650</v>
      </c>
      <c r="I67" s="61">
        <v>40</v>
      </c>
    </row>
    <row r="68" spans="1:9" x14ac:dyDescent="0.25">
      <c r="A68" s="61">
        <v>67</v>
      </c>
      <c r="B68" s="61">
        <v>1</v>
      </c>
      <c r="C68" s="61">
        <v>3</v>
      </c>
      <c r="D68" s="61">
        <v>220</v>
      </c>
      <c r="E68" s="61">
        <v>223</v>
      </c>
      <c r="F68" s="61">
        <v>1.12E-2</v>
      </c>
      <c r="G68" s="1">
        <f>7*(0.75/0.7)</f>
        <v>7.5</v>
      </c>
      <c r="H68" s="61">
        <v>31349.999999999996</v>
      </c>
      <c r="I68" s="61">
        <v>40</v>
      </c>
    </row>
    <row r="69" spans="1:9" x14ac:dyDescent="0.25">
      <c r="A69" s="61">
        <v>68</v>
      </c>
      <c r="B69" s="61">
        <v>1</v>
      </c>
      <c r="C69" s="61">
        <v>3</v>
      </c>
      <c r="D69" s="61">
        <v>221</v>
      </c>
      <c r="E69" s="61">
        <v>222</v>
      </c>
      <c r="F69" s="61">
        <v>6.9199999999999998E-2</v>
      </c>
      <c r="G69" s="1">
        <f>3.5*(0.75/0.7)</f>
        <v>3.75</v>
      </c>
      <c r="H69" s="61">
        <v>29450</v>
      </c>
      <c r="I69" s="61">
        <v>40</v>
      </c>
    </row>
    <row r="70" spans="1:9" x14ac:dyDescent="0.25">
      <c r="A70" s="61">
        <v>69</v>
      </c>
      <c r="B70" s="61">
        <v>1</v>
      </c>
      <c r="C70" s="62">
        <v>3</v>
      </c>
      <c r="D70" s="61">
        <v>301</v>
      </c>
      <c r="E70" s="61">
        <v>302</v>
      </c>
      <c r="F70" s="61">
        <v>1.46E-2</v>
      </c>
      <c r="G70" s="1">
        <f>1.225*(0.75/0.7)</f>
        <v>1.3125</v>
      </c>
      <c r="H70" s="61">
        <v>2850.0000000000005</v>
      </c>
      <c r="I70" s="61">
        <v>40</v>
      </c>
    </row>
    <row r="71" spans="1:9" x14ac:dyDescent="0.25">
      <c r="A71" s="61">
        <v>70</v>
      </c>
      <c r="B71" s="61">
        <v>1</v>
      </c>
      <c r="C71" s="62">
        <v>3</v>
      </c>
      <c r="D71" s="61">
        <v>301</v>
      </c>
      <c r="E71" s="61">
        <v>303</v>
      </c>
      <c r="F71" s="61">
        <v>0.2253</v>
      </c>
      <c r="G71" s="1">
        <f>1.225*(0.75/0.7)</f>
        <v>1.3125</v>
      </c>
      <c r="H71" s="61">
        <v>52250</v>
      </c>
      <c r="I71" s="61">
        <v>40</v>
      </c>
    </row>
    <row r="72" spans="1:9" x14ac:dyDescent="0.25">
      <c r="A72" s="73">
        <v>71</v>
      </c>
      <c r="B72" s="73">
        <v>1</v>
      </c>
      <c r="C72" s="74">
        <v>3</v>
      </c>
      <c r="D72" s="73">
        <v>301</v>
      </c>
      <c r="E72" s="73">
        <v>305</v>
      </c>
      <c r="F72" s="73">
        <v>9.0700000000000003E-2</v>
      </c>
      <c r="G72" s="27">
        <v>1.5</v>
      </c>
      <c r="H72" s="73">
        <v>20900</v>
      </c>
      <c r="I72" s="73">
        <v>40</v>
      </c>
    </row>
    <row r="73" spans="1:9" s="61" customFormat="1" x14ac:dyDescent="0.25">
      <c r="A73" s="61">
        <v>72</v>
      </c>
      <c r="B73" s="61">
        <v>1</v>
      </c>
      <c r="C73" s="62">
        <v>3</v>
      </c>
      <c r="D73" s="61">
        <v>302</v>
      </c>
      <c r="E73" s="61">
        <v>304</v>
      </c>
      <c r="F73" s="61">
        <v>0.1356</v>
      </c>
      <c r="G73" s="1">
        <f>1.225*(0.75/0.7)</f>
        <v>1.3125</v>
      </c>
      <c r="H73" s="61">
        <v>31350.000000000004</v>
      </c>
      <c r="I73" s="61">
        <v>40</v>
      </c>
    </row>
    <row r="74" spans="1:9" x14ac:dyDescent="0.25">
      <c r="A74" s="61">
        <v>73</v>
      </c>
      <c r="B74" s="61">
        <v>1</v>
      </c>
      <c r="C74" s="62">
        <v>3</v>
      </c>
      <c r="D74" s="61">
        <v>302</v>
      </c>
      <c r="E74" s="61">
        <v>306</v>
      </c>
      <c r="F74" s="61">
        <v>0.20499999999999999</v>
      </c>
      <c r="G74" s="1">
        <f>1.225*(0.75/0.7)</f>
        <v>1.3125</v>
      </c>
      <c r="H74" s="61">
        <v>47500</v>
      </c>
      <c r="I74" s="61">
        <v>40</v>
      </c>
    </row>
    <row r="75" spans="1:9" x14ac:dyDescent="0.25">
      <c r="A75" s="61">
        <v>74</v>
      </c>
      <c r="B75" s="61">
        <v>1</v>
      </c>
      <c r="C75" s="62">
        <v>3</v>
      </c>
      <c r="D75" s="61">
        <v>303</v>
      </c>
      <c r="E75" s="61">
        <v>309</v>
      </c>
      <c r="F75" s="61">
        <v>0.12709999999999999</v>
      </c>
      <c r="G75" s="1">
        <f>1.225*(0.75/0.7)</f>
        <v>1.3125</v>
      </c>
      <c r="H75" s="61">
        <v>29450</v>
      </c>
      <c r="I75" s="61">
        <v>40</v>
      </c>
    </row>
    <row r="76" spans="1:9" x14ac:dyDescent="0.25">
      <c r="A76" s="61">
        <v>75</v>
      </c>
      <c r="B76" s="61">
        <v>1</v>
      </c>
      <c r="C76" s="62">
        <v>3</v>
      </c>
      <c r="D76" s="61">
        <v>303</v>
      </c>
      <c r="E76" s="61">
        <v>324</v>
      </c>
      <c r="F76" s="61">
        <v>8.4000000000000005E-2</v>
      </c>
      <c r="G76" s="1">
        <f>2.8*(0.75/0.7)</f>
        <v>2.9999999999999996</v>
      </c>
      <c r="H76" s="61">
        <v>47500</v>
      </c>
      <c r="I76" s="61">
        <v>40</v>
      </c>
    </row>
    <row r="77" spans="1:9" s="61" customFormat="1" x14ac:dyDescent="0.25">
      <c r="A77" s="61">
        <v>76</v>
      </c>
      <c r="B77" s="61">
        <v>1</v>
      </c>
      <c r="C77" s="62">
        <v>3</v>
      </c>
      <c r="D77" s="61">
        <v>304</v>
      </c>
      <c r="E77" s="61">
        <v>309</v>
      </c>
      <c r="F77" s="61">
        <v>0.111</v>
      </c>
      <c r="G77" s="1">
        <f>1.225*(0.75/0.7)</f>
        <v>1.3125</v>
      </c>
      <c r="H77" s="61">
        <v>25650</v>
      </c>
      <c r="I77" s="61">
        <v>40</v>
      </c>
    </row>
    <row r="78" spans="1:9" x14ac:dyDescent="0.25">
      <c r="A78" s="73">
        <v>77</v>
      </c>
      <c r="B78" s="73">
        <v>1</v>
      </c>
      <c r="C78" s="74">
        <v>3</v>
      </c>
      <c r="D78" s="73">
        <v>305</v>
      </c>
      <c r="E78" s="73">
        <v>310</v>
      </c>
      <c r="F78" s="73">
        <v>9.4E-2</v>
      </c>
      <c r="G78" s="27">
        <v>1.5</v>
      </c>
      <c r="H78" s="73">
        <v>21850</v>
      </c>
      <c r="I78" s="73">
        <v>40</v>
      </c>
    </row>
    <row r="79" spans="1:9" x14ac:dyDescent="0.25">
      <c r="A79" s="61">
        <v>78</v>
      </c>
      <c r="B79" s="61">
        <v>1</v>
      </c>
      <c r="C79" s="62">
        <v>3</v>
      </c>
      <c r="D79" s="61">
        <v>306</v>
      </c>
      <c r="E79" s="61">
        <v>310</v>
      </c>
      <c r="F79" s="61">
        <v>6.4199999999999993E-2</v>
      </c>
      <c r="G79" s="1">
        <f>1.225*(0.75/0.7)</f>
        <v>1.3125</v>
      </c>
      <c r="H79" s="61">
        <v>15200</v>
      </c>
      <c r="I79" s="61">
        <v>40</v>
      </c>
    </row>
    <row r="80" spans="1:9" x14ac:dyDescent="0.25">
      <c r="A80" s="61">
        <v>79</v>
      </c>
      <c r="B80" s="63">
        <v>1</v>
      </c>
      <c r="C80" s="63">
        <v>3</v>
      </c>
      <c r="D80" s="63">
        <v>307</v>
      </c>
      <c r="E80" s="63">
        <v>308</v>
      </c>
      <c r="F80" s="64">
        <v>6.5199999999999994E-2</v>
      </c>
      <c r="G80" s="1">
        <f>2.45*(0.75/0.7)</f>
        <v>2.625</v>
      </c>
      <c r="H80" s="65">
        <v>30400</v>
      </c>
      <c r="I80" s="63">
        <v>40</v>
      </c>
    </row>
    <row r="81" spans="1:12" x14ac:dyDescent="0.25">
      <c r="A81" s="61">
        <v>80</v>
      </c>
      <c r="B81" s="61">
        <v>1</v>
      </c>
      <c r="C81" s="62">
        <v>3</v>
      </c>
      <c r="D81" s="61">
        <v>308</v>
      </c>
      <c r="E81" s="61">
        <v>309</v>
      </c>
      <c r="F81" s="61">
        <v>0.1762</v>
      </c>
      <c r="G81" s="1">
        <f>1.225*(0.75/0.7)</f>
        <v>1.3125</v>
      </c>
      <c r="H81" s="61">
        <v>40850</v>
      </c>
      <c r="I81" s="61">
        <v>40</v>
      </c>
    </row>
    <row r="82" spans="1:12" x14ac:dyDescent="0.25">
      <c r="A82" s="61">
        <v>81</v>
      </c>
      <c r="B82" s="61">
        <v>1</v>
      </c>
      <c r="C82" s="62">
        <v>3</v>
      </c>
      <c r="D82" s="61">
        <v>308</v>
      </c>
      <c r="E82" s="61">
        <v>310</v>
      </c>
      <c r="F82" s="61">
        <v>0.1762</v>
      </c>
      <c r="G82" s="1">
        <f>1.225*(0.75/0.7)</f>
        <v>1.3125</v>
      </c>
      <c r="H82" s="61">
        <v>40850</v>
      </c>
      <c r="I82" s="61">
        <v>40</v>
      </c>
    </row>
    <row r="83" spans="1:12" s="27" customFormat="1" x14ac:dyDescent="0.25">
      <c r="A83" s="61">
        <v>82</v>
      </c>
      <c r="B83" s="61">
        <v>1</v>
      </c>
      <c r="C83" s="62">
        <v>3</v>
      </c>
      <c r="D83" s="61">
        <v>309</v>
      </c>
      <c r="E83" s="61">
        <v>311</v>
      </c>
      <c r="F83" s="61">
        <v>8.4000000000000005E-2</v>
      </c>
      <c r="G83" s="1">
        <f>2.8*(0.75/0.7)</f>
        <v>2.9999999999999996</v>
      </c>
      <c r="H83" s="61">
        <v>47500</v>
      </c>
      <c r="I83" s="61">
        <v>40</v>
      </c>
      <c r="K83" s="1"/>
      <c r="L83" s="1"/>
    </row>
    <row r="84" spans="1:12" s="27" customFormat="1" x14ac:dyDescent="0.25">
      <c r="A84" s="61">
        <v>83</v>
      </c>
      <c r="B84" s="61">
        <v>1</v>
      </c>
      <c r="C84" s="62">
        <v>3</v>
      </c>
      <c r="D84" s="61">
        <v>309</v>
      </c>
      <c r="E84" s="61">
        <v>312</v>
      </c>
      <c r="F84" s="61">
        <v>8.4000000000000005E-2</v>
      </c>
      <c r="G84" s="1">
        <f>2.8*(0.75/0.7)</f>
        <v>2.9999999999999996</v>
      </c>
      <c r="H84" s="61">
        <v>47500</v>
      </c>
      <c r="I84" s="61">
        <v>40</v>
      </c>
      <c r="K84" s="1"/>
      <c r="L84" s="1"/>
    </row>
    <row r="85" spans="1:12" s="27" customFormat="1" x14ac:dyDescent="0.25">
      <c r="A85" s="61">
        <v>84</v>
      </c>
      <c r="B85" s="61">
        <v>1</v>
      </c>
      <c r="C85" s="62">
        <v>3</v>
      </c>
      <c r="D85" s="61">
        <v>310</v>
      </c>
      <c r="E85" s="61">
        <v>311</v>
      </c>
      <c r="F85" s="61">
        <v>8.4000000000000005E-2</v>
      </c>
      <c r="G85" s="1">
        <f>2.8*(0.75/0.7)</f>
        <v>2.9999999999999996</v>
      </c>
      <c r="H85" s="61">
        <v>47500</v>
      </c>
      <c r="I85" s="61">
        <v>40</v>
      </c>
      <c r="K85" s="1"/>
      <c r="L85" s="1"/>
    </row>
    <row r="86" spans="1:12" s="27" customFormat="1" x14ac:dyDescent="0.25">
      <c r="A86" s="61">
        <v>85</v>
      </c>
      <c r="B86" s="61">
        <v>1</v>
      </c>
      <c r="C86" s="62">
        <v>3</v>
      </c>
      <c r="D86" s="61">
        <v>310</v>
      </c>
      <c r="E86" s="61">
        <v>312</v>
      </c>
      <c r="F86" s="61">
        <v>8.4000000000000005E-2</v>
      </c>
      <c r="G86" s="1">
        <f>2.8*(0.75/0.7)</f>
        <v>2.9999999999999996</v>
      </c>
      <c r="H86" s="61">
        <v>47500</v>
      </c>
      <c r="I86" s="61">
        <v>40</v>
      </c>
      <c r="K86" s="1"/>
      <c r="L86" s="1"/>
    </row>
    <row r="87" spans="1:12" s="27" customFormat="1" x14ac:dyDescent="0.25">
      <c r="A87" s="61">
        <v>86</v>
      </c>
      <c r="B87" s="61">
        <v>1</v>
      </c>
      <c r="C87" s="62">
        <v>3</v>
      </c>
      <c r="D87" s="61">
        <v>311</v>
      </c>
      <c r="E87" s="61">
        <v>313</v>
      </c>
      <c r="F87" s="61">
        <v>4.8800000000000003E-2</v>
      </c>
      <c r="G87" s="1">
        <f t="shared" ref="G87:G93" si="2">3.5*(0.75/0.7)</f>
        <v>3.75</v>
      </c>
      <c r="H87" s="61">
        <v>31350.000000000004</v>
      </c>
      <c r="I87" s="61">
        <v>40</v>
      </c>
      <c r="K87" s="1"/>
      <c r="L87" s="1"/>
    </row>
    <row r="88" spans="1:12" x14ac:dyDescent="0.25">
      <c r="A88" s="61">
        <v>87</v>
      </c>
      <c r="B88" s="61">
        <v>1</v>
      </c>
      <c r="C88" s="62">
        <v>3</v>
      </c>
      <c r="D88" s="61">
        <v>311</v>
      </c>
      <c r="E88" s="61">
        <v>314</v>
      </c>
      <c r="F88" s="61">
        <v>4.2599999999999999E-2</v>
      </c>
      <c r="G88" s="1">
        <f t="shared" si="2"/>
        <v>3.75</v>
      </c>
      <c r="H88" s="61">
        <v>27550</v>
      </c>
      <c r="I88" s="61">
        <v>40</v>
      </c>
    </row>
    <row r="89" spans="1:12" x14ac:dyDescent="0.25">
      <c r="A89" s="61">
        <v>88</v>
      </c>
      <c r="B89" s="61">
        <v>1</v>
      </c>
      <c r="C89" s="62">
        <v>3</v>
      </c>
      <c r="D89" s="61">
        <v>312</v>
      </c>
      <c r="E89" s="61">
        <v>313</v>
      </c>
      <c r="F89" s="61">
        <v>4.8800000000000003E-2</v>
      </c>
      <c r="G89" s="1">
        <f t="shared" si="2"/>
        <v>3.75</v>
      </c>
      <c r="H89" s="61">
        <v>31350.000000000004</v>
      </c>
      <c r="I89" s="61">
        <v>40</v>
      </c>
    </row>
    <row r="90" spans="1:12" x14ac:dyDescent="0.25">
      <c r="A90" s="61">
        <v>89</v>
      </c>
      <c r="B90" s="61">
        <v>1</v>
      </c>
      <c r="C90" s="62">
        <v>3</v>
      </c>
      <c r="D90" s="61">
        <v>312</v>
      </c>
      <c r="E90" s="61">
        <v>323</v>
      </c>
      <c r="F90" s="61">
        <v>9.8500000000000004E-2</v>
      </c>
      <c r="G90" s="1">
        <f t="shared" si="2"/>
        <v>3.75</v>
      </c>
      <c r="H90" s="61">
        <v>63650</v>
      </c>
      <c r="I90" s="61">
        <v>40</v>
      </c>
    </row>
    <row r="91" spans="1:12" x14ac:dyDescent="0.25">
      <c r="A91" s="61">
        <v>90</v>
      </c>
      <c r="B91" s="61">
        <v>1</v>
      </c>
      <c r="C91" s="62">
        <v>3</v>
      </c>
      <c r="D91" s="61">
        <v>313</v>
      </c>
      <c r="E91" s="61">
        <v>323</v>
      </c>
      <c r="F91" s="61">
        <v>8.8400000000000006E-2</v>
      </c>
      <c r="G91" s="27">
        <f>(3.5*(0.75/0.7))*0.8</f>
        <v>3</v>
      </c>
      <c r="H91" s="61">
        <v>57000</v>
      </c>
      <c r="I91" s="61">
        <v>40</v>
      </c>
    </row>
    <row r="92" spans="1:12" x14ac:dyDescent="0.25">
      <c r="A92" s="61">
        <v>91</v>
      </c>
      <c r="B92" s="61">
        <v>1</v>
      </c>
      <c r="C92" s="62">
        <v>3</v>
      </c>
      <c r="D92" s="61">
        <v>314</v>
      </c>
      <c r="E92" s="61">
        <v>316</v>
      </c>
      <c r="F92" s="61">
        <v>5.9400000000000001E-2</v>
      </c>
      <c r="G92" s="27">
        <v>1.875</v>
      </c>
      <c r="H92" s="61">
        <v>25650</v>
      </c>
      <c r="I92" s="61">
        <v>40</v>
      </c>
    </row>
    <row r="93" spans="1:12" x14ac:dyDescent="0.25">
      <c r="A93" s="61">
        <v>92</v>
      </c>
      <c r="B93" s="61">
        <v>1</v>
      </c>
      <c r="C93" s="62">
        <v>3</v>
      </c>
      <c r="D93" s="61">
        <v>315</v>
      </c>
      <c r="E93" s="61">
        <v>316</v>
      </c>
      <c r="F93" s="61">
        <v>1.72E-2</v>
      </c>
      <c r="G93" s="1">
        <f t="shared" si="2"/>
        <v>3.75</v>
      </c>
      <c r="H93" s="61">
        <v>11400.000000000002</v>
      </c>
      <c r="I93" s="61">
        <v>40</v>
      </c>
    </row>
    <row r="94" spans="1:12" x14ac:dyDescent="0.25">
      <c r="A94" s="61">
        <v>93</v>
      </c>
      <c r="B94" s="61">
        <v>1</v>
      </c>
      <c r="C94" s="62">
        <v>3</v>
      </c>
      <c r="D94" s="61">
        <v>315</v>
      </c>
      <c r="E94" s="61">
        <v>321</v>
      </c>
      <c r="F94" s="61">
        <v>2.4899999999999999E-2</v>
      </c>
      <c r="G94" s="1">
        <f>7*(0.75/0.7)</f>
        <v>7.5</v>
      </c>
      <c r="H94" s="61">
        <v>32300</v>
      </c>
      <c r="I94" s="61">
        <v>40</v>
      </c>
    </row>
    <row r="95" spans="1:12" x14ac:dyDescent="0.25">
      <c r="A95" s="61">
        <v>94</v>
      </c>
      <c r="B95" s="61">
        <v>1</v>
      </c>
      <c r="C95" s="62">
        <v>3</v>
      </c>
      <c r="D95" s="61">
        <v>315</v>
      </c>
      <c r="E95" s="61">
        <v>324</v>
      </c>
      <c r="F95" s="61">
        <v>5.2900000000000003E-2</v>
      </c>
      <c r="G95" s="1">
        <f>3.5*(0.75/0.7)</f>
        <v>3.75</v>
      </c>
      <c r="H95" s="61">
        <v>17100</v>
      </c>
      <c r="I95" s="61">
        <v>40</v>
      </c>
    </row>
    <row r="96" spans="1:12" x14ac:dyDescent="0.25">
      <c r="A96" s="61">
        <v>95</v>
      </c>
      <c r="B96" s="61">
        <v>1</v>
      </c>
      <c r="C96" s="62">
        <v>3</v>
      </c>
      <c r="D96" s="61">
        <v>316</v>
      </c>
      <c r="E96" s="61">
        <v>317</v>
      </c>
      <c r="F96" s="61">
        <v>2.63E-2</v>
      </c>
      <c r="G96" s="1">
        <f>3.5*(0.75/0.7)</f>
        <v>3.75</v>
      </c>
      <c r="H96" s="61">
        <v>15200</v>
      </c>
      <c r="I96" s="61">
        <v>40</v>
      </c>
    </row>
    <row r="97" spans="1:9" x14ac:dyDescent="0.25">
      <c r="A97" s="61">
        <v>96</v>
      </c>
      <c r="B97" s="61">
        <v>1</v>
      </c>
      <c r="C97" s="62">
        <v>3</v>
      </c>
      <c r="D97" s="61">
        <v>316</v>
      </c>
      <c r="E97" s="61">
        <v>319</v>
      </c>
      <c r="F97" s="61">
        <v>2.3400000000000001E-2</v>
      </c>
      <c r="G97" s="1">
        <f>3.5*(0.75/0.7)</f>
        <v>3.75</v>
      </c>
      <c r="H97" s="61">
        <v>9500</v>
      </c>
      <c r="I97" s="61">
        <v>40</v>
      </c>
    </row>
    <row r="98" spans="1:9" x14ac:dyDescent="0.25">
      <c r="A98" s="61">
        <v>97</v>
      </c>
      <c r="B98" s="61">
        <v>1</v>
      </c>
      <c r="C98" s="62">
        <v>3</v>
      </c>
      <c r="D98" s="61">
        <v>317</v>
      </c>
      <c r="E98" s="61">
        <v>318</v>
      </c>
      <c r="F98" s="61">
        <v>1.43E-2</v>
      </c>
      <c r="G98" s="1">
        <f>3.5*(0.75/0.7)</f>
        <v>3.75</v>
      </c>
      <c r="H98" s="61">
        <v>69350</v>
      </c>
      <c r="I98" s="61">
        <v>40</v>
      </c>
    </row>
    <row r="99" spans="1:9" x14ac:dyDescent="0.25">
      <c r="A99" s="61">
        <v>98</v>
      </c>
      <c r="B99" s="61">
        <v>1</v>
      </c>
      <c r="C99" s="61">
        <v>3</v>
      </c>
      <c r="D99" s="61">
        <v>317</v>
      </c>
      <c r="E99" s="61">
        <v>322</v>
      </c>
      <c r="F99" s="61">
        <v>0.1069</v>
      </c>
      <c r="G99" s="1">
        <f>3.5*(0.75/0.7)</f>
        <v>3.75</v>
      </c>
      <c r="H99" s="61">
        <v>17100</v>
      </c>
      <c r="I99" s="61">
        <v>40</v>
      </c>
    </row>
    <row r="100" spans="1:9" x14ac:dyDescent="0.25">
      <c r="A100" s="61">
        <v>99</v>
      </c>
      <c r="B100" s="61">
        <v>1</v>
      </c>
      <c r="C100" s="61">
        <v>3</v>
      </c>
      <c r="D100" s="61">
        <v>318</v>
      </c>
      <c r="E100" s="61">
        <v>321</v>
      </c>
      <c r="F100" s="61">
        <v>1.32E-2</v>
      </c>
      <c r="G100" s="1">
        <f>7*(0.75/0.7)</f>
        <v>7.5</v>
      </c>
      <c r="H100" s="61">
        <v>26125</v>
      </c>
      <c r="I100" s="61">
        <v>40</v>
      </c>
    </row>
    <row r="101" spans="1:9" x14ac:dyDescent="0.25">
      <c r="A101" s="61">
        <v>100</v>
      </c>
      <c r="B101" s="61">
        <v>1</v>
      </c>
      <c r="C101" s="61">
        <v>3</v>
      </c>
      <c r="D101" s="61">
        <v>319</v>
      </c>
      <c r="E101" s="61">
        <v>320</v>
      </c>
      <c r="F101" s="61">
        <v>2.0299999999999999E-2</v>
      </c>
      <c r="G101" s="1">
        <f>7*(0.75/0.7)</f>
        <v>7.5</v>
      </c>
      <c r="H101" s="61">
        <v>44650</v>
      </c>
      <c r="I101" s="61">
        <v>40</v>
      </c>
    </row>
    <row r="102" spans="1:9" x14ac:dyDescent="0.25">
      <c r="A102" s="61">
        <v>101</v>
      </c>
      <c r="B102" s="61">
        <v>1</v>
      </c>
      <c r="C102" s="61">
        <v>3</v>
      </c>
      <c r="D102" s="61">
        <v>320</v>
      </c>
      <c r="E102" s="61">
        <v>323</v>
      </c>
      <c r="F102" s="61">
        <v>1.12E-2</v>
      </c>
      <c r="G102" s="1">
        <f>7*(0.75/0.7)</f>
        <v>7.5</v>
      </c>
      <c r="H102" s="61">
        <v>31349.999999999996</v>
      </c>
      <c r="I102" s="61">
        <v>40</v>
      </c>
    </row>
    <row r="103" spans="1:9" x14ac:dyDescent="0.25">
      <c r="A103" s="61">
        <v>102</v>
      </c>
      <c r="B103" s="61">
        <v>1</v>
      </c>
      <c r="C103" s="61">
        <v>3</v>
      </c>
      <c r="D103" s="61">
        <v>321</v>
      </c>
      <c r="E103" s="61">
        <v>322</v>
      </c>
      <c r="F103" s="61">
        <v>6.9199999999999998E-2</v>
      </c>
      <c r="G103" s="1">
        <f t="shared" ref="G103:G109" si="3">3.5*(0.75/0.7)</f>
        <v>3.75</v>
      </c>
      <c r="H103" s="61">
        <v>29450</v>
      </c>
      <c r="I103" s="61">
        <v>40</v>
      </c>
    </row>
    <row r="104" spans="1:9" x14ac:dyDescent="0.25">
      <c r="A104" s="61">
        <v>103</v>
      </c>
      <c r="B104" s="61">
        <v>1</v>
      </c>
      <c r="C104" s="61">
        <v>3</v>
      </c>
      <c r="D104" s="26">
        <v>107</v>
      </c>
      <c r="E104" s="26">
        <v>203</v>
      </c>
      <c r="F104" s="61">
        <v>6.9199999999999998E-2</v>
      </c>
      <c r="G104" s="1">
        <f t="shared" si="3"/>
        <v>3.75</v>
      </c>
      <c r="H104" s="61">
        <v>29450</v>
      </c>
      <c r="I104" s="61">
        <v>40</v>
      </c>
    </row>
    <row r="105" spans="1:9" x14ac:dyDescent="0.25">
      <c r="A105" s="61">
        <v>104</v>
      </c>
      <c r="B105" s="61">
        <v>1</v>
      </c>
      <c r="C105" s="61">
        <v>3</v>
      </c>
      <c r="D105" s="26">
        <v>113</v>
      </c>
      <c r="E105" s="26">
        <v>215</v>
      </c>
      <c r="F105" s="61">
        <v>6.9199999999999998E-2</v>
      </c>
      <c r="G105" s="1">
        <f t="shared" si="3"/>
        <v>3.75</v>
      </c>
      <c r="H105" s="61">
        <v>29450</v>
      </c>
      <c r="I105" s="61">
        <v>40</v>
      </c>
    </row>
    <row r="106" spans="1:9" x14ac:dyDescent="0.25">
      <c r="A106" s="61">
        <v>105</v>
      </c>
      <c r="B106" s="61">
        <v>1</v>
      </c>
      <c r="C106" s="61">
        <v>3</v>
      </c>
      <c r="D106" s="26">
        <v>123</v>
      </c>
      <c r="E106" s="26">
        <v>217</v>
      </c>
      <c r="F106" s="61">
        <v>6.9199999999999998E-2</v>
      </c>
      <c r="G106" s="1">
        <f t="shared" si="3"/>
        <v>3.75</v>
      </c>
      <c r="H106" s="61">
        <v>29450</v>
      </c>
      <c r="I106" s="61">
        <v>40</v>
      </c>
    </row>
    <row r="107" spans="1:9" x14ac:dyDescent="0.25">
      <c r="A107" s="61">
        <v>106</v>
      </c>
      <c r="B107" s="61">
        <v>1</v>
      </c>
      <c r="C107" s="61">
        <v>3</v>
      </c>
      <c r="D107" s="26">
        <v>223</v>
      </c>
      <c r="E107" s="26">
        <v>318</v>
      </c>
      <c r="F107" s="61">
        <v>6.9199999999999998E-2</v>
      </c>
      <c r="G107" s="1">
        <f t="shared" si="3"/>
        <v>3.75</v>
      </c>
      <c r="H107" s="61">
        <v>29450</v>
      </c>
      <c r="I107" s="61">
        <v>40</v>
      </c>
    </row>
    <row r="108" spans="1:9" x14ac:dyDescent="0.25">
      <c r="A108" s="61">
        <v>107</v>
      </c>
      <c r="B108" s="61">
        <v>1</v>
      </c>
      <c r="C108" s="61">
        <v>3</v>
      </c>
      <c r="D108" s="26">
        <v>323</v>
      </c>
      <c r="E108" s="26">
        <v>325</v>
      </c>
      <c r="F108" s="61">
        <v>6.9199999999999998E-2</v>
      </c>
      <c r="G108" s="1">
        <f t="shared" si="3"/>
        <v>3.75</v>
      </c>
      <c r="H108" s="61">
        <v>29450</v>
      </c>
      <c r="I108" s="61">
        <v>40</v>
      </c>
    </row>
    <row r="109" spans="1:9" x14ac:dyDescent="0.25">
      <c r="A109" s="61">
        <v>108</v>
      </c>
      <c r="B109" s="61">
        <v>1</v>
      </c>
      <c r="C109" s="61">
        <v>3</v>
      </c>
      <c r="D109" s="26">
        <v>325</v>
      </c>
      <c r="E109" s="26">
        <v>121</v>
      </c>
      <c r="F109" s="61">
        <v>6.9199999999999998E-2</v>
      </c>
      <c r="G109" s="1">
        <f t="shared" si="3"/>
        <v>3.75</v>
      </c>
      <c r="H109" s="61">
        <v>29450</v>
      </c>
      <c r="I109" s="61">
        <v>40</v>
      </c>
    </row>
    <row r="110" spans="1:9" x14ac:dyDescent="0.25">
      <c r="A110" s="73">
        <v>3</v>
      </c>
      <c r="B110" s="73">
        <v>0</v>
      </c>
      <c r="C110" s="74">
        <v>3</v>
      </c>
      <c r="D110" s="73">
        <v>101</v>
      </c>
      <c r="E110" s="73">
        <v>105</v>
      </c>
      <c r="F110" s="73">
        <v>9.0700000000000003E-2</v>
      </c>
      <c r="G110" s="75">
        <v>1</v>
      </c>
      <c r="H110" s="73">
        <v>20900</v>
      </c>
      <c r="I110" s="73">
        <v>40</v>
      </c>
    </row>
    <row r="111" spans="1:9" x14ac:dyDescent="0.25">
      <c r="A111" s="73">
        <v>9</v>
      </c>
      <c r="B111" s="73">
        <v>0</v>
      </c>
      <c r="C111" s="74">
        <v>3</v>
      </c>
      <c r="D111" s="73">
        <v>105</v>
      </c>
      <c r="E111" s="73">
        <v>110</v>
      </c>
      <c r="F111" s="73">
        <v>9.4E-2</v>
      </c>
      <c r="G111" s="75">
        <v>1</v>
      </c>
      <c r="H111" s="73">
        <v>21850</v>
      </c>
      <c r="I111" s="73">
        <v>40</v>
      </c>
    </row>
    <row r="112" spans="1:9" x14ac:dyDescent="0.25">
      <c r="A112" s="27">
        <v>40</v>
      </c>
      <c r="B112" s="67">
        <v>0</v>
      </c>
      <c r="C112" s="27">
        <v>3</v>
      </c>
      <c r="D112" s="27">
        <v>113</v>
      </c>
      <c r="E112" s="27">
        <v>123</v>
      </c>
      <c r="F112" s="27">
        <v>8.8400000000000006E-2</v>
      </c>
      <c r="G112" s="27">
        <v>1.5</v>
      </c>
      <c r="H112" s="27">
        <v>31350.000000000004</v>
      </c>
      <c r="I112" s="68">
        <v>40</v>
      </c>
    </row>
    <row r="113" spans="1:9" x14ac:dyDescent="0.25">
      <c r="A113" s="27">
        <v>41</v>
      </c>
      <c r="B113" s="67">
        <v>0</v>
      </c>
      <c r="C113" s="27">
        <v>3</v>
      </c>
      <c r="D113" s="27">
        <v>114</v>
      </c>
      <c r="E113" s="27">
        <v>116</v>
      </c>
      <c r="F113" s="27">
        <v>5.9400000000000001E-2</v>
      </c>
      <c r="G113" s="27">
        <v>1.5</v>
      </c>
      <c r="H113" s="27">
        <v>25650</v>
      </c>
      <c r="I113" s="68">
        <v>40</v>
      </c>
    </row>
    <row r="114" spans="1:9" x14ac:dyDescent="0.25">
      <c r="A114" s="27">
        <v>40</v>
      </c>
      <c r="B114" s="67">
        <v>0</v>
      </c>
      <c r="C114" s="27">
        <v>3</v>
      </c>
      <c r="D114" s="63">
        <v>207</v>
      </c>
      <c r="E114" s="63">
        <v>208</v>
      </c>
      <c r="F114" s="64">
        <v>6.5199999999999994E-2</v>
      </c>
      <c r="G114" s="27">
        <v>1</v>
      </c>
      <c r="H114" s="65">
        <v>30400</v>
      </c>
      <c r="I114" s="68">
        <v>40</v>
      </c>
    </row>
    <row r="115" spans="1:9" x14ac:dyDescent="0.25">
      <c r="A115" s="27">
        <v>41</v>
      </c>
      <c r="B115" s="67">
        <v>0</v>
      </c>
      <c r="C115" s="27">
        <v>3</v>
      </c>
      <c r="D115" s="63">
        <v>207</v>
      </c>
      <c r="E115" s="63">
        <v>208</v>
      </c>
      <c r="F115" s="64">
        <v>6.5199999999999994E-2</v>
      </c>
      <c r="G115" s="27">
        <v>1</v>
      </c>
      <c r="H115" s="65">
        <v>30400</v>
      </c>
      <c r="I115" s="68">
        <v>40</v>
      </c>
    </row>
    <row r="116" spans="1:9" x14ac:dyDescent="0.25">
      <c r="A116" s="27">
        <v>40</v>
      </c>
      <c r="B116" s="67">
        <v>0</v>
      </c>
      <c r="C116" s="27">
        <v>3</v>
      </c>
      <c r="D116" s="27">
        <v>313</v>
      </c>
      <c r="E116" s="27">
        <v>323</v>
      </c>
      <c r="F116" s="27">
        <v>8.8400000000000006E-2</v>
      </c>
      <c r="G116" s="27">
        <v>1.5</v>
      </c>
      <c r="H116" s="27">
        <v>31350.000000000004</v>
      </c>
      <c r="I116" s="68">
        <v>40</v>
      </c>
    </row>
    <row r="117" spans="1:9" x14ac:dyDescent="0.25">
      <c r="A117" s="27">
        <v>41</v>
      </c>
      <c r="B117" s="67">
        <v>0</v>
      </c>
      <c r="C117" s="27">
        <v>3</v>
      </c>
      <c r="D117" s="27">
        <v>314</v>
      </c>
      <c r="E117" s="27">
        <v>316</v>
      </c>
      <c r="F117" s="27">
        <v>5.9400000000000001E-2</v>
      </c>
      <c r="G117" s="27">
        <v>1.5</v>
      </c>
      <c r="H117" s="27">
        <v>25650</v>
      </c>
      <c r="I117" s="68">
        <v>40</v>
      </c>
    </row>
    <row r="118" spans="1:9" x14ac:dyDescent="0.25">
      <c r="A118" s="27"/>
      <c r="B118" s="27"/>
      <c r="C118" s="27"/>
      <c r="D118" s="27"/>
      <c r="E118" s="27"/>
      <c r="F118" s="27"/>
      <c r="G118" s="27"/>
      <c r="H118" s="27"/>
      <c r="I118" s="27"/>
    </row>
    <row r="119" spans="1:9" x14ac:dyDescent="0.25">
      <c r="A119" s="27"/>
      <c r="B119" s="27"/>
      <c r="C119" s="27"/>
      <c r="D119" s="27"/>
      <c r="E119" s="27"/>
      <c r="F119" s="27"/>
      <c r="G119" s="27"/>
      <c r="H119" s="27"/>
      <c r="I119" s="27"/>
    </row>
    <row r="120" spans="1:9" x14ac:dyDescent="0.25">
      <c r="A120" s="66" t="s">
        <v>462</v>
      </c>
    </row>
    <row r="121" spans="1:9" x14ac:dyDescent="0.25">
      <c r="A121" s="66" t="s">
        <v>457</v>
      </c>
    </row>
    <row r="124" spans="1:9" s="27" customFormat="1" x14ac:dyDescent="0.25"/>
    <row r="125" spans="1:9" s="27" customFormat="1" x14ac:dyDescent="0.25"/>
    <row r="126" spans="1:9" s="27" customFormat="1" x14ac:dyDescent="0.25"/>
    <row r="127" spans="1:9" s="27" customFormat="1" x14ac:dyDescent="0.25"/>
    <row r="128" spans="1:9" s="27" customFormat="1" x14ac:dyDescent="0.25"/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049" r:id="rId4">
          <objectPr defaultSize="0" autoPict="0" r:id="rId5">
            <anchor moveWithCells="1">
              <from>
                <xdr:col>14</xdr:col>
                <xdr:colOff>30480</xdr:colOff>
                <xdr:row>1</xdr:row>
                <xdr:rowOff>30480</xdr:rowOff>
              </from>
              <to>
                <xdr:col>20</xdr:col>
                <xdr:colOff>22860</xdr:colOff>
                <xdr:row>29</xdr:row>
                <xdr:rowOff>0</xdr:rowOff>
              </to>
            </anchor>
          </objectPr>
        </oleObject>
      </mc:Choice>
      <mc:Fallback>
        <oleObject progId="Visio.Drawing.15" shapeId="204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7B97-E2E1-4B8F-B4C2-41CCE4625F61}">
  <sheetPr>
    <tabColor theme="9" tint="0.79998168889431442"/>
  </sheetPr>
  <dimension ref="A1:L128"/>
  <sheetViews>
    <sheetView workbookViewId="0">
      <selection activeCell="K4" sqref="K4"/>
    </sheetView>
  </sheetViews>
  <sheetFormatPr defaultColWidth="8.88671875" defaultRowHeight="13.8" x14ac:dyDescent="0.25"/>
  <cols>
    <col min="1" max="1" width="8.88671875" style="1"/>
    <col min="2" max="2" width="6.77734375" style="1" bestFit="1" customWidth="1"/>
    <col min="3" max="3" width="9.44140625" style="1" bestFit="1" customWidth="1"/>
    <col min="4" max="4" width="10.88671875" style="1" bestFit="1" customWidth="1"/>
    <col min="5" max="6" width="8.88671875" style="1"/>
    <col min="7" max="7" width="11.33203125" style="1" bestFit="1" customWidth="1"/>
    <col min="8" max="8" width="22.21875" style="1" customWidth="1"/>
    <col min="9" max="9" width="8.33203125" style="1" bestFit="1" customWidth="1"/>
    <col min="10" max="16384" width="8.88671875" style="1"/>
  </cols>
  <sheetData>
    <row r="1" spans="1:12" x14ac:dyDescent="0.25">
      <c r="A1" s="60" t="s">
        <v>14</v>
      </c>
      <c r="B1" s="60" t="s">
        <v>15</v>
      </c>
      <c r="C1" s="60" t="s">
        <v>16</v>
      </c>
      <c r="D1" s="60" t="s">
        <v>17</v>
      </c>
      <c r="E1" s="60" t="s">
        <v>18</v>
      </c>
      <c r="F1" s="60" t="s">
        <v>19</v>
      </c>
      <c r="G1" s="60" t="s">
        <v>441</v>
      </c>
      <c r="H1" s="60" t="s">
        <v>85</v>
      </c>
      <c r="I1" s="60" t="s">
        <v>72</v>
      </c>
    </row>
    <row r="2" spans="1:12" x14ac:dyDescent="0.25">
      <c r="A2" s="61">
        <v>1</v>
      </c>
      <c r="B2" s="61">
        <v>1</v>
      </c>
      <c r="C2" s="62">
        <v>3</v>
      </c>
      <c r="D2" s="61">
        <v>101</v>
      </c>
      <c r="E2" s="61">
        <v>102</v>
      </c>
      <c r="F2" s="61">
        <v>1.46E-2</v>
      </c>
      <c r="G2" s="1">
        <f>1.225*(0.75/0.7)</f>
        <v>1.3125</v>
      </c>
      <c r="H2" s="61">
        <v>2850.0000000000005</v>
      </c>
      <c r="I2" s="61">
        <v>40</v>
      </c>
    </row>
    <row r="3" spans="1:12" x14ac:dyDescent="0.25">
      <c r="A3" s="61">
        <v>2</v>
      </c>
      <c r="B3" s="61">
        <v>1</v>
      </c>
      <c r="C3" s="62">
        <v>3</v>
      </c>
      <c r="D3" s="61">
        <v>101</v>
      </c>
      <c r="E3" s="61">
        <v>103</v>
      </c>
      <c r="F3" s="61">
        <v>0.2253</v>
      </c>
      <c r="G3" s="1">
        <f>1.225*(0.75/0.7)</f>
        <v>1.3125</v>
      </c>
      <c r="H3" s="61">
        <v>52250</v>
      </c>
      <c r="I3" s="61">
        <v>40</v>
      </c>
    </row>
    <row r="4" spans="1:12" x14ac:dyDescent="0.25">
      <c r="A4" s="73">
        <v>3</v>
      </c>
      <c r="B4" s="73">
        <v>0</v>
      </c>
      <c r="C4" s="74">
        <v>3</v>
      </c>
      <c r="D4" s="73">
        <v>101</v>
      </c>
      <c r="E4" s="73">
        <v>105</v>
      </c>
      <c r="F4" s="73">
        <v>9.0700000000000003E-2</v>
      </c>
      <c r="G4" s="27">
        <v>1.5</v>
      </c>
      <c r="H4" s="73">
        <v>20900</v>
      </c>
      <c r="I4" s="73">
        <v>40</v>
      </c>
    </row>
    <row r="5" spans="1:12" s="61" customFormat="1" x14ac:dyDescent="0.25">
      <c r="A5" s="61">
        <v>4</v>
      </c>
      <c r="B5" s="61">
        <v>1</v>
      </c>
      <c r="C5" s="62">
        <v>3</v>
      </c>
      <c r="D5" s="61">
        <v>102</v>
      </c>
      <c r="E5" s="61">
        <v>104</v>
      </c>
      <c r="F5" s="61">
        <v>0.1356</v>
      </c>
      <c r="G5" s="1">
        <f>1.225*(0.75/0.7)</f>
        <v>1.3125</v>
      </c>
      <c r="H5" s="61">
        <v>31350.000000000004</v>
      </c>
      <c r="I5" s="61">
        <v>40</v>
      </c>
    </row>
    <row r="6" spans="1:12" x14ac:dyDescent="0.25">
      <c r="A6" s="61">
        <v>5</v>
      </c>
      <c r="B6" s="61">
        <v>1</v>
      </c>
      <c r="C6" s="62">
        <v>3</v>
      </c>
      <c r="D6" s="61">
        <v>102</v>
      </c>
      <c r="E6" s="61">
        <v>106</v>
      </c>
      <c r="F6" s="61">
        <v>0.20499999999999999</v>
      </c>
      <c r="G6" s="1">
        <f>1.225*(0.75/0.7)</f>
        <v>1.3125</v>
      </c>
      <c r="H6" s="61">
        <v>47500</v>
      </c>
      <c r="I6" s="61">
        <v>40</v>
      </c>
    </row>
    <row r="7" spans="1:12" x14ac:dyDescent="0.25">
      <c r="A7" s="61">
        <v>6</v>
      </c>
      <c r="B7" s="61">
        <v>1</v>
      </c>
      <c r="C7" s="62">
        <v>3</v>
      </c>
      <c r="D7" s="61">
        <v>103</v>
      </c>
      <c r="E7" s="61">
        <v>109</v>
      </c>
      <c r="F7" s="61">
        <v>0.12709999999999999</v>
      </c>
      <c r="G7" s="1">
        <f>1.225*(0.75/0.7)</f>
        <v>1.3125</v>
      </c>
      <c r="H7" s="61">
        <v>29450</v>
      </c>
      <c r="I7" s="61">
        <v>40</v>
      </c>
    </row>
    <row r="8" spans="1:12" x14ac:dyDescent="0.25">
      <c r="A8" s="61">
        <v>7</v>
      </c>
      <c r="B8" s="61">
        <v>1</v>
      </c>
      <c r="C8" s="62">
        <v>3</v>
      </c>
      <c r="D8" s="61">
        <v>103</v>
      </c>
      <c r="E8" s="61">
        <v>124</v>
      </c>
      <c r="F8" s="61">
        <v>8.4000000000000005E-2</v>
      </c>
      <c r="G8" s="1">
        <f>2.8*(0.75/0.7)</f>
        <v>2.9999999999999996</v>
      </c>
      <c r="H8" s="61">
        <v>47500</v>
      </c>
      <c r="I8" s="61">
        <v>40</v>
      </c>
    </row>
    <row r="9" spans="1:12" s="61" customFormat="1" x14ac:dyDescent="0.25">
      <c r="A9" s="61">
        <v>8</v>
      </c>
      <c r="B9" s="61">
        <v>1</v>
      </c>
      <c r="C9" s="62">
        <v>3</v>
      </c>
      <c r="D9" s="61">
        <v>104</v>
      </c>
      <c r="E9" s="61">
        <v>109</v>
      </c>
      <c r="F9" s="61">
        <v>0.111</v>
      </c>
      <c r="G9" s="1">
        <f>1.225*(0.75/0.7)</f>
        <v>1.3125</v>
      </c>
      <c r="H9" s="61">
        <v>25650</v>
      </c>
      <c r="I9" s="61">
        <v>40</v>
      </c>
    </row>
    <row r="10" spans="1:12" x14ac:dyDescent="0.25">
      <c r="A10" s="73">
        <v>9</v>
      </c>
      <c r="B10" s="73">
        <v>0</v>
      </c>
      <c r="C10" s="74">
        <v>3</v>
      </c>
      <c r="D10" s="73">
        <v>105</v>
      </c>
      <c r="E10" s="73">
        <v>110</v>
      </c>
      <c r="F10" s="73">
        <v>9.4E-2</v>
      </c>
      <c r="G10" s="27">
        <v>1.5</v>
      </c>
      <c r="H10" s="73">
        <v>21850</v>
      </c>
      <c r="I10" s="73">
        <v>40</v>
      </c>
    </row>
    <row r="11" spans="1:12" x14ac:dyDescent="0.25">
      <c r="A11" s="61">
        <v>10</v>
      </c>
      <c r="B11" s="61">
        <v>1</v>
      </c>
      <c r="C11" s="62">
        <v>3</v>
      </c>
      <c r="D11" s="61">
        <v>106</v>
      </c>
      <c r="E11" s="61">
        <v>110</v>
      </c>
      <c r="F11" s="61">
        <v>6.4199999999999993E-2</v>
      </c>
      <c r="G11" s="1">
        <f>1.225*(0.75/0.7)</f>
        <v>1.3125</v>
      </c>
      <c r="H11" s="61">
        <v>15200</v>
      </c>
      <c r="I11" s="61">
        <v>40</v>
      </c>
    </row>
    <row r="12" spans="1:12" s="49" customFormat="1" x14ac:dyDescent="0.25">
      <c r="A12" s="61">
        <v>11</v>
      </c>
      <c r="B12" s="63">
        <v>1</v>
      </c>
      <c r="C12" s="63">
        <v>3</v>
      </c>
      <c r="D12" s="63">
        <v>107</v>
      </c>
      <c r="E12" s="63">
        <v>108</v>
      </c>
      <c r="F12" s="64">
        <v>6.5199999999999994E-2</v>
      </c>
      <c r="G12" s="1">
        <f>2.45*(0.75/0.7)</f>
        <v>2.625</v>
      </c>
      <c r="H12" s="65">
        <v>30400</v>
      </c>
      <c r="I12" s="63">
        <v>40</v>
      </c>
      <c r="K12" s="1"/>
      <c r="L12" s="1"/>
    </row>
    <row r="13" spans="1:12" x14ac:dyDescent="0.25">
      <c r="A13" s="61">
        <v>12</v>
      </c>
      <c r="B13" s="61">
        <v>1</v>
      </c>
      <c r="C13" s="62">
        <v>3</v>
      </c>
      <c r="D13" s="61">
        <v>108</v>
      </c>
      <c r="E13" s="61">
        <v>109</v>
      </c>
      <c r="F13" s="61">
        <v>0.1762</v>
      </c>
      <c r="G13" s="1">
        <f>1.225*(0.75/0.7)</f>
        <v>1.3125</v>
      </c>
      <c r="H13" s="61">
        <v>40850</v>
      </c>
      <c r="I13" s="61">
        <v>40</v>
      </c>
    </row>
    <row r="14" spans="1:12" x14ac:dyDescent="0.25">
      <c r="A14" s="61">
        <v>13</v>
      </c>
      <c r="B14" s="61">
        <v>1</v>
      </c>
      <c r="C14" s="62">
        <v>3</v>
      </c>
      <c r="D14" s="61">
        <v>108</v>
      </c>
      <c r="E14" s="61">
        <v>110</v>
      </c>
      <c r="F14" s="61">
        <v>0.1762</v>
      </c>
      <c r="G14" s="1">
        <f>1.225*(0.75/0.7)</f>
        <v>1.3125</v>
      </c>
      <c r="H14" s="61">
        <v>40850</v>
      </c>
      <c r="I14" s="61">
        <v>40</v>
      </c>
    </row>
    <row r="15" spans="1:12" x14ac:dyDescent="0.25">
      <c r="A15" s="61">
        <v>14</v>
      </c>
      <c r="B15" s="61">
        <v>1</v>
      </c>
      <c r="C15" s="62">
        <v>3</v>
      </c>
      <c r="D15" s="61">
        <v>109</v>
      </c>
      <c r="E15" s="61">
        <v>111</v>
      </c>
      <c r="F15" s="61">
        <v>8.4000000000000005E-2</v>
      </c>
      <c r="G15" s="1">
        <f>2.8*(0.75/0.7)</f>
        <v>2.9999999999999996</v>
      </c>
      <c r="H15" s="61">
        <v>47500</v>
      </c>
      <c r="I15" s="61">
        <v>40</v>
      </c>
    </row>
    <row r="16" spans="1:12" x14ac:dyDescent="0.25">
      <c r="A16" s="61">
        <v>15</v>
      </c>
      <c r="B16" s="61">
        <v>1</v>
      </c>
      <c r="C16" s="62">
        <v>3</v>
      </c>
      <c r="D16" s="61">
        <v>109</v>
      </c>
      <c r="E16" s="61">
        <v>112</v>
      </c>
      <c r="F16" s="61">
        <v>8.4000000000000005E-2</v>
      </c>
      <c r="G16" s="1">
        <f>2.8*(0.75/0.7)</f>
        <v>2.9999999999999996</v>
      </c>
      <c r="H16" s="61">
        <v>47500</v>
      </c>
      <c r="I16" s="61">
        <v>40</v>
      </c>
    </row>
    <row r="17" spans="1:9" x14ac:dyDescent="0.25">
      <c r="A17" s="61">
        <v>16</v>
      </c>
      <c r="B17" s="61">
        <v>1</v>
      </c>
      <c r="C17" s="62">
        <v>3</v>
      </c>
      <c r="D17" s="61">
        <v>110</v>
      </c>
      <c r="E17" s="61">
        <v>111</v>
      </c>
      <c r="F17" s="61">
        <v>8.4000000000000005E-2</v>
      </c>
      <c r="G17" s="1">
        <f>2.8*(0.75/0.7)</f>
        <v>2.9999999999999996</v>
      </c>
      <c r="H17" s="61">
        <v>47500</v>
      </c>
      <c r="I17" s="61">
        <v>40</v>
      </c>
    </row>
    <row r="18" spans="1:9" x14ac:dyDescent="0.25">
      <c r="A18" s="61">
        <v>17</v>
      </c>
      <c r="B18" s="61">
        <v>1</v>
      </c>
      <c r="C18" s="62">
        <v>3</v>
      </c>
      <c r="D18" s="61">
        <v>110</v>
      </c>
      <c r="E18" s="61">
        <v>112</v>
      </c>
      <c r="F18" s="61">
        <v>8.4000000000000005E-2</v>
      </c>
      <c r="G18" s="1">
        <f>2.8*(0.75/0.7)</f>
        <v>2.9999999999999996</v>
      </c>
      <c r="H18" s="61">
        <v>47500</v>
      </c>
      <c r="I18" s="61">
        <v>40</v>
      </c>
    </row>
    <row r="19" spans="1:9" x14ac:dyDescent="0.25">
      <c r="A19" s="61">
        <v>18</v>
      </c>
      <c r="B19" s="61">
        <v>1</v>
      </c>
      <c r="C19" s="62">
        <v>3</v>
      </c>
      <c r="D19" s="61">
        <v>111</v>
      </c>
      <c r="E19" s="61">
        <v>113</v>
      </c>
      <c r="F19" s="61">
        <v>4.8800000000000003E-2</v>
      </c>
      <c r="G19" s="1">
        <f t="shared" ref="G19:G25" si="0">3.5*(0.75/0.7)</f>
        <v>3.75</v>
      </c>
      <c r="H19" s="61">
        <v>31350.000000000004</v>
      </c>
      <c r="I19" s="61">
        <v>40</v>
      </c>
    </row>
    <row r="20" spans="1:9" x14ac:dyDescent="0.25">
      <c r="A20" s="61">
        <v>19</v>
      </c>
      <c r="B20" s="61">
        <v>1</v>
      </c>
      <c r="C20" s="62">
        <v>3</v>
      </c>
      <c r="D20" s="61">
        <v>111</v>
      </c>
      <c r="E20" s="61">
        <v>114</v>
      </c>
      <c r="F20" s="61">
        <v>4.2599999999999999E-2</v>
      </c>
      <c r="G20" s="1">
        <f t="shared" si="0"/>
        <v>3.75</v>
      </c>
      <c r="H20" s="61">
        <v>27550</v>
      </c>
      <c r="I20" s="61">
        <v>40</v>
      </c>
    </row>
    <row r="21" spans="1:9" x14ac:dyDescent="0.25">
      <c r="A21" s="61">
        <v>20</v>
      </c>
      <c r="B21" s="61">
        <v>1</v>
      </c>
      <c r="C21" s="62">
        <v>3</v>
      </c>
      <c r="D21" s="61">
        <v>112</v>
      </c>
      <c r="E21" s="61">
        <v>113</v>
      </c>
      <c r="F21" s="61">
        <v>4.8800000000000003E-2</v>
      </c>
      <c r="G21" s="1">
        <f t="shared" si="0"/>
        <v>3.75</v>
      </c>
      <c r="H21" s="61">
        <v>31350.000000000004</v>
      </c>
      <c r="I21" s="61">
        <v>40</v>
      </c>
    </row>
    <row r="22" spans="1:9" x14ac:dyDescent="0.25">
      <c r="A22" s="61">
        <v>21</v>
      </c>
      <c r="B22" s="61">
        <v>1</v>
      </c>
      <c r="C22" s="62">
        <v>3</v>
      </c>
      <c r="D22" s="61">
        <v>112</v>
      </c>
      <c r="E22" s="61">
        <v>123</v>
      </c>
      <c r="F22" s="61">
        <v>9.8500000000000004E-2</v>
      </c>
      <c r="G22" s="1">
        <f t="shared" si="0"/>
        <v>3.75</v>
      </c>
      <c r="H22" s="61">
        <v>63650</v>
      </c>
      <c r="I22" s="61">
        <v>40</v>
      </c>
    </row>
    <row r="23" spans="1:9" x14ac:dyDescent="0.25">
      <c r="A23" s="61">
        <v>22</v>
      </c>
      <c r="B23" s="61">
        <v>1</v>
      </c>
      <c r="C23" s="62">
        <v>3</v>
      </c>
      <c r="D23" s="61">
        <v>113</v>
      </c>
      <c r="E23" s="61">
        <v>123</v>
      </c>
      <c r="F23" s="61">
        <v>8.8400000000000006E-2</v>
      </c>
      <c r="G23" s="27">
        <f>(3.5*(0.75/0.7))*0.8</f>
        <v>3</v>
      </c>
      <c r="H23" s="61">
        <v>57000</v>
      </c>
      <c r="I23" s="61">
        <v>40</v>
      </c>
    </row>
    <row r="24" spans="1:9" x14ac:dyDescent="0.25">
      <c r="A24" s="61">
        <v>23</v>
      </c>
      <c r="B24" s="61">
        <v>1</v>
      </c>
      <c r="C24" s="62">
        <v>3</v>
      </c>
      <c r="D24" s="61">
        <v>114</v>
      </c>
      <c r="E24" s="61">
        <v>116</v>
      </c>
      <c r="F24" s="61">
        <v>5.9400000000000001E-2</v>
      </c>
      <c r="G24" s="27">
        <v>1.875</v>
      </c>
      <c r="H24" s="61">
        <v>25650</v>
      </c>
      <c r="I24" s="61">
        <v>40</v>
      </c>
    </row>
    <row r="25" spans="1:9" x14ac:dyDescent="0.25">
      <c r="A25" s="61">
        <v>24</v>
      </c>
      <c r="B25" s="61">
        <v>1</v>
      </c>
      <c r="C25" s="62">
        <v>3</v>
      </c>
      <c r="D25" s="61">
        <v>115</v>
      </c>
      <c r="E25" s="61">
        <v>116</v>
      </c>
      <c r="F25" s="61">
        <v>1.72E-2</v>
      </c>
      <c r="G25" s="1">
        <f t="shared" si="0"/>
        <v>3.75</v>
      </c>
      <c r="H25" s="61">
        <v>11400.000000000002</v>
      </c>
      <c r="I25" s="61">
        <v>40</v>
      </c>
    </row>
    <row r="26" spans="1:9" x14ac:dyDescent="0.25">
      <c r="A26" s="61">
        <v>25</v>
      </c>
      <c r="B26" s="61">
        <v>1</v>
      </c>
      <c r="C26" s="62">
        <v>3</v>
      </c>
      <c r="D26" s="61">
        <v>115</v>
      </c>
      <c r="E26" s="61">
        <v>121</v>
      </c>
      <c r="F26" s="61">
        <v>2.4899999999999999E-2</v>
      </c>
      <c r="G26" s="1">
        <f>7*(0.75/0.7)</f>
        <v>7.5</v>
      </c>
      <c r="H26" s="61">
        <v>32300</v>
      </c>
      <c r="I26" s="61">
        <v>40</v>
      </c>
    </row>
    <row r="27" spans="1:9" x14ac:dyDescent="0.25">
      <c r="A27" s="61">
        <v>26</v>
      </c>
      <c r="B27" s="61">
        <v>1</v>
      </c>
      <c r="C27" s="62">
        <v>3</v>
      </c>
      <c r="D27" s="61">
        <v>115</v>
      </c>
      <c r="E27" s="61">
        <v>124</v>
      </c>
      <c r="F27" s="61">
        <v>5.2900000000000003E-2</v>
      </c>
      <c r="G27" s="1">
        <f>3.5*(0.75/0.7)</f>
        <v>3.75</v>
      </c>
      <c r="H27" s="61">
        <v>17100</v>
      </c>
      <c r="I27" s="61">
        <v>40</v>
      </c>
    </row>
    <row r="28" spans="1:9" x14ac:dyDescent="0.25">
      <c r="A28" s="61">
        <v>27</v>
      </c>
      <c r="B28" s="61">
        <v>1</v>
      </c>
      <c r="C28" s="62">
        <v>3</v>
      </c>
      <c r="D28" s="61">
        <v>116</v>
      </c>
      <c r="E28" s="61">
        <v>117</v>
      </c>
      <c r="F28" s="61">
        <v>2.63E-2</v>
      </c>
      <c r="G28" s="1">
        <f>3.5*(0.75/0.7)</f>
        <v>3.75</v>
      </c>
      <c r="H28" s="61">
        <v>15200</v>
      </c>
      <c r="I28" s="61">
        <v>40</v>
      </c>
    </row>
    <row r="29" spans="1:9" x14ac:dyDescent="0.25">
      <c r="A29" s="61">
        <v>28</v>
      </c>
      <c r="B29" s="61">
        <v>1</v>
      </c>
      <c r="C29" s="62">
        <v>3</v>
      </c>
      <c r="D29" s="61">
        <v>116</v>
      </c>
      <c r="E29" s="61">
        <v>119</v>
      </c>
      <c r="F29" s="61">
        <v>2.3400000000000001E-2</v>
      </c>
      <c r="G29" s="1">
        <f>3.5*(0.75/0.7)</f>
        <v>3.75</v>
      </c>
      <c r="H29" s="61">
        <v>9500</v>
      </c>
      <c r="I29" s="61">
        <v>40</v>
      </c>
    </row>
    <row r="30" spans="1:9" x14ac:dyDescent="0.25">
      <c r="A30" s="61">
        <v>29</v>
      </c>
      <c r="B30" s="61">
        <v>1</v>
      </c>
      <c r="C30" s="62">
        <v>3</v>
      </c>
      <c r="D30" s="61">
        <v>117</v>
      </c>
      <c r="E30" s="61">
        <v>118</v>
      </c>
      <c r="F30" s="61">
        <v>1.43E-2</v>
      </c>
      <c r="G30" s="1">
        <f>3.5*(0.75/0.7)</f>
        <v>3.75</v>
      </c>
      <c r="H30" s="61">
        <v>69350</v>
      </c>
      <c r="I30" s="61">
        <v>40</v>
      </c>
    </row>
    <row r="31" spans="1:9" x14ac:dyDescent="0.25">
      <c r="A31" s="61">
        <v>30</v>
      </c>
      <c r="B31" s="61">
        <v>1</v>
      </c>
      <c r="C31" s="61">
        <v>3</v>
      </c>
      <c r="D31" s="61">
        <v>117</v>
      </c>
      <c r="E31" s="61">
        <v>122</v>
      </c>
      <c r="F31" s="61">
        <v>0.1069</v>
      </c>
      <c r="G31" s="1">
        <f>3.5*(0.75/0.7)</f>
        <v>3.75</v>
      </c>
      <c r="H31" s="61">
        <v>17100</v>
      </c>
      <c r="I31" s="61">
        <v>40</v>
      </c>
    </row>
    <row r="32" spans="1:9" x14ac:dyDescent="0.25">
      <c r="A32" s="61">
        <v>31</v>
      </c>
      <c r="B32" s="61">
        <v>1</v>
      </c>
      <c r="C32" s="61">
        <v>3</v>
      </c>
      <c r="D32" s="61">
        <v>118</v>
      </c>
      <c r="E32" s="61">
        <v>121</v>
      </c>
      <c r="F32" s="61">
        <v>1.32E-2</v>
      </c>
      <c r="G32" s="1">
        <f>7*(0.75/0.7)</f>
        <v>7.5</v>
      </c>
      <c r="H32" s="61">
        <v>26125</v>
      </c>
      <c r="I32" s="61">
        <v>40</v>
      </c>
    </row>
    <row r="33" spans="1:12" x14ac:dyDescent="0.25">
      <c r="A33" s="61">
        <v>32</v>
      </c>
      <c r="B33" s="61">
        <v>1</v>
      </c>
      <c r="C33" s="61">
        <v>3</v>
      </c>
      <c r="D33" s="61">
        <v>119</v>
      </c>
      <c r="E33" s="61">
        <v>120</v>
      </c>
      <c r="F33" s="61">
        <v>2.0299999999999999E-2</v>
      </c>
      <c r="G33" s="1">
        <f>7*(0.75/0.7)</f>
        <v>7.5</v>
      </c>
      <c r="H33" s="61">
        <v>44650</v>
      </c>
      <c r="I33" s="61">
        <v>40</v>
      </c>
    </row>
    <row r="34" spans="1:12" x14ac:dyDescent="0.25">
      <c r="A34" s="61">
        <v>33</v>
      </c>
      <c r="B34" s="61">
        <v>1</v>
      </c>
      <c r="C34" s="61">
        <v>3</v>
      </c>
      <c r="D34" s="61">
        <v>120</v>
      </c>
      <c r="E34" s="61">
        <v>123</v>
      </c>
      <c r="F34" s="61">
        <v>1.12E-2</v>
      </c>
      <c r="G34" s="1">
        <f>7*(0.75/0.7)</f>
        <v>7.5</v>
      </c>
      <c r="H34" s="61">
        <v>31349.999999999996</v>
      </c>
      <c r="I34" s="61">
        <v>40</v>
      </c>
    </row>
    <row r="35" spans="1:12" x14ac:dyDescent="0.25">
      <c r="A35" s="61">
        <v>34</v>
      </c>
      <c r="B35" s="61">
        <v>1</v>
      </c>
      <c r="C35" s="61">
        <v>3</v>
      </c>
      <c r="D35" s="61">
        <v>121</v>
      </c>
      <c r="E35" s="61">
        <v>122</v>
      </c>
      <c r="F35" s="61">
        <v>6.9199999999999998E-2</v>
      </c>
      <c r="G35" s="1">
        <f>3.5*(0.75/0.7)</f>
        <v>3.75</v>
      </c>
      <c r="H35" s="61">
        <v>29450</v>
      </c>
      <c r="I35" s="61">
        <v>40</v>
      </c>
    </row>
    <row r="36" spans="1:12" x14ac:dyDescent="0.25">
      <c r="A36" s="61">
        <v>35</v>
      </c>
      <c r="B36" s="61">
        <v>1</v>
      </c>
      <c r="C36" s="62">
        <v>3</v>
      </c>
      <c r="D36" s="61">
        <v>201</v>
      </c>
      <c r="E36" s="61">
        <v>202</v>
      </c>
      <c r="F36" s="61">
        <v>1.46E-2</v>
      </c>
      <c r="G36" s="1">
        <f>1.225*(0.75/0.7)</f>
        <v>1.3125</v>
      </c>
      <c r="H36" s="61">
        <v>2850.0000000000005</v>
      </c>
      <c r="I36" s="61">
        <v>40</v>
      </c>
    </row>
    <row r="37" spans="1:12" x14ac:dyDescent="0.25">
      <c r="A37" s="61">
        <v>36</v>
      </c>
      <c r="B37" s="61">
        <v>1</v>
      </c>
      <c r="C37" s="62">
        <v>3</v>
      </c>
      <c r="D37" s="61">
        <v>201</v>
      </c>
      <c r="E37" s="61">
        <v>203</v>
      </c>
      <c r="F37" s="61">
        <v>0.2253</v>
      </c>
      <c r="G37" s="1">
        <f>1.225*(0.75/0.7)</f>
        <v>1.3125</v>
      </c>
      <c r="H37" s="61">
        <v>52250</v>
      </c>
      <c r="I37" s="61">
        <v>40</v>
      </c>
    </row>
    <row r="38" spans="1:12" x14ac:dyDescent="0.25">
      <c r="A38" s="73">
        <v>37</v>
      </c>
      <c r="B38" s="73">
        <v>1</v>
      </c>
      <c r="C38" s="74">
        <v>3</v>
      </c>
      <c r="D38" s="73">
        <v>201</v>
      </c>
      <c r="E38" s="73">
        <v>205</v>
      </c>
      <c r="F38" s="73">
        <v>9.0700000000000003E-2</v>
      </c>
      <c r="G38" s="27">
        <v>1.5</v>
      </c>
      <c r="H38" s="73">
        <v>20900</v>
      </c>
      <c r="I38" s="73">
        <v>40</v>
      </c>
    </row>
    <row r="39" spans="1:12" s="61" customFormat="1" x14ac:dyDescent="0.25">
      <c r="A39" s="61">
        <v>38</v>
      </c>
      <c r="B39" s="61">
        <v>1</v>
      </c>
      <c r="C39" s="62">
        <v>3</v>
      </c>
      <c r="D39" s="61">
        <v>202</v>
      </c>
      <c r="E39" s="61">
        <v>204</v>
      </c>
      <c r="F39" s="61">
        <v>0.1356</v>
      </c>
      <c r="G39" s="1">
        <f>1.225*(0.75/0.7)</f>
        <v>1.3125</v>
      </c>
      <c r="H39" s="61">
        <v>31350.000000000004</v>
      </c>
      <c r="I39" s="61">
        <v>40</v>
      </c>
    </row>
    <row r="40" spans="1:12" s="27" customFormat="1" x14ac:dyDescent="0.25">
      <c r="A40" s="61">
        <v>39</v>
      </c>
      <c r="B40" s="61">
        <v>1</v>
      </c>
      <c r="C40" s="62">
        <v>3</v>
      </c>
      <c r="D40" s="61">
        <v>202</v>
      </c>
      <c r="E40" s="61">
        <v>206</v>
      </c>
      <c r="F40" s="61">
        <v>0.20499999999999999</v>
      </c>
      <c r="G40" s="1">
        <f>1.225*(0.75/0.7)</f>
        <v>1.3125</v>
      </c>
      <c r="H40" s="61">
        <v>47500</v>
      </c>
      <c r="I40" s="61">
        <v>40</v>
      </c>
      <c r="K40" s="1"/>
      <c r="L40" s="1"/>
    </row>
    <row r="41" spans="1:12" s="27" customFormat="1" x14ac:dyDescent="0.25">
      <c r="A41" s="61">
        <v>40</v>
      </c>
      <c r="B41" s="61">
        <v>1</v>
      </c>
      <c r="C41" s="62">
        <v>3</v>
      </c>
      <c r="D41" s="61">
        <v>203</v>
      </c>
      <c r="E41" s="61">
        <v>209</v>
      </c>
      <c r="F41" s="61">
        <v>0.12709999999999999</v>
      </c>
      <c r="G41" s="1">
        <f>1.225*(0.75/0.7)</f>
        <v>1.3125</v>
      </c>
      <c r="H41" s="61">
        <v>29450</v>
      </c>
      <c r="I41" s="61">
        <v>40</v>
      </c>
      <c r="K41" s="1"/>
      <c r="L41" s="1"/>
    </row>
    <row r="42" spans="1:12" s="27" customFormat="1" x14ac:dyDescent="0.25">
      <c r="A42" s="61">
        <v>41</v>
      </c>
      <c r="B42" s="61">
        <v>1</v>
      </c>
      <c r="C42" s="62">
        <v>3</v>
      </c>
      <c r="D42" s="61">
        <v>203</v>
      </c>
      <c r="E42" s="61">
        <v>224</v>
      </c>
      <c r="F42" s="61">
        <v>8.4000000000000005E-2</v>
      </c>
      <c r="G42" s="1">
        <f>2.8*(0.75/0.7)</f>
        <v>2.9999999999999996</v>
      </c>
      <c r="H42" s="61">
        <v>47500</v>
      </c>
      <c r="I42" s="61">
        <v>40</v>
      </c>
      <c r="K42" s="1"/>
      <c r="L42" s="1"/>
    </row>
    <row r="43" spans="1:12" s="65" customFormat="1" x14ac:dyDescent="0.25">
      <c r="A43" s="61">
        <v>42</v>
      </c>
      <c r="B43" s="61">
        <v>1</v>
      </c>
      <c r="C43" s="62">
        <v>3</v>
      </c>
      <c r="D43" s="61">
        <v>204</v>
      </c>
      <c r="E43" s="61">
        <v>209</v>
      </c>
      <c r="F43" s="61">
        <v>0.111</v>
      </c>
      <c r="G43" s="1">
        <f>1.225*(0.75/0.7)</f>
        <v>1.3125</v>
      </c>
      <c r="H43" s="61">
        <v>25650</v>
      </c>
      <c r="I43" s="61">
        <v>40</v>
      </c>
      <c r="K43" s="61"/>
      <c r="L43" s="61"/>
    </row>
    <row r="44" spans="1:12" s="27" customFormat="1" x14ac:dyDescent="0.25">
      <c r="A44" s="73">
        <v>43</v>
      </c>
      <c r="B44" s="73">
        <v>1</v>
      </c>
      <c r="C44" s="74">
        <v>3</v>
      </c>
      <c r="D44" s="73">
        <v>205</v>
      </c>
      <c r="E44" s="73">
        <v>210</v>
      </c>
      <c r="F44" s="73">
        <v>9.4E-2</v>
      </c>
      <c r="G44" s="27">
        <v>1.5</v>
      </c>
      <c r="H44" s="73">
        <v>21850</v>
      </c>
      <c r="I44" s="73">
        <v>40</v>
      </c>
      <c r="K44" s="1"/>
      <c r="L44" s="1"/>
    </row>
    <row r="45" spans="1:12" x14ac:dyDescent="0.25">
      <c r="A45" s="61">
        <v>44</v>
      </c>
      <c r="B45" s="61">
        <v>1</v>
      </c>
      <c r="C45" s="62">
        <v>3</v>
      </c>
      <c r="D45" s="61">
        <v>206</v>
      </c>
      <c r="E45" s="61">
        <v>210</v>
      </c>
      <c r="F45" s="61">
        <v>6.4199999999999993E-2</v>
      </c>
      <c r="G45" s="1">
        <f>1.225*(0.75/0.7)</f>
        <v>1.3125</v>
      </c>
      <c r="H45" s="61">
        <v>15200</v>
      </c>
      <c r="I45" s="61">
        <v>40</v>
      </c>
    </row>
    <row r="46" spans="1:12" x14ac:dyDescent="0.25">
      <c r="A46" s="61">
        <v>45</v>
      </c>
      <c r="B46" s="63">
        <v>1</v>
      </c>
      <c r="C46" s="63">
        <v>3</v>
      </c>
      <c r="D46" s="63">
        <v>207</v>
      </c>
      <c r="E46" s="63">
        <v>208</v>
      </c>
      <c r="F46" s="64">
        <v>6.5199999999999994E-2</v>
      </c>
      <c r="G46" s="27">
        <v>1.5</v>
      </c>
      <c r="H46" s="65">
        <v>30400</v>
      </c>
      <c r="I46" s="63">
        <v>40</v>
      </c>
    </row>
    <row r="47" spans="1:12" x14ac:dyDescent="0.25">
      <c r="A47" s="61">
        <v>46</v>
      </c>
      <c r="B47" s="61">
        <v>1</v>
      </c>
      <c r="C47" s="62">
        <v>3</v>
      </c>
      <c r="D47" s="61">
        <v>208</v>
      </c>
      <c r="E47" s="61">
        <v>209</v>
      </c>
      <c r="F47" s="61">
        <v>0.1762</v>
      </c>
      <c r="G47" s="1">
        <f>1.225*(0.75/0.7)</f>
        <v>1.3125</v>
      </c>
      <c r="H47" s="61">
        <v>40850</v>
      </c>
      <c r="I47" s="61">
        <v>40</v>
      </c>
    </row>
    <row r="48" spans="1:12" x14ac:dyDescent="0.25">
      <c r="A48" s="61">
        <v>47</v>
      </c>
      <c r="B48" s="61">
        <v>1</v>
      </c>
      <c r="C48" s="62">
        <v>3</v>
      </c>
      <c r="D48" s="61">
        <v>208</v>
      </c>
      <c r="E48" s="61">
        <v>210</v>
      </c>
      <c r="F48" s="61">
        <v>0.1762</v>
      </c>
      <c r="G48" s="1">
        <f>1.225*(0.75/0.7)</f>
        <v>1.3125</v>
      </c>
      <c r="H48" s="61">
        <v>40850</v>
      </c>
      <c r="I48" s="61">
        <v>40</v>
      </c>
    </row>
    <row r="49" spans="1:9" x14ac:dyDescent="0.25">
      <c r="A49" s="61">
        <v>48</v>
      </c>
      <c r="B49" s="61">
        <v>1</v>
      </c>
      <c r="C49" s="62">
        <v>3</v>
      </c>
      <c r="D49" s="61">
        <v>209</v>
      </c>
      <c r="E49" s="61">
        <v>211</v>
      </c>
      <c r="F49" s="61">
        <v>8.4000000000000005E-2</v>
      </c>
      <c r="G49" s="1">
        <f>2.8*(0.75/0.7)</f>
        <v>2.9999999999999996</v>
      </c>
      <c r="H49" s="61">
        <v>47500</v>
      </c>
      <c r="I49" s="61">
        <v>40</v>
      </c>
    </row>
    <row r="50" spans="1:9" x14ac:dyDescent="0.25">
      <c r="A50" s="61">
        <v>49</v>
      </c>
      <c r="B50" s="61">
        <v>1</v>
      </c>
      <c r="C50" s="62">
        <v>3</v>
      </c>
      <c r="D50" s="61">
        <v>209</v>
      </c>
      <c r="E50" s="61">
        <v>212</v>
      </c>
      <c r="F50" s="61">
        <v>8.4000000000000005E-2</v>
      </c>
      <c r="G50" s="1">
        <f>2.8*(0.75/0.7)</f>
        <v>2.9999999999999996</v>
      </c>
      <c r="H50" s="61">
        <v>47500</v>
      </c>
      <c r="I50" s="61">
        <v>40</v>
      </c>
    </row>
    <row r="51" spans="1:9" x14ac:dyDescent="0.25">
      <c r="A51" s="61">
        <v>50</v>
      </c>
      <c r="B51" s="61">
        <v>1</v>
      </c>
      <c r="C51" s="62">
        <v>3</v>
      </c>
      <c r="D51" s="61">
        <v>210</v>
      </c>
      <c r="E51" s="61">
        <v>211</v>
      </c>
      <c r="F51" s="61">
        <v>8.4000000000000005E-2</v>
      </c>
      <c r="G51" s="1">
        <f>2.8*(0.75/0.7)</f>
        <v>2.9999999999999996</v>
      </c>
      <c r="H51" s="61">
        <v>47500</v>
      </c>
      <c r="I51" s="61">
        <v>40</v>
      </c>
    </row>
    <row r="52" spans="1:9" x14ac:dyDescent="0.25">
      <c r="A52" s="61">
        <v>51</v>
      </c>
      <c r="B52" s="61">
        <v>1</v>
      </c>
      <c r="C52" s="62">
        <v>3</v>
      </c>
      <c r="D52" s="61">
        <v>210</v>
      </c>
      <c r="E52" s="61">
        <v>212</v>
      </c>
      <c r="F52" s="61">
        <v>8.4000000000000005E-2</v>
      </c>
      <c r="G52" s="1">
        <f>2.8*(0.75/0.7)</f>
        <v>2.9999999999999996</v>
      </c>
      <c r="H52" s="61">
        <v>47500</v>
      </c>
      <c r="I52" s="61">
        <v>40</v>
      </c>
    </row>
    <row r="53" spans="1:9" x14ac:dyDescent="0.25">
      <c r="A53" s="61">
        <v>52</v>
      </c>
      <c r="B53" s="61">
        <v>1</v>
      </c>
      <c r="C53" s="62">
        <v>3</v>
      </c>
      <c r="D53" s="61">
        <v>211</v>
      </c>
      <c r="E53" s="61">
        <v>213</v>
      </c>
      <c r="F53" s="61">
        <v>4.8800000000000003E-2</v>
      </c>
      <c r="G53" s="1">
        <f t="shared" ref="G53:G59" si="1">3.5*(0.75/0.7)</f>
        <v>3.75</v>
      </c>
      <c r="H53" s="61">
        <v>31350.000000000004</v>
      </c>
      <c r="I53" s="61">
        <v>40</v>
      </c>
    </row>
    <row r="54" spans="1:9" x14ac:dyDescent="0.25">
      <c r="A54" s="61">
        <v>53</v>
      </c>
      <c r="B54" s="61">
        <v>1</v>
      </c>
      <c r="C54" s="62">
        <v>3</v>
      </c>
      <c r="D54" s="61">
        <v>211</v>
      </c>
      <c r="E54" s="61">
        <v>214</v>
      </c>
      <c r="F54" s="61">
        <v>4.2599999999999999E-2</v>
      </c>
      <c r="G54" s="1">
        <f t="shared" si="1"/>
        <v>3.75</v>
      </c>
      <c r="H54" s="61">
        <v>27550</v>
      </c>
      <c r="I54" s="61">
        <v>40</v>
      </c>
    </row>
    <row r="55" spans="1:9" x14ac:dyDescent="0.25">
      <c r="A55" s="61">
        <v>54</v>
      </c>
      <c r="B55" s="61">
        <v>1</v>
      </c>
      <c r="C55" s="62">
        <v>3</v>
      </c>
      <c r="D55" s="61">
        <v>212</v>
      </c>
      <c r="E55" s="61">
        <v>213</v>
      </c>
      <c r="F55" s="61">
        <v>4.8800000000000003E-2</v>
      </c>
      <c r="G55" s="1">
        <f t="shared" si="1"/>
        <v>3.75</v>
      </c>
      <c r="H55" s="61">
        <v>31350.000000000004</v>
      </c>
      <c r="I55" s="61">
        <v>40</v>
      </c>
    </row>
    <row r="56" spans="1:9" x14ac:dyDescent="0.25">
      <c r="A56" s="61">
        <v>55</v>
      </c>
      <c r="B56" s="61">
        <v>1</v>
      </c>
      <c r="C56" s="62">
        <v>3</v>
      </c>
      <c r="D56" s="61">
        <v>212</v>
      </c>
      <c r="E56" s="61">
        <v>223</v>
      </c>
      <c r="F56" s="61">
        <v>9.8500000000000004E-2</v>
      </c>
      <c r="G56" s="1">
        <f t="shared" si="1"/>
        <v>3.75</v>
      </c>
      <c r="H56" s="61">
        <v>63650</v>
      </c>
      <c r="I56" s="61">
        <v>40</v>
      </c>
    </row>
    <row r="57" spans="1:9" x14ac:dyDescent="0.25">
      <c r="A57" s="61">
        <v>56</v>
      </c>
      <c r="B57" s="61">
        <v>1</v>
      </c>
      <c r="C57" s="62">
        <v>3</v>
      </c>
      <c r="D57" s="61">
        <v>213</v>
      </c>
      <c r="E57" s="61">
        <v>223</v>
      </c>
      <c r="F57" s="61">
        <v>8.8400000000000006E-2</v>
      </c>
      <c r="G57" s="27">
        <f>(3.5*(0.75/0.7))*0.8</f>
        <v>3</v>
      </c>
      <c r="H57" s="61">
        <v>57000</v>
      </c>
      <c r="I57" s="61">
        <v>40</v>
      </c>
    </row>
    <row r="58" spans="1:9" x14ac:dyDescent="0.25">
      <c r="A58" s="61">
        <v>57</v>
      </c>
      <c r="B58" s="61">
        <v>1</v>
      </c>
      <c r="C58" s="62">
        <v>3</v>
      </c>
      <c r="D58" s="61">
        <v>214</v>
      </c>
      <c r="E58" s="61">
        <v>216</v>
      </c>
      <c r="F58" s="61">
        <v>5.9400000000000001E-2</v>
      </c>
      <c r="G58" s="27">
        <v>1.875</v>
      </c>
      <c r="H58" s="61">
        <v>25650</v>
      </c>
      <c r="I58" s="61">
        <v>40</v>
      </c>
    </row>
    <row r="59" spans="1:9" x14ac:dyDescent="0.25">
      <c r="A59" s="61">
        <v>58</v>
      </c>
      <c r="B59" s="61">
        <v>1</v>
      </c>
      <c r="C59" s="62">
        <v>3</v>
      </c>
      <c r="D59" s="61">
        <v>215</v>
      </c>
      <c r="E59" s="61">
        <v>216</v>
      </c>
      <c r="F59" s="61">
        <v>1.72E-2</v>
      </c>
      <c r="G59" s="1">
        <f t="shared" si="1"/>
        <v>3.75</v>
      </c>
      <c r="H59" s="61">
        <v>11400.000000000002</v>
      </c>
      <c r="I59" s="61">
        <v>40</v>
      </c>
    </row>
    <row r="60" spans="1:9" x14ac:dyDescent="0.25">
      <c r="A60" s="61">
        <v>59</v>
      </c>
      <c r="B60" s="61">
        <v>1</v>
      </c>
      <c r="C60" s="62">
        <v>3</v>
      </c>
      <c r="D60" s="61">
        <v>215</v>
      </c>
      <c r="E60" s="61">
        <v>221</v>
      </c>
      <c r="F60" s="61">
        <v>2.4899999999999999E-2</v>
      </c>
      <c r="G60" s="1">
        <f>7*(0.75/0.7)</f>
        <v>7.5</v>
      </c>
      <c r="H60" s="61">
        <v>32300</v>
      </c>
      <c r="I60" s="61">
        <v>40</v>
      </c>
    </row>
    <row r="61" spans="1:9" x14ac:dyDescent="0.25">
      <c r="A61" s="61">
        <v>60</v>
      </c>
      <c r="B61" s="61">
        <v>1</v>
      </c>
      <c r="C61" s="62">
        <v>3</v>
      </c>
      <c r="D61" s="61">
        <v>215</v>
      </c>
      <c r="E61" s="61">
        <v>224</v>
      </c>
      <c r="F61" s="61">
        <v>5.2900000000000003E-2</v>
      </c>
      <c r="G61" s="1">
        <f>3.5*(0.75/0.7)</f>
        <v>3.75</v>
      </c>
      <c r="H61" s="61">
        <v>17100</v>
      </c>
      <c r="I61" s="61">
        <v>40</v>
      </c>
    </row>
    <row r="62" spans="1:9" x14ac:dyDescent="0.25">
      <c r="A62" s="61">
        <v>61</v>
      </c>
      <c r="B62" s="61">
        <v>1</v>
      </c>
      <c r="C62" s="62">
        <v>3</v>
      </c>
      <c r="D62" s="61">
        <v>216</v>
      </c>
      <c r="E62" s="61">
        <v>217</v>
      </c>
      <c r="F62" s="61">
        <v>2.63E-2</v>
      </c>
      <c r="G62" s="1">
        <f>3.5*(0.75/0.7)</f>
        <v>3.75</v>
      </c>
      <c r="H62" s="61">
        <v>15200</v>
      </c>
      <c r="I62" s="61">
        <v>40</v>
      </c>
    </row>
    <row r="63" spans="1:9" x14ac:dyDescent="0.25">
      <c r="A63" s="61">
        <v>62</v>
      </c>
      <c r="B63" s="61">
        <v>1</v>
      </c>
      <c r="C63" s="62">
        <v>3</v>
      </c>
      <c r="D63" s="61">
        <v>216</v>
      </c>
      <c r="E63" s="61">
        <v>219</v>
      </c>
      <c r="F63" s="61">
        <v>2.3400000000000001E-2</v>
      </c>
      <c r="G63" s="1">
        <f>3.5*(0.75/0.7)</f>
        <v>3.75</v>
      </c>
      <c r="H63" s="61">
        <v>9500</v>
      </c>
      <c r="I63" s="61">
        <v>40</v>
      </c>
    </row>
    <row r="64" spans="1:9" x14ac:dyDescent="0.25">
      <c r="A64" s="61">
        <v>63</v>
      </c>
      <c r="B64" s="61">
        <v>1</v>
      </c>
      <c r="C64" s="62">
        <v>3</v>
      </c>
      <c r="D64" s="61">
        <v>217</v>
      </c>
      <c r="E64" s="61">
        <v>218</v>
      </c>
      <c r="F64" s="61">
        <v>1.43E-2</v>
      </c>
      <c r="G64" s="1">
        <f>3.5*(0.75/0.7)</f>
        <v>3.75</v>
      </c>
      <c r="H64" s="61">
        <v>69350</v>
      </c>
      <c r="I64" s="61">
        <v>40</v>
      </c>
    </row>
    <row r="65" spans="1:9" x14ac:dyDescent="0.25">
      <c r="A65" s="61">
        <v>64</v>
      </c>
      <c r="B65" s="61">
        <v>1</v>
      </c>
      <c r="C65" s="61">
        <v>3</v>
      </c>
      <c r="D65" s="61">
        <v>217</v>
      </c>
      <c r="E65" s="61">
        <v>222</v>
      </c>
      <c r="F65" s="61">
        <v>0.1069</v>
      </c>
      <c r="G65" s="1">
        <f>3.5*(0.75/0.7)</f>
        <v>3.75</v>
      </c>
      <c r="H65" s="61">
        <v>17100</v>
      </c>
      <c r="I65" s="61">
        <v>40</v>
      </c>
    </row>
    <row r="66" spans="1:9" x14ac:dyDescent="0.25">
      <c r="A66" s="61">
        <v>65</v>
      </c>
      <c r="B66" s="61">
        <v>1</v>
      </c>
      <c r="C66" s="61">
        <v>3</v>
      </c>
      <c r="D66" s="61">
        <v>218</v>
      </c>
      <c r="E66" s="61">
        <v>221</v>
      </c>
      <c r="F66" s="61">
        <v>1.32E-2</v>
      </c>
      <c r="G66" s="1">
        <f>7*(0.75/0.7)</f>
        <v>7.5</v>
      </c>
      <c r="H66" s="61">
        <v>26125</v>
      </c>
      <c r="I66" s="61">
        <v>40</v>
      </c>
    </row>
    <row r="67" spans="1:9" x14ac:dyDescent="0.25">
      <c r="A67" s="61">
        <v>66</v>
      </c>
      <c r="B67" s="61">
        <v>1</v>
      </c>
      <c r="C67" s="61">
        <v>3</v>
      </c>
      <c r="D67" s="61">
        <v>219</v>
      </c>
      <c r="E67" s="61">
        <v>220</v>
      </c>
      <c r="F67" s="61">
        <v>2.0299999999999999E-2</v>
      </c>
      <c r="G67" s="1">
        <f>7*(0.75/0.7)</f>
        <v>7.5</v>
      </c>
      <c r="H67" s="61">
        <v>44650</v>
      </c>
      <c r="I67" s="61">
        <v>40</v>
      </c>
    </row>
    <row r="68" spans="1:9" x14ac:dyDescent="0.25">
      <c r="A68" s="61">
        <v>67</v>
      </c>
      <c r="B68" s="61">
        <v>1</v>
      </c>
      <c r="C68" s="61">
        <v>3</v>
      </c>
      <c r="D68" s="61">
        <v>220</v>
      </c>
      <c r="E68" s="61">
        <v>223</v>
      </c>
      <c r="F68" s="61">
        <v>1.12E-2</v>
      </c>
      <c r="G68" s="1">
        <f>7*(0.75/0.7)</f>
        <v>7.5</v>
      </c>
      <c r="H68" s="61">
        <v>31349.999999999996</v>
      </c>
      <c r="I68" s="61">
        <v>40</v>
      </c>
    </row>
    <row r="69" spans="1:9" x14ac:dyDescent="0.25">
      <c r="A69" s="61">
        <v>68</v>
      </c>
      <c r="B69" s="61">
        <v>1</v>
      </c>
      <c r="C69" s="61">
        <v>3</v>
      </c>
      <c r="D69" s="61">
        <v>221</v>
      </c>
      <c r="E69" s="61">
        <v>222</v>
      </c>
      <c r="F69" s="61">
        <v>6.9199999999999998E-2</v>
      </c>
      <c r="G69" s="1">
        <f>3.5*(0.75/0.7)</f>
        <v>3.75</v>
      </c>
      <c r="H69" s="61">
        <v>29450</v>
      </c>
      <c r="I69" s="61">
        <v>40</v>
      </c>
    </row>
    <row r="70" spans="1:9" x14ac:dyDescent="0.25">
      <c r="A70" s="61">
        <v>69</v>
      </c>
      <c r="B70" s="61">
        <v>1</v>
      </c>
      <c r="C70" s="62">
        <v>3</v>
      </c>
      <c r="D70" s="61">
        <v>301</v>
      </c>
      <c r="E70" s="61">
        <v>302</v>
      </c>
      <c r="F70" s="61">
        <v>1.46E-2</v>
      </c>
      <c r="G70" s="1">
        <f>1.225*(0.75/0.7)</f>
        <v>1.3125</v>
      </c>
      <c r="H70" s="61">
        <v>2850.0000000000005</v>
      </c>
      <c r="I70" s="61">
        <v>40</v>
      </c>
    </row>
    <row r="71" spans="1:9" x14ac:dyDescent="0.25">
      <c r="A71" s="61">
        <v>70</v>
      </c>
      <c r="B71" s="61">
        <v>1</v>
      </c>
      <c r="C71" s="62">
        <v>3</v>
      </c>
      <c r="D71" s="61">
        <v>301</v>
      </c>
      <c r="E71" s="61">
        <v>303</v>
      </c>
      <c r="F71" s="61">
        <v>0.2253</v>
      </c>
      <c r="G71" s="1">
        <f>1.225*(0.75/0.7)</f>
        <v>1.3125</v>
      </c>
      <c r="H71" s="61">
        <v>52250</v>
      </c>
      <c r="I71" s="61">
        <v>40</v>
      </c>
    </row>
    <row r="72" spans="1:9" x14ac:dyDescent="0.25">
      <c r="A72" s="73">
        <v>71</v>
      </c>
      <c r="B72" s="73">
        <v>1</v>
      </c>
      <c r="C72" s="74">
        <v>3</v>
      </c>
      <c r="D72" s="73">
        <v>301</v>
      </c>
      <c r="E72" s="73">
        <v>305</v>
      </c>
      <c r="F72" s="73">
        <v>9.0700000000000003E-2</v>
      </c>
      <c r="G72" s="27">
        <v>1.5</v>
      </c>
      <c r="H72" s="73">
        <v>20900</v>
      </c>
      <c r="I72" s="73">
        <v>40</v>
      </c>
    </row>
    <row r="73" spans="1:9" s="61" customFormat="1" x14ac:dyDescent="0.25">
      <c r="A73" s="61">
        <v>72</v>
      </c>
      <c r="B73" s="61">
        <v>1</v>
      </c>
      <c r="C73" s="62">
        <v>3</v>
      </c>
      <c r="D73" s="61">
        <v>302</v>
      </c>
      <c r="E73" s="61">
        <v>304</v>
      </c>
      <c r="F73" s="61">
        <v>0.1356</v>
      </c>
      <c r="G73" s="1">
        <f>1.225*(0.75/0.7)</f>
        <v>1.3125</v>
      </c>
      <c r="H73" s="61">
        <v>31350.000000000004</v>
      </c>
      <c r="I73" s="61">
        <v>40</v>
      </c>
    </row>
    <row r="74" spans="1:9" x14ac:dyDescent="0.25">
      <c r="A74" s="61">
        <v>73</v>
      </c>
      <c r="B74" s="61">
        <v>1</v>
      </c>
      <c r="C74" s="62">
        <v>3</v>
      </c>
      <c r="D74" s="61">
        <v>302</v>
      </c>
      <c r="E74" s="61">
        <v>306</v>
      </c>
      <c r="F74" s="61">
        <v>0.20499999999999999</v>
      </c>
      <c r="G74" s="1">
        <f>1.225*(0.75/0.7)</f>
        <v>1.3125</v>
      </c>
      <c r="H74" s="61">
        <v>47500</v>
      </c>
      <c r="I74" s="61">
        <v>40</v>
      </c>
    </row>
    <row r="75" spans="1:9" x14ac:dyDescent="0.25">
      <c r="A75" s="61">
        <v>74</v>
      </c>
      <c r="B75" s="61">
        <v>1</v>
      </c>
      <c r="C75" s="62">
        <v>3</v>
      </c>
      <c r="D75" s="61">
        <v>303</v>
      </c>
      <c r="E75" s="61">
        <v>309</v>
      </c>
      <c r="F75" s="61">
        <v>0.12709999999999999</v>
      </c>
      <c r="G75" s="1">
        <f>1.225*(0.75/0.7)</f>
        <v>1.3125</v>
      </c>
      <c r="H75" s="61">
        <v>29450</v>
      </c>
      <c r="I75" s="61">
        <v>40</v>
      </c>
    </row>
    <row r="76" spans="1:9" x14ac:dyDescent="0.25">
      <c r="A76" s="61">
        <v>75</v>
      </c>
      <c r="B76" s="61">
        <v>1</v>
      </c>
      <c r="C76" s="62">
        <v>3</v>
      </c>
      <c r="D76" s="61">
        <v>303</v>
      </c>
      <c r="E76" s="61">
        <v>324</v>
      </c>
      <c r="F76" s="61">
        <v>8.4000000000000005E-2</v>
      </c>
      <c r="G76" s="1">
        <f>2.8*(0.75/0.7)</f>
        <v>2.9999999999999996</v>
      </c>
      <c r="H76" s="61">
        <v>47500</v>
      </c>
      <c r="I76" s="61">
        <v>40</v>
      </c>
    </row>
    <row r="77" spans="1:9" s="61" customFormat="1" x14ac:dyDescent="0.25">
      <c r="A77" s="61">
        <v>76</v>
      </c>
      <c r="B77" s="61">
        <v>1</v>
      </c>
      <c r="C77" s="62">
        <v>3</v>
      </c>
      <c r="D77" s="61">
        <v>304</v>
      </c>
      <c r="E77" s="61">
        <v>309</v>
      </c>
      <c r="F77" s="61">
        <v>0.111</v>
      </c>
      <c r="G77" s="1">
        <f>1.225*(0.75/0.7)</f>
        <v>1.3125</v>
      </c>
      <c r="H77" s="61">
        <v>25650</v>
      </c>
      <c r="I77" s="61">
        <v>40</v>
      </c>
    </row>
    <row r="78" spans="1:9" x14ac:dyDescent="0.25">
      <c r="A78" s="73">
        <v>77</v>
      </c>
      <c r="B78" s="73">
        <v>1</v>
      </c>
      <c r="C78" s="74">
        <v>3</v>
      </c>
      <c r="D78" s="73">
        <v>305</v>
      </c>
      <c r="E78" s="73">
        <v>310</v>
      </c>
      <c r="F78" s="73">
        <v>9.4E-2</v>
      </c>
      <c r="G78" s="27">
        <v>1.5</v>
      </c>
      <c r="H78" s="73">
        <v>21850</v>
      </c>
      <c r="I78" s="73">
        <v>40</v>
      </c>
    </row>
    <row r="79" spans="1:9" x14ac:dyDescent="0.25">
      <c r="A79" s="61">
        <v>78</v>
      </c>
      <c r="B79" s="61">
        <v>1</v>
      </c>
      <c r="C79" s="62">
        <v>3</v>
      </c>
      <c r="D79" s="61">
        <v>306</v>
      </c>
      <c r="E79" s="61">
        <v>310</v>
      </c>
      <c r="F79" s="61">
        <v>6.4199999999999993E-2</v>
      </c>
      <c r="G79" s="1">
        <f>1.225*(0.75/0.7)</f>
        <v>1.3125</v>
      </c>
      <c r="H79" s="61">
        <v>15200</v>
      </c>
      <c r="I79" s="61">
        <v>40</v>
      </c>
    </row>
    <row r="80" spans="1:9" x14ac:dyDescent="0.25">
      <c r="A80" s="61">
        <v>79</v>
      </c>
      <c r="B80" s="63">
        <v>1</v>
      </c>
      <c r="C80" s="63">
        <v>3</v>
      </c>
      <c r="D80" s="63">
        <v>307</v>
      </c>
      <c r="E80" s="63">
        <v>308</v>
      </c>
      <c r="F80" s="64">
        <v>6.5199999999999994E-2</v>
      </c>
      <c r="G80" s="1">
        <f>2.45*(0.75/0.7)</f>
        <v>2.625</v>
      </c>
      <c r="H80" s="65">
        <v>30400</v>
      </c>
      <c r="I80" s="63">
        <v>40</v>
      </c>
    </row>
    <row r="81" spans="1:12" x14ac:dyDescent="0.25">
      <c r="A81" s="61">
        <v>80</v>
      </c>
      <c r="B81" s="61">
        <v>1</v>
      </c>
      <c r="C81" s="62">
        <v>3</v>
      </c>
      <c r="D81" s="61">
        <v>308</v>
      </c>
      <c r="E81" s="61">
        <v>309</v>
      </c>
      <c r="F81" s="61">
        <v>0.1762</v>
      </c>
      <c r="G81" s="1">
        <f>1.225*(0.75/0.7)</f>
        <v>1.3125</v>
      </c>
      <c r="H81" s="61">
        <v>40850</v>
      </c>
      <c r="I81" s="61">
        <v>40</v>
      </c>
    </row>
    <row r="82" spans="1:12" x14ac:dyDescent="0.25">
      <c r="A82" s="61">
        <v>81</v>
      </c>
      <c r="B82" s="61">
        <v>1</v>
      </c>
      <c r="C82" s="62">
        <v>3</v>
      </c>
      <c r="D82" s="61">
        <v>308</v>
      </c>
      <c r="E82" s="61">
        <v>310</v>
      </c>
      <c r="F82" s="61">
        <v>0.1762</v>
      </c>
      <c r="G82" s="1">
        <f>1.225*(0.75/0.7)</f>
        <v>1.3125</v>
      </c>
      <c r="H82" s="61">
        <v>40850</v>
      </c>
      <c r="I82" s="61">
        <v>40</v>
      </c>
    </row>
    <row r="83" spans="1:12" s="27" customFormat="1" x14ac:dyDescent="0.25">
      <c r="A83" s="61">
        <v>82</v>
      </c>
      <c r="B83" s="61">
        <v>1</v>
      </c>
      <c r="C83" s="62">
        <v>3</v>
      </c>
      <c r="D83" s="61">
        <v>309</v>
      </c>
      <c r="E83" s="61">
        <v>311</v>
      </c>
      <c r="F83" s="61">
        <v>8.4000000000000005E-2</v>
      </c>
      <c r="G83" s="1">
        <f>2.8*(0.75/0.7)</f>
        <v>2.9999999999999996</v>
      </c>
      <c r="H83" s="61">
        <v>47500</v>
      </c>
      <c r="I83" s="61">
        <v>40</v>
      </c>
      <c r="K83" s="1"/>
      <c r="L83" s="1"/>
    </row>
    <row r="84" spans="1:12" s="27" customFormat="1" x14ac:dyDescent="0.25">
      <c r="A84" s="61">
        <v>83</v>
      </c>
      <c r="B84" s="61">
        <v>1</v>
      </c>
      <c r="C84" s="62">
        <v>3</v>
      </c>
      <c r="D84" s="61">
        <v>309</v>
      </c>
      <c r="E84" s="61">
        <v>312</v>
      </c>
      <c r="F84" s="61">
        <v>8.4000000000000005E-2</v>
      </c>
      <c r="G84" s="1">
        <f>2.8*(0.75/0.7)</f>
        <v>2.9999999999999996</v>
      </c>
      <c r="H84" s="61">
        <v>47500</v>
      </c>
      <c r="I84" s="61">
        <v>40</v>
      </c>
      <c r="K84" s="1"/>
      <c r="L84" s="1"/>
    </row>
    <row r="85" spans="1:12" s="27" customFormat="1" x14ac:dyDescent="0.25">
      <c r="A85" s="61">
        <v>84</v>
      </c>
      <c r="B85" s="61">
        <v>1</v>
      </c>
      <c r="C85" s="62">
        <v>3</v>
      </c>
      <c r="D85" s="61">
        <v>310</v>
      </c>
      <c r="E85" s="61">
        <v>311</v>
      </c>
      <c r="F85" s="61">
        <v>8.4000000000000005E-2</v>
      </c>
      <c r="G85" s="1">
        <f>2.8*(0.75/0.7)</f>
        <v>2.9999999999999996</v>
      </c>
      <c r="H85" s="61">
        <v>47500</v>
      </c>
      <c r="I85" s="61">
        <v>40</v>
      </c>
      <c r="K85" s="1"/>
      <c r="L85" s="1"/>
    </row>
    <row r="86" spans="1:12" s="27" customFormat="1" x14ac:dyDescent="0.25">
      <c r="A86" s="61">
        <v>85</v>
      </c>
      <c r="B86" s="61">
        <v>1</v>
      </c>
      <c r="C86" s="62">
        <v>3</v>
      </c>
      <c r="D86" s="61">
        <v>310</v>
      </c>
      <c r="E86" s="61">
        <v>312</v>
      </c>
      <c r="F86" s="61">
        <v>8.4000000000000005E-2</v>
      </c>
      <c r="G86" s="1">
        <f>2.8*(0.75/0.7)</f>
        <v>2.9999999999999996</v>
      </c>
      <c r="H86" s="61">
        <v>47500</v>
      </c>
      <c r="I86" s="61">
        <v>40</v>
      </c>
      <c r="K86" s="1"/>
      <c r="L86" s="1"/>
    </row>
    <row r="87" spans="1:12" s="27" customFormat="1" x14ac:dyDescent="0.25">
      <c r="A87" s="61">
        <v>86</v>
      </c>
      <c r="B87" s="61">
        <v>1</v>
      </c>
      <c r="C87" s="62">
        <v>3</v>
      </c>
      <c r="D87" s="61">
        <v>311</v>
      </c>
      <c r="E87" s="61">
        <v>313</v>
      </c>
      <c r="F87" s="61">
        <v>4.8800000000000003E-2</v>
      </c>
      <c r="G87" s="1">
        <f t="shared" ref="G87:G93" si="2">3.5*(0.75/0.7)</f>
        <v>3.75</v>
      </c>
      <c r="H87" s="61">
        <v>31350.000000000004</v>
      </c>
      <c r="I87" s="61">
        <v>40</v>
      </c>
      <c r="K87" s="1"/>
      <c r="L87" s="1"/>
    </row>
    <row r="88" spans="1:12" x14ac:dyDescent="0.25">
      <c r="A88" s="61">
        <v>87</v>
      </c>
      <c r="B88" s="61">
        <v>1</v>
      </c>
      <c r="C88" s="62">
        <v>3</v>
      </c>
      <c r="D88" s="61">
        <v>311</v>
      </c>
      <c r="E88" s="61">
        <v>314</v>
      </c>
      <c r="F88" s="61">
        <v>4.2599999999999999E-2</v>
      </c>
      <c r="G88" s="1">
        <f t="shared" si="2"/>
        <v>3.75</v>
      </c>
      <c r="H88" s="61">
        <v>27550</v>
      </c>
      <c r="I88" s="61">
        <v>40</v>
      </c>
    </row>
    <row r="89" spans="1:12" x14ac:dyDescent="0.25">
      <c r="A89" s="61">
        <v>88</v>
      </c>
      <c r="B89" s="61">
        <v>1</v>
      </c>
      <c r="C89" s="62">
        <v>3</v>
      </c>
      <c r="D89" s="61">
        <v>312</v>
      </c>
      <c r="E89" s="61">
        <v>313</v>
      </c>
      <c r="F89" s="61">
        <v>4.8800000000000003E-2</v>
      </c>
      <c r="G89" s="1">
        <f t="shared" si="2"/>
        <v>3.75</v>
      </c>
      <c r="H89" s="61">
        <v>31350.000000000004</v>
      </c>
      <c r="I89" s="61">
        <v>40</v>
      </c>
    </row>
    <row r="90" spans="1:12" x14ac:dyDescent="0.25">
      <c r="A90" s="61">
        <v>89</v>
      </c>
      <c r="B90" s="61">
        <v>1</v>
      </c>
      <c r="C90" s="62">
        <v>3</v>
      </c>
      <c r="D90" s="61">
        <v>312</v>
      </c>
      <c r="E90" s="61">
        <v>323</v>
      </c>
      <c r="F90" s="61">
        <v>9.8500000000000004E-2</v>
      </c>
      <c r="G90" s="1">
        <f t="shared" si="2"/>
        <v>3.75</v>
      </c>
      <c r="H90" s="61">
        <v>63650</v>
      </c>
      <c r="I90" s="61">
        <v>40</v>
      </c>
    </row>
    <row r="91" spans="1:12" x14ac:dyDescent="0.25">
      <c r="A91" s="61">
        <v>90</v>
      </c>
      <c r="B91" s="61">
        <v>1</v>
      </c>
      <c r="C91" s="62">
        <v>3</v>
      </c>
      <c r="D91" s="61">
        <v>313</v>
      </c>
      <c r="E91" s="61">
        <v>323</v>
      </c>
      <c r="F91" s="61">
        <v>8.8400000000000006E-2</v>
      </c>
      <c r="G91" s="27">
        <f>(3.5*(0.75/0.7))*0.8</f>
        <v>3</v>
      </c>
      <c r="H91" s="61">
        <v>57000</v>
      </c>
      <c r="I91" s="61">
        <v>40</v>
      </c>
    </row>
    <row r="92" spans="1:12" x14ac:dyDescent="0.25">
      <c r="A92" s="61">
        <v>91</v>
      </c>
      <c r="B92" s="61">
        <v>1</v>
      </c>
      <c r="C92" s="62">
        <v>3</v>
      </c>
      <c r="D92" s="61">
        <v>314</v>
      </c>
      <c r="E92" s="61">
        <v>316</v>
      </c>
      <c r="F92" s="61">
        <v>5.9400000000000001E-2</v>
      </c>
      <c r="G92" s="27">
        <v>1.875</v>
      </c>
      <c r="H92" s="61">
        <v>25650</v>
      </c>
      <c r="I92" s="61">
        <v>40</v>
      </c>
    </row>
    <row r="93" spans="1:12" x14ac:dyDescent="0.25">
      <c r="A93" s="61">
        <v>92</v>
      </c>
      <c r="B93" s="61">
        <v>1</v>
      </c>
      <c r="C93" s="62">
        <v>3</v>
      </c>
      <c r="D93" s="61">
        <v>315</v>
      </c>
      <c r="E93" s="61">
        <v>316</v>
      </c>
      <c r="F93" s="61">
        <v>1.72E-2</v>
      </c>
      <c r="G93" s="1">
        <f t="shared" si="2"/>
        <v>3.75</v>
      </c>
      <c r="H93" s="61">
        <v>11400.000000000002</v>
      </c>
      <c r="I93" s="61">
        <v>40</v>
      </c>
    </row>
    <row r="94" spans="1:12" x14ac:dyDescent="0.25">
      <c r="A94" s="61">
        <v>93</v>
      </c>
      <c r="B94" s="61">
        <v>1</v>
      </c>
      <c r="C94" s="62">
        <v>3</v>
      </c>
      <c r="D94" s="61">
        <v>315</v>
      </c>
      <c r="E94" s="61">
        <v>321</v>
      </c>
      <c r="F94" s="61">
        <v>2.4899999999999999E-2</v>
      </c>
      <c r="G94" s="1">
        <f>7*(0.75/0.7)</f>
        <v>7.5</v>
      </c>
      <c r="H94" s="61">
        <v>32300</v>
      </c>
      <c r="I94" s="61">
        <v>40</v>
      </c>
    </row>
    <row r="95" spans="1:12" x14ac:dyDescent="0.25">
      <c r="A95" s="61">
        <v>94</v>
      </c>
      <c r="B95" s="61">
        <v>1</v>
      </c>
      <c r="C95" s="62">
        <v>3</v>
      </c>
      <c r="D95" s="61">
        <v>315</v>
      </c>
      <c r="E95" s="61">
        <v>324</v>
      </c>
      <c r="F95" s="61">
        <v>5.2900000000000003E-2</v>
      </c>
      <c r="G95" s="1">
        <f>3.5*(0.75/0.7)</f>
        <v>3.75</v>
      </c>
      <c r="H95" s="61">
        <v>17100</v>
      </c>
      <c r="I95" s="61">
        <v>40</v>
      </c>
    </row>
    <row r="96" spans="1:12" x14ac:dyDescent="0.25">
      <c r="A96" s="61">
        <v>95</v>
      </c>
      <c r="B96" s="61">
        <v>1</v>
      </c>
      <c r="C96" s="62">
        <v>3</v>
      </c>
      <c r="D96" s="61">
        <v>316</v>
      </c>
      <c r="E96" s="61">
        <v>317</v>
      </c>
      <c r="F96" s="61">
        <v>2.63E-2</v>
      </c>
      <c r="G96" s="1">
        <f>3.5*(0.75/0.7)</f>
        <v>3.75</v>
      </c>
      <c r="H96" s="61">
        <v>15200</v>
      </c>
      <c r="I96" s="61">
        <v>40</v>
      </c>
    </row>
    <row r="97" spans="1:9" x14ac:dyDescent="0.25">
      <c r="A97" s="61">
        <v>96</v>
      </c>
      <c r="B97" s="61">
        <v>1</v>
      </c>
      <c r="C97" s="62">
        <v>3</v>
      </c>
      <c r="D97" s="61">
        <v>316</v>
      </c>
      <c r="E97" s="61">
        <v>319</v>
      </c>
      <c r="F97" s="61">
        <v>2.3400000000000001E-2</v>
      </c>
      <c r="G97" s="1">
        <f>3.5*(0.75/0.7)</f>
        <v>3.75</v>
      </c>
      <c r="H97" s="61">
        <v>9500</v>
      </c>
      <c r="I97" s="61">
        <v>40</v>
      </c>
    </row>
    <row r="98" spans="1:9" x14ac:dyDescent="0.25">
      <c r="A98" s="61">
        <v>97</v>
      </c>
      <c r="B98" s="61">
        <v>1</v>
      </c>
      <c r="C98" s="62">
        <v>3</v>
      </c>
      <c r="D98" s="61">
        <v>317</v>
      </c>
      <c r="E98" s="61">
        <v>318</v>
      </c>
      <c r="F98" s="61">
        <v>1.43E-2</v>
      </c>
      <c r="G98" s="1">
        <f>3.5*(0.75/0.7)</f>
        <v>3.75</v>
      </c>
      <c r="H98" s="61">
        <v>69350</v>
      </c>
      <c r="I98" s="61">
        <v>40</v>
      </c>
    </row>
    <row r="99" spans="1:9" x14ac:dyDescent="0.25">
      <c r="A99" s="61">
        <v>98</v>
      </c>
      <c r="B99" s="61">
        <v>1</v>
      </c>
      <c r="C99" s="61">
        <v>3</v>
      </c>
      <c r="D99" s="61">
        <v>317</v>
      </c>
      <c r="E99" s="61">
        <v>322</v>
      </c>
      <c r="F99" s="61">
        <v>0.1069</v>
      </c>
      <c r="G99" s="1">
        <f>3.5*(0.75/0.7)</f>
        <v>3.75</v>
      </c>
      <c r="H99" s="61">
        <v>17100</v>
      </c>
      <c r="I99" s="61">
        <v>40</v>
      </c>
    </row>
    <row r="100" spans="1:9" x14ac:dyDescent="0.25">
      <c r="A100" s="61">
        <v>99</v>
      </c>
      <c r="B100" s="61">
        <v>1</v>
      </c>
      <c r="C100" s="61">
        <v>3</v>
      </c>
      <c r="D100" s="61">
        <v>318</v>
      </c>
      <c r="E100" s="61">
        <v>321</v>
      </c>
      <c r="F100" s="61">
        <v>1.32E-2</v>
      </c>
      <c r="G100" s="1">
        <f>7*(0.75/0.7)</f>
        <v>7.5</v>
      </c>
      <c r="H100" s="61">
        <v>26125</v>
      </c>
      <c r="I100" s="61">
        <v>40</v>
      </c>
    </row>
    <row r="101" spans="1:9" x14ac:dyDescent="0.25">
      <c r="A101" s="61">
        <v>100</v>
      </c>
      <c r="B101" s="61">
        <v>1</v>
      </c>
      <c r="C101" s="61">
        <v>3</v>
      </c>
      <c r="D101" s="61">
        <v>319</v>
      </c>
      <c r="E101" s="61">
        <v>320</v>
      </c>
      <c r="F101" s="61">
        <v>2.0299999999999999E-2</v>
      </c>
      <c r="G101" s="1">
        <f>7*(0.75/0.7)</f>
        <v>7.5</v>
      </c>
      <c r="H101" s="61">
        <v>44650</v>
      </c>
      <c r="I101" s="61">
        <v>40</v>
      </c>
    </row>
    <row r="102" spans="1:9" x14ac:dyDescent="0.25">
      <c r="A102" s="61">
        <v>101</v>
      </c>
      <c r="B102" s="61">
        <v>1</v>
      </c>
      <c r="C102" s="61">
        <v>3</v>
      </c>
      <c r="D102" s="61">
        <v>320</v>
      </c>
      <c r="E102" s="61">
        <v>323</v>
      </c>
      <c r="F102" s="61">
        <v>1.12E-2</v>
      </c>
      <c r="G102" s="1">
        <f>7*(0.75/0.7)</f>
        <v>7.5</v>
      </c>
      <c r="H102" s="61">
        <v>31349.999999999996</v>
      </c>
      <c r="I102" s="61">
        <v>40</v>
      </c>
    </row>
    <row r="103" spans="1:9" x14ac:dyDescent="0.25">
      <c r="A103" s="61">
        <v>102</v>
      </c>
      <c r="B103" s="61">
        <v>1</v>
      </c>
      <c r="C103" s="61">
        <v>3</v>
      </c>
      <c r="D103" s="61">
        <v>321</v>
      </c>
      <c r="E103" s="61">
        <v>322</v>
      </c>
      <c r="F103" s="61">
        <v>6.9199999999999998E-2</v>
      </c>
      <c r="G103" s="1">
        <f t="shared" ref="G103:G109" si="3">3.5*(0.75/0.7)</f>
        <v>3.75</v>
      </c>
      <c r="H103" s="61">
        <v>29450</v>
      </c>
      <c r="I103" s="61">
        <v>40</v>
      </c>
    </row>
    <row r="104" spans="1:9" x14ac:dyDescent="0.25">
      <c r="A104" s="61">
        <v>103</v>
      </c>
      <c r="B104" s="61">
        <v>1</v>
      </c>
      <c r="C104" s="61">
        <v>3</v>
      </c>
      <c r="D104" s="26">
        <v>107</v>
      </c>
      <c r="E104" s="26">
        <v>203</v>
      </c>
      <c r="F104" s="61">
        <v>6.9199999999999998E-2</v>
      </c>
      <c r="G104" s="1">
        <f t="shared" si="3"/>
        <v>3.75</v>
      </c>
      <c r="H104" s="61">
        <v>29450</v>
      </c>
      <c r="I104" s="61">
        <v>40</v>
      </c>
    </row>
    <row r="105" spans="1:9" x14ac:dyDescent="0.25">
      <c r="A105" s="61">
        <v>104</v>
      </c>
      <c r="B105" s="61">
        <v>1</v>
      </c>
      <c r="C105" s="61">
        <v>3</v>
      </c>
      <c r="D105" s="26">
        <v>113</v>
      </c>
      <c r="E105" s="26">
        <v>215</v>
      </c>
      <c r="F105" s="61">
        <v>6.9199999999999998E-2</v>
      </c>
      <c r="G105" s="1">
        <f t="shared" si="3"/>
        <v>3.75</v>
      </c>
      <c r="H105" s="61">
        <v>29450</v>
      </c>
      <c r="I105" s="61">
        <v>40</v>
      </c>
    </row>
    <row r="106" spans="1:9" x14ac:dyDescent="0.25">
      <c r="A106" s="61">
        <v>105</v>
      </c>
      <c r="B106" s="61">
        <v>1</v>
      </c>
      <c r="C106" s="61">
        <v>3</v>
      </c>
      <c r="D106" s="26">
        <v>123</v>
      </c>
      <c r="E106" s="26">
        <v>217</v>
      </c>
      <c r="F106" s="61">
        <v>6.9199999999999998E-2</v>
      </c>
      <c r="G106" s="1">
        <f t="shared" si="3"/>
        <v>3.75</v>
      </c>
      <c r="H106" s="61">
        <v>29450</v>
      </c>
      <c r="I106" s="61">
        <v>40</v>
      </c>
    </row>
    <row r="107" spans="1:9" x14ac:dyDescent="0.25">
      <c r="A107" s="61">
        <v>106</v>
      </c>
      <c r="B107" s="61">
        <v>1</v>
      </c>
      <c r="C107" s="61">
        <v>3</v>
      </c>
      <c r="D107" s="26">
        <v>223</v>
      </c>
      <c r="E107" s="26">
        <v>318</v>
      </c>
      <c r="F107" s="61">
        <v>6.9199999999999998E-2</v>
      </c>
      <c r="G107" s="1">
        <f t="shared" si="3"/>
        <v>3.75</v>
      </c>
      <c r="H107" s="61">
        <v>29450</v>
      </c>
      <c r="I107" s="61">
        <v>40</v>
      </c>
    </row>
    <row r="108" spans="1:9" x14ac:dyDescent="0.25">
      <c r="A108" s="61">
        <v>107</v>
      </c>
      <c r="B108" s="61">
        <v>1</v>
      </c>
      <c r="C108" s="61">
        <v>3</v>
      </c>
      <c r="D108" s="26">
        <v>323</v>
      </c>
      <c r="E108" s="26">
        <v>325</v>
      </c>
      <c r="F108" s="61">
        <v>6.9199999999999998E-2</v>
      </c>
      <c r="G108" s="1">
        <f t="shared" si="3"/>
        <v>3.75</v>
      </c>
      <c r="H108" s="61">
        <v>29450</v>
      </c>
      <c r="I108" s="61">
        <v>40</v>
      </c>
    </row>
    <row r="109" spans="1:9" x14ac:dyDescent="0.25">
      <c r="A109" s="61">
        <v>108</v>
      </c>
      <c r="B109" s="61">
        <v>1</v>
      </c>
      <c r="C109" s="61">
        <v>3</v>
      </c>
      <c r="D109" s="26">
        <v>325</v>
      </c>
      <c r="E109" s="26">
        <v>121</v>
      </c>
      <c r="F109" s="61">
        <v>6.9199999999999998E-2</v>
      </c>
      <c r="G109" s="1">
        <f t="shared" si="3"/>
        <v>3.75</v>
      </c>
      <c r="H109" s="61">
        <v>29450</v>
      </c>
      <c r="I109" s="61">
        <v>40</v>
      </c>
    </row>
    <row r="110" spans="1:9" x14ac:dyDescent="0.25">
      <c r="A110" s="73">
        <v>3</v>
      </c>
      <c r="B110" s="73">
        <v>0</v>
      </c>
      <c r="C110" s="74">
        <v>3</v>
      </c>
      <c r="D110" s="73">
        <v>101</v>
      </c>
      <c r="E110" s="73">
        <v>105</v>
      </c>
      <c r="F110" s="73">
        <v>9.0700000000000003E-2</v>
      </c>
      <c r="G110" s="75">
        <v>1.5</v>
      </c>
      <c r="H110" s="73">
        <v>20900</v>
      </c>
      <c r="I110" s="73">
        <v>40</v>
      </c>
    </row>
    <row r="111" spans="1:9" x14ac:dyDescent="0.25">
      <c r="A111" s="73">
        <v>9</v>
      </c>
      <c r="B111" s="73">
        <v>0</v>
      </c>
      <c r="C111" s="74">
        <v>3</v>
      </c>
      <c r="D111" s="73">
        <v>105</v>
      </c>
      <c r="E111" s="73">
        <v>110</v>
      </c>
      <c r="F111" s="73">
        <v>9.4E-2</v>
      </c>
      <c r="G111" s="75">
        <v>1.5</v>
      </c>
      <c r="H111" s="73">
        <v>21850</v>
      </c>
      <c r="I111" s="73">
        <v>40</v>
      </c>
    </row>
    <row r="112" spans="1:9" x14ac:dyDescent="0.25">
      <c r="A112" s="27">
        <v>40</v>
      </c>
      <c r="B112" s="67">
        <v>0</v>
      </c>
      <c r="C112" s="27">
        <v>3</v>
      </c>
      <c r="D112" s="27">
        <v>113</v>
      </c>
      <c r="E112" s="27">
        <v>123</v>
      </c>
      <c r="F112" s="27">
        <v>8.8400000000000006E-2</v>
      </c>
      <c r="G112" s="27">
        <v>1.5</v>
      </c>
      <c r="H112" s="27">
        <v>31350.000000000004</v>
      </c>
      <c r="I112" s="68">
        <v>40</v>
      </c>
    </row>
    <row r="113" spans="1:9" x14ac:dyDescent="0.25">
      <c r="A113" s="27">
        <v>41</v>
      </c>
      <c r="B113" s="67">
        <v>0</v>
      </c>
      <c r="C113" s="27">
        <v>3</v>
      </c>
      <c r="D113" s="27">
        <v>114</v>
      </c>
      <c r="E113" s="27">
        <v>116</v>
      </c>
      <c r="F113" s="27">
        <v>5.9400000000000001E-2</v>
      </c>
      <c r="G113" s="27">
        <v>1.5</v>
      </c>
      <c r="H113" s="27">
        <v>25650</v>
      </c>
      <c r="I113" s="68">
        <v>40</v>
      </c>
    </row>
    <row r="114" spans="1:9" x14ac:dyDescent="0.25">
      <c r="A114" s="27">
        <v>40</v>
      </c>
      <c r="B114" s="67">
        <v>0</v>
      </c>
      <c r="C114" s="27">
        <v>3</v>
      </c>
      <c r="D114" s="63">
        <v>207</v>
      </c>
      <c r="E114" s="63">
        <v>208</v>
      </c>
      <c r="F114" s="64">
        <v>6.5199999999999994E-2</v>
      </c>
      <c r="G114" s="27">
        <v>1.5</v>
      </c>
      <c r="H114" s="65">
        <v>30400</v>
      </c>
      <c r="I114" s="68">
        <v>40</v>
      </c>
    </row>
    <row r="115" spans="1:9" x14ac:dyDescent="0.25">
      <c r="A115" s="27">
        <v>41</v>
      </c>
      <c r="B115" s="67">
        <v>0</v>
      </c>
      <c r="C115" s="27">
        <v>3</v>
      </c>
      <c r="D115" s="63">
        <v>207</v>
      </c>
      <c r="E115" s="63">
        <v>208</v>
      </c>
      <c r="F115" s="64">
        <v>6.5199999999999994E-2</v>
      </c>
      <c r="G115" s="27">
        <v>1.5</v>
      </c>
      <c r="H115" s="65">
        <v>30400</v>
      </c>
      <c r="I115" s="68">
        <v>40</v>
      </c>
    </row>
    <row r="116" spans="1:9" x14ac:dyDescent="0.25">
      <c r="A116" s="27">
        <v>40</v>
      </c>
      <c r="B116" s="67">
        <v>0</v>
      </c>
      <c r="C116" s="27">
        <v>3</v>
      </c>
      <c r="D116" s="27">
        <v>313</v>
      </c>
      <c r="E116" s="27">
        <v>323</v>
      </c>
      <c r="F116" s="27">
        <v>8.8400000000000006E-2</v>
      </c>
      <c r="G116" s="27">
        <v>1.5</v>
      </c>
      <c r="H116" s="27">
        <v>31350.000000000004</v>
      </c>
      <c r="I116" s="68">
        <v>40</v>
      </c>
    </row>
    <row r="117" spans="1:9" x14ac:dyDescent="0.25">
      <c r="A117" s="27">
        <v>41</v>
      </c>
      <c r="B117" s="67">
        <v>0</v>
      </c>
      <c r="C117" s="27">
        <v>3</v>
      </c>
      <c r="D117" s="27">
        <v>314</v>
      </c>
      <c r="E117" s="27">
        <v>316</v>
      </c>
      <c r="F117" s="27">
        <v>5.9400000000000001E-2</v>
      </c>
      <c r="G117" s="27">
        <v>1.5</v>
      </c>
      <c r="H117" s="27">
        <v>25650</v>
      </c>
      <c r="I117" s="68">
        <v>40</v>
      </c>
    </row>
    <row r="118" spans="1:9" x14ac:dyDescent="0.25">
      <c r="A118" s="27"/>
      <c r="B118" s="27"/>
      <c r="C118" s="27"/>
      <c r="D118" s="27"/>
      <c r="E118" s="27"/>
      <c r="F118" s="27"/>
      <c r="G118" s="27"/>
      <c r="H118" s="27"/>
      <c r="I118" s="27"/>
    </row>
    <row r="119" spans="1:9" x14ac:dyDescent="0.25">
      <c r="A119" s="27"/>
      <c r="B119" s="27"/>
      <c r="C119" s="27"/>
      <c r="D119" s="27"/>
      <c r="E119" s="27"/>
      <c r="F119" s="27"/>
      <c r="G119" s="27"/>
      <c r="H119" s="27"/>
      <c r="I119" s="27"/>
    </row>
    <row r="120" spans="1:9" x14ac:dyDescent="0.25">
      <c r="A120" s="66" t="s">
        <v>462</v>
      </c>
    </row>
    <row r="121" spans="1:9" x14ac:dyDescent="0.25">
      <c r="A121" s="66" t="s">
        <v>457</v>
      </c>
    </row>
    <row r="124" spans="1:9" s="27" customFormat="1" x14ac:dyDescent="0.25"/>
    <row r="125" spans="1:9" s="27" customFormat="1" x14ac:dyDescent="0.25"/>
    <row r="126" spans="1:9" s="27" customFormat="1" x14ac:dyDescent="0.25"/>
    <row r="127" spans="1:9" s="27" customFormat="1" x14ac:dyDescent="0.25"/>
    <row r="128" spans="1:9" s="27" customFormat="1" x14ac:dyDescent="0.25"/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7169" r:id="rId4">
          <objectPr defaultSize="0" autoPict="0" r:id="rId5">
            <anchor moveWithCells="1">
              <from>
                <xdr:col>14</xdr:col>
                <xdr:colOff>30480</xdr:colOff>
                <xdr:row>1</xdr:row>
                <xdr:rowOff>30480</xdr:rowOff>
              </from>
              <to>
                <xdr:col>20</xdr:col>
                <xdr:colOff>22860</xdr:colOff>
                <xdr:row>29</xdr:row>
                <xdr:rowOff>0</xdr:rowOff>
              </to>
            </anchor>
          </objectPr>
        </oleObject>
      </mc:Choice>
      <mc:Fallback>
        <oleObject progId="Visio.Drawing.15" shapeId="716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DB45-36D1-40D6-B204-030CCCB15F2E}">
  <sheetPr>
    <tabColor theme="9" tint="0.79998168889431442"/>
  </sheetPr>
  <dimension ref="A1:L128"/>
  <sheetViews>
    <sheetView topLeftCell="A91" workbookViewId="0">
      <selection activeCell="G2" sqref="G2:G109"/>
    </sheetView>
  </sheetViews>
  <sheetFormatPr defaultColWidth="8.88671875" defaultRowHeight="13.8" x14ac:dyDescent="0.25"/>
  <cols>
    <col min="1" max="1" width="8.88671875" style="1"/>
    <col min="2" max="2" width="6.77734375" style="1" bestFit="1" customWidth="1"/>
    <col min="3" max="3" width="9.44140625" style="1" bestFit="1" customWidth="1"/>
    <col min="4" max="4" width="10.88671875" style="1" bestFit="1" customWidth="1"/>
    <col min="5" max="6" width="8.88671875" style="1"/>
    <col min="7" max="7" width="11.33203125" style="1" bestFit="1" customWidth="1"/>
    <col min="8" max="8" width="22.21875" style="1" customWidth="1"/>
    <col min="9" max="9" width="8.33203125" style="1" bestFit="1" customWidth="1"/>
    <col min="10" max="16384" width="8.88671875" style="1"/>
  </cols>
  <sheetData>
    <row r="1" spans="1:12" x14ac:dyDescent="0.25">
      <c r="A1" s="60" t="s">
        <v>14</v>
      </c>
      <c r="B1" s="60" t="s">
        <v>15</v>
      </c>
      <c r="C1" s="60" t="s">
        <v>16</v>
      </c>
      <c r="D1" s="60" t="s">
        <v>17</v>
      </c>
      <c r="E1" s="60" t="s">
        <v>18</v>
      </c>
      <c r="F1" s="60" t="s">
        <v>19</v>
      </c>
      <c r="G1" s="60" t="s">
        <v>441</v>
      </c>
      <c r="H1" s="60" t="s">
        <v>85</v>
      </c>
      <c r="I1" s="60" t="s">
        <v>72</v>
      </c>
    </row>
    <row r="2" spans="1:12" x14ac:dyDescent="0.25">
      <c r="A2" s="61">
        <v>1</v>
      </c>
      <c r="B2" s="61">
        <v>1</v>
      </c>
      <c r="C2" s="62">
        <v>3</v>
      </c>
      <c r="D2" s="61">
        <v>101</v>
      </c>
      <c r="E2" s="61">
        <v>102</v>
      </c>
      <c r="F2" s="61">
        <v>1.46E-2</v>
      </c>
      <c r="G2" s="1">
        <f>1.225*(0.75/0.7)</f>
        <v>1.3124999999999998</v>
      </c>
      <c r="H2" s="61">
        <v>2850.0000000000005</v>
      </c>
      <c r="I2" s="61">
        <v>40</v>
      </c>
    </row>
    <row r="3" spans="1:12" x14ac:dyDescent="0.25">
      <c r="A3" s="61">
        <v>2</v>
      </c>
      <c r="B3" s="61">
        <v>1</v>
      </c>
      <c r="C3" s="62">
        <v>3</v>
      </c>
      <c r="D3" s="61">
        <v>101</v>
      </c>
      <c r="E3" s="61">
        <v>103</v>
      </c>
      <c r="F3" s="61">
        <v>0.2253</v>
      </c>
      <c r="G3" s="1">
        <f>1.225*(0.75/0.7)</f>
        <v>1.3124999999999998</v>
      </c>
      <c r="H3" s="61">
        <v>52250</v>
      </c>
      <c r="I3" s="61">
        <v>40</v>
      </c>
    </row>
    <row r="4" spans="1:12" x14ac:dyDescent="0.25">
      <c r="A4" s="73">
        <v>3</v>
      </c>
      <c r="B4" s="73">
        <v>0</v>
      </c>
      <c r="C4" s="74">
        <v>3</v>
      </c>
      <c r="D4" s="73">
        <v>101</v>
      </c>
      <c r="E4" s="73">
        <v>105</v>
      </c>
      <c r="F4" s="73">
        <v>9.0700000000000003E-2</v>
      </c>
      <c r="G4" s="27">
        <v>1.5</v>
      </c>
      <c r="H4" s="73">
        <v>20900</v>
      </c>
      <c r="I4" s="73">
        <v>40</v>
      </c>
    </row>
    <row r="5" spans="1:12" s="61" customFormat="1" x14ac:dyDescent="0.25">
      <c r="A5" s="61">
        <v>4</v>
      </c>
      <c r="B5" s="61">
        <v>1</v>
      </c>
      <c r="C5" s="62">
        <v>3</v>
      </c>
      <c r="D5" s="61">
        <v>102</v>
      </c>
      <c r="E5" s="61">
        <v>104</v>
      </c>
      <c r="F5" s="61">
        <v>0.1356</v>
      </c>
      <c r="G5" s="1">
        <f>1.225*(0.75/0.7)</f>
        <v>1.3124999999999998</v>
      </c>
      <c r="H5" s="61">
        <v>31350.000000000004</v>
      </c>
      <c r="I5" s="61">
        <v>40</v>
      </c>
    </row>
    <row r="6" spans="1:12" x14ac:dyDescent="0.25">
      <c r="A6" s="61">
        <v>5</v>
      </c>
      <c r="B6" s="61">
        <v>1</v>
      </c>
      <c r="C6" s="62">
        <v>3</v>
      </c>
      <c r="D6" s="61">
        <v>102</v>
      </c>
      <c r="E6" s="61">
        <v>106</v>
      </c>
      <c r="F6" s="61">
        <v>0.20499999999999999</v>
      </c>
      <c r="G6" s="1">
        <f>1.225*(0.75/0.7)</f>
        <v>1.3124999999999998</v>
      </c>
      <c r="H6" s="61">
        <v>47500</v>
      </c>
      <c r="I6" s="61">
        <v>40</v>
      </c>
    </row>
    <row r="7" spans="1:12" x14ac:dyDescent="0.25">
      <c r="A7" s="61">
        <v>6</v>
      </c>
      <c r="B7" s="61">
        <v>1</v>
      </c>
      <c r="C7" s="62">
        <v>3</v>
      </c>
      <c r="D7" s="61">
        <v>103</v>
      </c>
      <c r="E7" s="61">
        <v>109</v>
      </c>
      <c r="F7" s="61">
        <v>0.12709999999999999</v>
      </c>
      <c r="G7" s="1">
        <f>1.225*(0.75/0.7)</f>
        <v>1.3124999999999998</v>
      </c>
      <c r="H7" s="61">
        <v>29450</v>
      </c>
      <c r="I7" s="61">
        <v>40</v>
      </c>
    </row>
    <row r="8" spans="1:12" x14ac:dyDescent="0.25">
      <c r="A8" s="61">
        <v>7</v>
      </c>
      <c r="B8" s="61">
        <v>1</v>
      </c>
      <c r="C8" s="62">
        <v>3</v>
      </c>
      <c r="D8" s="61">
        <v>103</v>
      </c>
      <c r="E8" s="61">
        <v>124</v>
      </c>
      <c r="F8" s="61">
        <v>8.4000000000000005E-2</v>
      </c>
      <c r="G8" s="1">
        <f>2.8*(0.75/0.7)</f>
        <v>2.9999999999999996</v>
      </c>
      <c r="H8" s="61">
        <v>47500</v>
      </c>
      <c r="I8" s="61">
        <v>40</v>
      </c>
    </row>
    <row r="9" spans="1:12" s="61" customFormat="1" x14ac:dyDescent="0.25">
      <c r="A9" s="61">
        <v>8</v>
      </c>
      <c r="B9" s="61">
        <v>1</v>
      </c>
      <c r="C9" s="62">
        <v>3</v>
      </c>
      <c r="D9" s="61">
        <v>104</v>
      </c>
      <c r="E9" s="61">
        <v>109</v>
      </c>
      <c r="F9" s="61">
        <v>0.111</v>
      </c>
      <c r="G9" s="1">
        <f>1.225*(0.75/0.7)</f>
        <v>1.3124999999999998</v>
      </c>
      <c r="H9" s="61">
        <v>25650</v>
      </c>
      <c r="I9" s="61">
        <v>40</v>
      </c>
    </row>
    <row r="10" spans="1:12" x14ac:dyDescent="0.25">
      <c r="A10" s="73">
        <v>9</v>
      </c>
      <c r="B10" s="73">
        <v>0</v>
      </c>
      <c r="C10" s="74">
        <v>3</v>
      </c>
      <c r="D10" s="73">
        <v>105</v>
      </c>
      <c r="E10" s="73">
        <v>110</v>
      </c>
      <c r="F10" s="73">
        <v>9.4E-2</v>
      </c>
      <c r="G10" s="27">
        <v>1.5</v>
      </c>
      <c r="H10" s="73">
        <v>21850</v>
      </c>
      <c r="I10" s="73">
        <v>40</v>
      </c>
    </row>
    <row r="11" spans="1:12" x14ac:dyDescent="0.25">
      <c r="A11" s="61">
        <v>10</v>
      </c>
      <c r="B11" s="61">
        <v>1</v>
      </c>
      <c r="C11" s="62">
        <v>3</v>
      </c>
      <c r="D11" s="61">
        <v>106</v>
      </c>
      <c r="E11" s="61">
        <v>110</v>
      </c>
      <c r="F11" s="61">
        <v>6.4199999999999993E-2</v>
      </c>
      <c r="G11" s="1">
        <f>1.225*(0.75/0.7)</f>
        <v>1.3124999999999998</v>
      </c>
      <c r="H11" s="61">
        <v>15200</v>
      </c>
      <c r="I11" s="61">
        <v>40</v>
      </c>
    </row>
    <row r="12" spans="1:12" s="49" customFormat="1" x14ac:dyDescent="0.25">
      <c r="A12" s="61">
        <v>11</v>
      </c>
      <c r="B12" s="63">
        <v>1</v>
      </c>
      <c r="C12" s="63">
        <v>3</v>
      </c>
      <c r="D12" s="63">
        <v>107</v>
      </c>
      <c r="E12" s="63">
        <v>108</v>
      </c>
      <c r="F12" s="64">
        <v>6.5199999999999994E-2</v>
      </c>
      <c r="G12" s="1">
        <f>2.45*(0.75/0.7)</f>
        <v>2.6249999999999996</v>
      </c>
      <c r="H12" s="65">
        <v>30400</v>
      </c>
      <c r="I12" s="63">
        <v>40</v>
      </c>
      <c r="K12" s="1"/>
      <c r="L12" s="1"/>
    </row>
    <row r="13" spans="1:12" x14ac:dyDescent="0.25">
      <c r="A13" s="61">
        <v>12</v>
      </c>
      <c r="B13" s="61">
        <v>1</v>
      </c>
      <c r="C13" s="62">
        <v>3</v>
      </c>
      <c r="D13" s="61">
        <v>108</v>
      </c>
      <c r="E13" s="61">
        <v>109</v>
      </c>
      <c r="F13" s="61">
        <v>0.1762</v>
      </c>
      <c r="G13" s="1">
        <f>1.225*(0.75/0.7)</f>
        <v>1.3124999999999998</v>
      </c>
      <c r="H13" s="61">
        <v>40850</v>
      </c>
      <c r="I13" s="61">
        <v>40</v>
      </c>
    </row>
    <row r="14" spans="1:12" x14ac:dyDescent="0.25">
      <c r="A14" s="61">
        <v>13</v>
      </c>
      <c r="B14" s="61">
        <v>1</v>
      </c>
      <c r="C14" s="62">
        <v>3</v>
      </c>
      <c r="D14" s="61">
        <v>108</v>
      </c>
      <c r="E14" s="61">
        <v>110</v>
      </c>
      <c r="F14" s="61">
        <v>0.1762</v>
      </c>
      <c r="G14" s="1">
        <f>1.225*(0.75/0.7)</f>
        <v>1.3124999999999998</v>
      </c>
      <c r="H14" s="61">
        <v>40850</v>
      </c>
      <c r="I14" s="61">
        <v>40</v>
      </c>
    </row>
    <row r="15" spans="1:12" x14ac:dyDescent="0.25">
      <c r="A15" s="61">
        <v>14</v>
      </c>
      <c r="B15" s="61">
        <v>1</v>
      </c>
      <c r="C15" s="62">
        <v>3</v>
      </c>
      <c r="D15" s="61">
        <v>109</v>
      </c>
      <c r="E15" s="61">
        <v>111</v>
      </c>
      <c r="F15" s="61">
        <v>8.4000000000000005E-2</v>
      </c>
      <c r="G15" s="1">
        <f>2.8*(0.75/0.7)</f>
        <v>2.9999999999999996</v>
      </c>
      <c r="H15" s="61">
        <v>47500</v>
      </c>
      <c r="I15" s="61">
        <v>40</v>
      </c>
    </row>
    <row r="16" spans="1:12" x14ac:dyDescent="0.25">
      <c r="A16" s="61">
        <v>15</v>
      </c>
      <c r="B16" s="61">
        <v>1</v>
      </c>
      <c r="C16" s="62">
        <v>3</v>
      </c>
      <c r="D16" s="61">
        <v>109</v>
      </c>
      <c r="E16" s="61">
        <v>112</v>
      </c>
      <c r="F16" s="61">
        <v>8.4000000000000005E-2</v>
      </c>
      <c r="G16" s="1">
        <f>2.8*(0.75/0.7)</f>
        <v>2.9999999999999996</v>
      </c>
      <c r="H16" s="61">
        <v>47500</v>
      </c>
      <c r="I16" s="61">
        <v>40</v>
      </c>
    </row>
    <row r="17" spans="1:9" x14ac:dyDescent="0.25">
      <c r="A17" s="61">
        <v>16</v>
      </c>
      <c r="B17" s="61">
        <v>1</v>
      </c>
      <c r="C17" s="62">
        <v>3</v>
      </c>
      <c r="D17" s="61">
        <v>110</v>
      </c>
      <c r="E17" s="61">
        <v>111</v>
      </c>
      <c r="F17" s="61">
        <v>8.4000000000000005E-2</v>
      </c>
      <c r="G17" s="1">
        <f>2.8*(0.75/0.7)</f>
        <v>2.9999999999999996</v>
      </c>
      <c r="H17" s="61">
        <v>47500</v>
      </c>
      <c r="I17" s="61">
        <v>40</v>
      </c>
    </row>
    <row r="18" spans="1:9" x14ac:dyDescent="0.25">
      <c r="A18" s="61">
        <v>17</v>
      </c>
      <c r="B18" s="61">
        <v>1</v>
      </c>
      <c r="C18" s="62">
        <v>3</v>
      </c>
      <c r="D18" s="61">
        <v>110</v>
      </c>
      <c r="E18" s="61">
        <v>112</v>
      </c>
      <c r="F18" s="61">
        <v>8.4000000000000005E-2</v>
      </c>
      <c r="G18" s="1">
        <f>2.8*(0.75/0.7)</f>
        <v>2.9999999999999996</v>
      </c>
      <c r="H18" s="61">
        <v>47500</v>
      </c>
      <c r="I18" s="61">
        <v>40</v>
      </c>
    </row>
    <row r="19" spans="1:9" x14ac:dyDescent="0.25">
      <c r="A19" s="61">
        <v>18</v>
      </c>
      <c r="B19" s="61">
        <v>1</v>
      </c>
      <c r="C19" s="62">
        <v>3</v>
      </c>
      <c r="D19" s="61">
        <v>111</v>
      </c>
      <c r="E19" s="61">
        <v>113</v>
      </c>
      <c r="F19" s="61">
        <v>4.8800000000000003E-2</v>
      </c>
      <c r="G19" s="1">
        <f t="shared" ref="G19:G25" si="0">3.5*(0.75/0.7)</f>
        <v>3.75</v>
      </c>
      <c r="H19" s="61">
        <v>31350.000000000004</v>
      </c>
      <c r="I19" s="61">
        <v>40</v>
      </c>
    </row>
    <row r="20" spans="1:9" x14ac:dyDescent="0.25">
      <c r="A20" s="61">
        <v>19</v>
      </c>
      <c r="B20" s="61">
        <v>1</v>
      </c>
      <c r="C20" s="62">
        <v>3</v>
      </c>
      <c r="D20" s="61">
        <v>111</v>
      </c>
      <c r="E20" s="61">
        <v>114</v>
      </c>
      <c r="F20" s="61">
        <v>4.2599999999999999E-2</v>
      </c>
      <c r="G20" s="1">
        <f t="shared" si="0"/>
        <v>3.75</v>
      </c>
      <c r="H20" s="61">
        <v>27550</v>
      </c>
      <c r="I20" s="61">
        <v>40</v>
      </c>
    </row>
    <row r="21" spans="1:9" x14ac:dyDescent="0.25">
      <c r="A21" s="61">
        <v>20</v>
      </c>
      <c r="B21" s="61">
        <v>1</v>
      </c>
      <c r="C21" s="62">
        <v>3</v>
      </c>
      <c r="D21" s="61">
        <v>112</v>
      </c>
      <c r="E21" s="61">
        <v>113</v>
      </c>
      <c r="F21" s="61">
        <v>4.8800000000000003E-2</v>
      </c>
      <c r="G21" s="1">
        <f t="shared" si="0"/>
        <v>3.75</v>
      </c>
      <c r="H21" s="61">
        <v>31350.000000000004</v>
      </c>
      <c r="I21" s="61">
        <v>40</v>
      </c>
    </row>
    <row r="22" spans="1:9" x14ac:dyDescent="0.25">
      <c r="A22" s="61">
        <v>21</v>
      </c>
      <c r="B22" s="61">
        <v>1</v>
      </c>
      <c r="C22" s="62">
        <v>3</v>
      </c>
      <c r="D22" s="61">
        <v>112</v>
      </c>
      <c r="E22" s="61">
        <v>123</v>
      </c>
      <c r="F22" s="61">
        <v>9.8500000000000004E-2</v>
      </c>
      <c r="G22" s="1">
        <f t="shared" si="0"/>
        <v>3.75</v>
      </c>
      <c r="H22" s="61">
        <v>63650</v>
      </c>
      <c r="I22" s="61">
        <v>40</v>
      </c>
    </row>
    <row r="23" spans="1:9" x14ac:dyDescent="0.25">
      <c r="A23" s="61">
        <v>22</v>
      </c>
      <c r="B23" s="61">
        <v>1</v>
      </c>
      <c r="C23" s="62">
        <v>3</v>
      </c>
      <c r="D23" s="61">
        <v>113</v>
      </c>
      <c r="E23" s="61">
        <v>123</v>
      </c>
      <c r="F23" s="61">
        <v>8.8400000000000006E-2</v>
      </c>
      <c r="G23" s="1">
        <f t="shared" si="0"/>
        <v>3.75</v>
      </c>
      <c r="H23" s="61">
        <v>57000</v>
      </c>
      <c r="I23" s="61">
        <v>40</v>
      </c>
    </row>
    <row r="24" spans="1:9" x14ac:dyDescent="0.25">
      <c r="A24" s="61">
        <v>23</v>
      </c>
      <c r="B24" s="61">
        <v>1</v>
      </c>
      <c r="C24" s="62">
        <v>3</v>
      </c>
      <c r="D24" s="61">
        <v>114</v>
      </c>
      <c r="E24" s="61">
        <v>116</v>
      </c>
      <c r="F24" s="61">
        <v>5.9400000000000001E-2</v>
      </c>
      <c r="G24" s="1">
        <f t="shared" si="0"/>
        <v>3.75</v>
      </c>
      <c r="H24" s="61">
        <v>25650</v>
      </c>
      <c r="I24" s="61">
        <v>40</v>
      </c>
    </row>
    <row r="25" spans="1:9" x14ac:dyDescent="0.25">
      <c r="A25" s="61">
        <v>24</v>
      </c>
      <c r="B25" s="61">
        <v>1</v>
      </c>
      <c r="C25" s="62">
        <v>3</v>
      </c>
      <c r="D25" s="61">
        <v>115</v>
      </c>
      <c r="E25" s="61">
        <v>116</v>
      </c>
      <c r="F25" s="61">
        <v>1.72E-2</v>
      </c>
      <c r="G25" s="1">
        <f t="shared" si="0"/>
        <v>3.75</v>
      </c>
      <c r="H25" s="61">
        <v>11400.000000000002</v>
      </c>
      <c r="I25" s="61">
        <v>40</v>
      </c>
    </row>
    <row r="26" spans="1:9" x14ac:dyDescent="0.25">
      <c r="A26" s="61">
        <v>25</v>
      </c>
      <c r="B26" s="61">
        <v>1</v>
      </c>
      <c r="C26" s="62">
        <v>3</v>
      </c>
      <c r="D26" s="61">
        <v>115</v>
      </c>
      <c r="E26" s="61">
        <v>121</v>
      </c>
      <c r="F26" s="61">
        <v>2.4899999999999999E-2</v>
      </c>
      <c r="G26" s="1">
        <f>7*(0.75/0.7)</f>
        <v>7.5</v>
      </c>
      <c r="H26" s="61">
        <v>32300</v>
      </c>
      <c r="I26" s="61">
        <v>40</v>
      </c>
    </row>
    <row r="27" spans="1:9" x14ac:dyDescent="0.25">
      <c r="A27" s="61">
        <v>26</v>
      </c>
      <c r="B27" s="61">
        <v>1</v>
      </c>
      <c r="C27" s="62">
        <v>3</v>
      </c>
      <c r="D27" s="61">
        <v>115</v>
      </c>
      <c r="E27" s="61">
        <v>124</v>
      </c>
      <c r="F27" s="61">
        <v>5.2900000000000003E-2</v>
      </c>
      <c r="G27" s="1">
        <f>3.5*(0.75/0.7)</f>
        <v>3.75</v>
      </c>
      <c r="H27" s="61">
        <v>17100</v>
      </c>
      <c r="I27" s="61">
        <v>40</v>
      </c>
    </row>
    <row r="28" spans="1:9" x14ac:dyDescent="0.25">
      <c r="A28" s="61">
        <v>27</v>
      </c>
      <c r="B28" s="61">
        <v>1</v>
      </c>
      <c r="C28" s="62">
        <v>3</v>
      </c>
      <c r="D28" s="61">
        <v>116</v>
      </c>
      <c r="E28" s="61">
        <v>117</v>
      </c>
      <c r="F28" s="61">
        <v>2.63E-2</v>
      </c>
      <c r="G28" s="1">
        <f>3.5*(0.75/0.7)</f>
        <v>3.75</v>
      </c>
      <c r="H28" s="61">
        <v>15200</v>
      </c>
      <c r="I28" s="61">
        <v>40</v>
      </c>
    </row>
    <row r="29" spans="1:9" x14ac:dyDescent="0.25">
      <c r="A29" s="61">
        <v>28</v>
      </c>
      <c r="B29" s="61">
        <v>1</v>
      </c>
      <c r="C29" s="62">
        <v>3</v>
      </c>
      <c r="D29" s="61">
        <v>116</v>
      </c>
      <c r="E29" s="61">
        <v>119</v>
      </c>
      <c r="F29" s="61">
        <v>2.3400000000000001E-2</v>
      </c>
      <c r="G29" s="1">
        <f>3.5*(0.75/0.7)</f>
        <v>3.75</v>
      </c>
      <c r="H29" s="61">
        <v>9500</v>
      </c>
      <c r="I29" s="61">
        <v>40</v>
      </c>
    </row>
    <row r="30" spans="1:9" x14ac:dyDescent="0.25">
      <c r="A30" s="61">
        <v>29</v>
      </c>
      <c r="B30" s="61">
        <v>1</v>
      </c>
      <c r="C30" s="62">
        <v>3</v>
      </c>
      <c r="D30" s="61">
        <v>117</v>
      </c>
      <c r="E30" s="61">
        <v>118</v>
      </c>
      <c r="F30" s="61">
        <v>1.43E-2</v>
      </c>
      <c r="G30" s="1">
        <f>3.5*(0.75/0.7)</f>
        <v>3.75</v>
      </c>
      <c r="H30" s="61">
        <v>69350</v>
      </c>
      <c r="I30" s="61">
        <v>40</v>
      </c>
    </row>
    <row r="31" spans="1:9" x14ac:dyDescent="0.25">
      <c r="A31" s="61">
        <v>30</v>
      </c>
      <c r="B31" s="61">
        <v>1</v>
      </c>
      <c r="C31" s="61">
        <v>3</v>
      </c>
      <c r="D31" s="61">
        <v>117</v>
      </c>
      <c r="E31" s="61">
        <v>122</v>
      </c>
      <c r="F31" s="61">
        <v>0.1069</v>
      </c>
      <c r="G31" s="1">
        <f>3.5*(0.75/0.7)</f>
        <v>3.75</v>
      </c>
      <c r="H31" s="61">
        <v>17100</v>
      </c>
      <c r="I31" s="61">
        <v>40</v>
      </c>
    </row>
    <row r="32" spans="1:9" x14ac:dyDescent="0.25">
      <c r="A32" s="61">
        <v>31</v>
      </c>
      <c r="B32" s="61">
        <v>1</v>
      </c>
      <c r="C32" s="61">
        <v>3</v>
      </c>
      <c r="D32" s="61">
        <v>118</v>
      </c>
      <c r="E32" s="61">
        <v>121</v>
      </c>
      <c r="F32" s="61">
        <v>1.32E-2</v>
      </c>
      <c r="G32" s="1">
        <f>7*(0.75/0.7)</f>
        <v>7.5</v>
      </c>
      <c r="H32" s="61">
        <v>26125</v>
      </c>
      <c r="I32" s="61">
        <v>40</v>
      </c>
    </row>
    <row r="33" spans="1:12" x14ac:dyDescent="0.25">
      <c r="A33" s="61">
        <v>32</v>
      </c>
      <c r="B33" s="61">
        <v>1</v>
      </c>
      <c r="C33" s="61">
        <v>3</v>
      </c>
      <c r="D33" s="61">
        <v>119</v>
      </c>
      <c r="E33" s="61">
        <v>120</v>
      </c>
      <c r="F33" s="61">
        <v>2.0299999999999999E-2</v>
      </c>
      <c r="G33" s="1">
        <f>7*(0.75/0.7)</f>
        <v>7.5</v>
      </c>
      <c r="H33" s="61">
        <v>44650</v>
      </c>
      <c r="I33" s="61">
        <v>40</v>
      </c>
    </row>
    <row r="34" spans="1:12" x14ac:dyDescent="0.25">
      <c r="A34" s="61">
        <v>33</v>
      </c>
      <c r="B34" s="61">
        <v>1</v>
      </c>
      <c r="C34" s="61">
        <v>3</v>
      </c>
      <c r="D34" s="61">
        <v>120</v>
      </c>
      <c r="E34" s="61">
        <v>123</v>
      </c>
      <c r="F34" s="61">
        <v>1.12E-2</v>
      </c>
      <c r="G34" s="1">
        <f>7*(0.75/0.7)</f>
        <v>7.5</v>
      </c>
      <c r="H34" s="61">
        <v>31349.999999999996</v>
      </c>
      <c r="I34" s="61">
        <v>40</v>
      </c>
    </row>
    <row r="35" spans="1:12" x14ac:dyDescent="0.25">
      <c r="A35" s="61">
        <v>34</v>
      </c>
      <c r="B35" s="61">
        <v>1</v>
      </c>
      <c r="C35" s="61">
        <v>3</v>
      </c>
      <c r="D35" s="61">
        <v>121</v>
      </c>
      <c r="E35" s="61">
        <v>122</v>
      </c>
      <c r="F35" s="61">
        <v>6.9199999999999998E-2</v>
      </c>
      <c r="G35" s="1">
        <f>3.5*(0.75/0.7)</f>
        <v>3.75</v>
      </c>
      <c r="H35" s="61">
        <v>29450</v>
      </c>
      <c r="I35" s="61">
        <v>40</v>
      </c>
    </row>
    <row r="36" spans="1:12" x14ac:dyDescent="0.25">
      <c r="A36" s="61">
        <v>35</v>
      </c>
      <c r="B36" s="61">
        <v>1</v>
      </c>
      <c r="C36" s="62">
        <v>3</v>
      </c>
      <c r="D36" s="61">
        <v>201</v>
      </c>
      <c r="E36" s="61">
        <v>202</v>
      </c>
      <c r="F36" s="61">
        <v>1.46E-2</v>
      </c>
      <c r="G36" s="1">
        <f>1.225*(0.75/0.7)</f>
        <v>1.3124999999999998</v>
      </c>
      <c r="H36" s="61">
        <v>2850.0000000000005</v>
      </c>
      <c r="I36" s="61">
        <v>40</v>
      </c>
    </row>
    <row r="37" spans="1:12" x14ac:dyDescent="0.25">
      <c r="A37" s="61">
        <v>36</v>
      </c>
      <c r="B37" s="61">
        <v>1</v>
      </c>
      <c r="C37" s="62">
        <v>3</v>
      </c>
      <c r="D37" s="61">
        <v>201</v>
      </c>
      <c r="E37" s="61">
        <v>203</v>
      </c>
      <c r="F37" s="61">
        <v>0.2253</v>
      </c>
      <c r="G37" s="1">
        <f>1.225*(0.75/0.7)</f>
        <v>1.3124999999999998</v>
      </c>
      <c r="H37" s="61">
        <v>52250</v>
      </c>
      <c r="I37" s="61">
        <v>40</v>
      </c>
    </row>
    <row r="38" spans="1:12" x14ac:dyDescent="0.25">
      <c r="A38" s="73">
        <v>37</v>
      </c>
      <c r="B38" s="73">
        <v>1</v>
      </c>
      <c r="C38" s="74">
        <v>3</v>
      </c>
      <c r="D38" s="73">
        <v>201</v>
      </c>
      <c r="E38" s="73">
        <v>205</v>
      </c>
      <c r="F38" s="73">
        <v>9.0700000000000003E-2</v>
      </c>
      <c r="G38" s="27">
        <v>1.5</v>
      </c>
      <c r="H38" s="73">
        <v>20900</v>
      </c>
      <c r="I38" s="73">
        <v>40</v>
      </c>
    </row>
    <row r="39" spans="1:12" s="61" customFormat="1" x14ac:dyDescent="0.25">
      <c r="A39" s="61">
        <v>38</v>
      </c>
      <c r="B39" s="61">
        <v>1</v>
      </c>
      <c r="C39" s="62">
        <v>3</v>
      </c>
      <c r="D39" s="61">
        <v>202</v>
      </c>
      <c r="E39" s="61">
        <v>204</v>
      </c>
      <c r="F39" s="61">
        <v>0.1356</v>
      </c>
      <c r="G39" s="1">
        <f>1.225*(0.75/0.7)</f>
        <v>1.3124999999999998</v>
      </c>
      <c r="H39" s="61">
        <v>31350.000000000004</v>
      </c>
      <c r="I39" s="61">
        <v>40</v>
      </c>
    </row>
    <row r="40" spans="1:12" s="27" customFormat="1" x14ac:dyDescent="0.25">
      <c r="A40" s="61">
        <v>39</v>
      </c>
      <c r="B40" s="61">
        <v>1</v>
      </c>
      <c r="C40" s="62">
        <v>3</v>
      </c>
      <c r="D40" s="61">
        <v>202</v>
      </c>
      <c r="E40" s="61">
        <v>206</v>
      </c>
      <c r="F40" s="61">
        <v>0.20499999999999999</v>
      </c>
      <c r="G40" s="1">
        <f>1.225*(0.75/0.7)</f>
        <v>1.3124999999999998</v>
      </c>
      <c r="H40" s="61">
        <v>47500</v>
      </c>
      <c r="I40" s="61">
        <v>40</v>
      </c>
      <c r="K40" s="1"/>
      <c r="L40" s="1"/>
    </row>
    <row r="41" spans="1:12" s="27" customFormat="1" x14ac:dyDescent="0.25">
      <c r="A41" s="61">
        <v>40</v>
      </c>
      <c r="B41" s="61">
        <v>1</v>
      </c>
      <c r="C41" s="62">
        <v>3</v>
      </c>
      <c r="D41" s="61">
        <v>203</v>
      </c>
      <c r="E41" s="61">
        <v>209</v>
      </c>
      <c r="F41" s="61">
        <v>0.12709999999999999</v>
      </c>
      <c r="G41" s="1">
        <f>1.225*(0.75/0.7)</f>
        <v>1.3124999999999998</v>
      </c>
      <c r="H41" s="61">
        <v>29450</v>
      </c>
      <c r="I41" s="61">
        <v>40</v>
      </c>
      <c r="K41" s="1"/>
      <c r="L41" s="1"/>
    </row>
    <row r="42" spans="1:12" s="27" customFormat="1" x14ac:dyDescent="0.25">
      <c r="A42" s="61">
        <v>41</v>
      </c>
      <c r="B42" s="61">
        <v>1</v>
      </c>
      <c r="C42" s="62">
        <v>3</v>
      </c>
      <c r="D42" s="61">
        <v>203</v>
      </c>
      <c r="E42" s="61">
        <v>224</v>
      </c>
      <c r="F42" s="61">
        <v>8.4000000000000005E-2</v>
      </c>
      <c r="G42" s="1">
        <f>2.8*(0.75/0.7)</f>
        <v>2.9999999999999996</v>
      </c>
      <c r="H42" s="61">
        <v>47500</v>
      </c>
      <c r="I42" s="61">
        <v>40</v>
      </c>
      <c r="K42" s="1"/>
      <c r="L42" s="1"/>
    </row>
    <row r="43" spans="1:12" s="65" customFormat="1" x14ac:dyDescent="0.25">
      <c r="A43" s="61">
        <v>42</v>
      </c>
      <c r="B43" s="61">
        <v>1</v>
      </c>
      <c r="C43" s="62">
        <v>3</v>
      </c>
      <c r="D43" s="61">
        <v>204</v>
      </c>
      <c r="E43" s="61">
        <v>209</v>
      </c>
      <c r="F43" s="61">
        <v>0.111</v>
      </c>
      <c r="G43" s="1">
        <f>1.225*(0.75/0.7)</f>
        <v>1.3124999999999998</v>
      </c>
      <c r="H43" s="61">
        <v>25650</v>
      </c>
      <c r="I43" s="61">
        <v>40</v>
      </c>
      <c r="K43" s="61"/>
      <c r="L43" s="61"/>
    </row>
    <row r="44" spans="1:12" s="27" customFormat="1" x14ac:dyDescent="0.25">
      <c r="A44" s="73">
        <v>43</v>
      </c>
      <c r="B44" s="73">
        <v>1</v>
      </c>
      <c r="C44" s="74">
        <v>3</v>
      </c>
      <c r="D44" s="73">
        <v>205</v>
      </c>
      <c r="E44" s="73">
        <v>210</v>
      </c>
      <c r="F44" s="73">
        <v>9.4E-2</v>
      </c>
      <c r="G44" s="27">
        <v>1.5</v>
      </c>
      <c r="H44" s="73">
        <v>21850</v>
      </c>
      <c r="I44" s="73">
        <v>40</v>
      </c>
      <c r="K44" s="1"/>
      <c r="L44" s="1"/>
    </row>
    <row r="45" spans="1:12" x14ac:dyDescent="0.25">
      <c r="A45" s="61">
        <v>44</v>
      </c>
      <c r="B45" s="61">
        <v>1</v>
      </c>
      <c r="C45" s="62">
        <v>3</v>
      </c>
      <c r="D45" s="61">
        <v>206</v>
      </c>
      <c r="E45" s="61">
        <v>210</v>
      </c>
      <c r="F45" s="61">
        <v>6.4199999999999993E-2</v>
      </c>
      <c r="G45" s="1">
        <f>1.225*(0.75/0.7)</f>
        <v>1.3124999999999998</v>
      </c>
      <c r="H45" s="61">
        <v>15200</v>
      </c>
      <c r="I45" s="61">
        <v>40</v>
      </c>
    </row>
    <row r="46" spans="1:12" x14ac:dyDescent="0.25">
      <c r="A46" s="61">
        <v>45</v>
      </c>
      <c r="B46" s="63">
        <v>1</v>
      </c>
      <c r="C46" s="63">
        <v>3</v>
      </c>
      <c r="D46" s="63">
        <v>207</v>
      </c>
      <c r="E46" s="63">
        <v>208</v>
      </c>
      <c r="F46" s="64">
        <v>6.5199999999999994E-2</v>
      </c>
      <c r="G46" s="1">
        <f>2.45*(0.75/0.7)</f>
        <v>2.6249999999999996</v>
      </c>
      <c r="H46" s="65">
        <v>30400</v>
      </c>
      <c r="I46" s="63">
        <v>40</v>
      </c>
    </row>
    <row r="47" spans="1:12" x14ac:dyDescent="0.25">
      <c r="A47" s="61">
        <v>46</v>
      </c>
      <c r="B47" s="61">
        <v>1</v>
      </c>
      <c r="C47" s="62">
        <v>3</v>
      </c>
      <c r="D47" s="61">
        <v>208</v>
      </c>
      <c r="E47" s="61">
        <v>209</v>
      </c>
      <c r="F47" s="61">
        <v>0.1762</v>
      </c>
      <c r="G47" s="1">
        <f>1.225*(0.75/0.7)</f>
        <v>1.3124999999999998</v>
      </c>
      <c r="H47" s="61">
        <v>40850</v>
      </c>
      <c r="I47" s="61">
        <v>40</v>
      </c>
    </row>
    <row r="48" spans="1:12" x14ac:dyDescent="0.25">
      <c r="A48" s="61">
        <v>47</v>
      </c>
      <c r="B48" s="61">
        <v>1</v>
      </c>
      <c r="C48" s="62">
        <v>3</v>
      </c>
      <c r="D48" s="61">
        <v>208</v>
      </c>
      <c r="E48" s="61">
        <v>210</v>
      </c>
      <c r="F48" s="61">
        <v>0.1762</v>
      </c>
      <c r="G48" s="1">
        <f>1.225*(0.75/0.7)</f>
        <v>1.3124999999999998</v>
      </c>
      <c r="H48" s="61">
        <v>40850</v>
      </c>
      <c r="I48" s="61">
        <v>40</v>
      </c>
    </row>
    <row r="49" spans="1:9" x14ac:dyDescent="0.25">
      <c r="A49" s="61">
        <v>48</v>
      </c>
      <c r="B49" s="61">
        <v>1</v>
      </c>
      <c r="C49" s="62">
        <v>3</v>
      </c>
      <c r="D49" s="61">
        <v>209</v>
      </c>
      <c r="E49" s="61">
        <v>211</v>
      </c>
      <c r="F49" s="61">
        <v>8.4000000000000005E-2</v>
      </c>
      <c r="G49" s="1">
        <f>2.8*(0.75/0.7)</f>
        <v>2.9999999999999996</v>
      </c>
      <c r="H49" s="61">
        <v>47500</v>
      </c>
      <c r="I49" s="61">
        <v>40</v>
      </c>
    </row>
    <row r="50" spans="1:9" x14ac:dyDescent="0.25">
      <c r="A50" s="61">
        <v>49</v>
      </c>
      <c r="B50" s="61">
        <v>1</v>
      </c>
      <c r="C50" s="62">
        <v>3</v>
      </c>
      <c r="D50" s="61">
        <v>209</v>
      </c>
      <c r="E50" s="61">
        <v>212</v>
      </c>
      <c r="F50" s="61">
        <v>8.4000000000000005E-2</v>
      </c>
      <c r="G50" s="1">
        <f>2.8*(0.75/0.7)</f>
        <v>2.9999999999999996</v>
      </c>
      <c r="H50" s="61">
        <v>47500</v>
      </c>
      <c r="I50" s="61">
        <v>40</v>
      </c>
    </row>
    <row r="51" spans="1:9" x14ac:dyDescent="0.25">
      <c r="A51" s="61">
        <v>50</v>
      </c>
      <c r="B51" s="61">
        <v>1</v>
      </c>
      <c r="C51" s="62">
        <v>3</v>
      </c>
      <c r="D51" s="61">
        <v>210</v>
      </c>
      <c r="E51" s="61">
        <v>211</v>
      </c>
      <c r="F51" s="61">
        <v>8.4000000000000005E-2</v>
      </c>
      <c r="G51" s="1">
        <f>2.8*(0.75/0.7)</f>
        <v>2.9999999999999996</v>
      </c>
      <c r="H51" s="61">
        <v>47500</v>
      </c>
      <c r="I51" s="61">
        <v>40</v>
      </c>
    </row>
    <row r="52" spans="1:9" x14ac:dyDescent="0.25">
      <c r="A52" s="61">
        <v>51</v>
      </c>
      <c r="B52" s="61">
        <v>1</v>
      </c>
      <c r="C52" s="62">
        <v>3</v>
      </c>
      <c r="D52" s="61">
        <v>210</v>
      </c>
      <c r="E52" s="61">
        <v>212</v>
      </c>
      <c r="F52" s="61">
        <v>8.4000000000000005E-2</v>
      </c>
      <c r="G52" s="1">
        <f>2.8*(0.75/0.7)</f>
        <v>2.9999999999999996</v>
      </c>
      <c r="H52" s="61">
        <v>47500</v>
      </c>
      <c r="I52" s="61">
        <v>40</v>
      </c>
    </row>
    <row r="53" spans="1:9" x14ac:dyDescent="0.25">
      <c r="A53" s="61">
        <v>52</v>
      </c>
      <c r="B53" s="61">
        <v>1</v>
      </c>
      <c r="C53" s="62">
        <v>3</v>
      </c>
      <c r="D53" s="61">
        <v>211</v>
      </c>
      <c r="E53" s="61">
        <v>213</v>
      </c>
      <c r="F53" s="61">
        <v>4.8800000000000003E-2</v>
      </c>
      <c r="G53" s="1">
        <f t="shared" ref="G53:G59" si="1">3.5*(0.75/0.7)</f>
        <v>3.75</v>
      </c>
      <c r="H53" s="61">
        <v>31350.000000000004</v>
      </c>
      <c r="I53" s="61">
        <v>40</v>
      </c>
    </row>
    <row r="54" spans="1:9" x14ac:dyDescent="0.25">
      <c r="A54" s="61">
        <v>53</v>
      </c>
      <c r="B54" s="61">
        <v>1</v>
      </c>
      <c r="C54" s="62">
        <v>3</v>
      </c>
      <c r="D54" s="61">
        <v>211</v>
      </c>
      <c r="E54" s="61">
        <v>214</v>
      </c>
      <c r="F54" s="61">
        <v>4.2599999999999999E-2</v>
      </c>
      <c r="G54" s="1">
        <f t="shared" si="1"/>
        <v>3.75</v>
      </c>
      <c r="H54" s="61">
        <v>27550</v>
      </c>
      <c r="I54" s="61">
        <v>40</v>
      </c>
    </row>
    <row r="55" spans="1:9" x14ac:dyDescent="0.25">
      <c r="A55" s="61">
        <v>54</v>
      </c>
      <c r="B55" s="61">
        <v>1</v>
      </c>
      <c r="C55" s="62">
        <v>3</v>
      </c>
      <c r="D55" s="61">
        <v>212</v>
      </c>
      <c r="E55" s="61">
        <v>213</v>
      </c>
      <c r="F55" s="61">
        <v>4.8800000000000003E-2</v>
      </c>
      <c r="G55" s="1">
        <f t="shared" si="1"/>
        <v>3.75</v>
      </c>
      <c r="H55" s="61">
        <v>31350.000000000004</v>
      </c>
      <c r="I55" s="61">
        <v>40</v>
      </c>
    </row>
    <row r="56" spans="1:9" x14ac:dyDescent="0.25">
      <c r="A56" s="61">
        <v>55</v>
      </c>
      <c r="B56" s="61">
        <v>1</v>
      </c>
      <c r="C56" s="62">
        <v>3</v>
      </c>
      <c r="D56" s="61">
        <v>212</v>
      </c>
      <c r="E56" s="61">
        <v>223</v>
      </c>
      <c r="F56" s="61">
        <v>9.8500000000000004E-2</v>
      </c>
      <c r="G56" s="1">
        <f t="shared" si="1"/>
        <v>3.75</v>
      </c>
      <c r="H56" s="61">
        <v>63650</v>
      </c>
      <c r="I56" s="61">
        <v>40</v>
      </c>
    </row>
    <row r="57" spans="1:9" x14ac:dyDescent="0.25">
      <c r="A57" s="61">
        <v>56</v>
      </c>
      <c r="B57" s="61">
        <v>1</v>
      </c>
      <c r="C57" s="62">
        <v>3</v>
      </c>
      <c r="D57" s="61">
        <v>213</v>
      </c>
      <c r="E57" s="61">
        <v>223</v>
      </c>
      <c r="F57" s="61">
        <v>8.8400000000000006E-2</v>
      </c>
      <c r="G57" s="1">
        <f t="shared" si="1"/>
        <v>3.75</v>
      </c>
      <c r="H57" s="61">
        <v>57000</v>
      </c>
      <c r="I57" s="61">
        <v>40</v>
      </c>
    </row>
    <row r="58" spans="1:9" x14ac:dyDescent="0.25">
      <c r="A58" s="61">
        <v>57</v>
      </c>
      <c r="B58" s="61">
        <v>1</v>
      </c>
      <c r="C58" s="62">
        <v>3</v>
      </c>
      <c r="D58" s="61">
        <v>214</v>
      </c>
      <c r="E58" s="61">
        <v>216</v>
      </c>
      <c r="F58" s="61">
        <v>5.9400000000000001E-2</v>
      </c>
      <c r="G58" s="1">
        <f t="shared" si="1"/>
        <v>3.75</v>
      </c>
      <c r="H58" s="61">
        <v>25650</v>
      </c>
      <c r="I58" s="61">
        <v>40</v>
      </c>
    </row>
    <row r="59" spans="1:9" x14ac:dyDescent="0.25">
      <c r="A59" s="61">
        <v>58</v>
      </c>
      <c r="B59" s="61">
        <v>1</v>
      </c>
      <c r="C59" s="62">
        <v>3</v>
      </c>
      <c r="D59" s="61">
        <v>215</v>
      </c>
      <c r="E59" s="61">
        <v>216</v>
      </c>
      <c r="F59" s="61">
        <v>1.72E-2</v>
      </c>
      <c r="G59" s="1">
        <f t="shared" si="1"/>
        <v>3.75</v>
      </c>
      <c r="H59" s="61">
        <v>11400.000000000002</v>
      </c>
      <c r="I59" s="61">
        <v>40</v>
      </c>
    </row>
    <row r="60" spans="1:9" x14ac:dyDescent="0.25">
      <c r="A60" s="61">
        <v>59</v>
      </c>
      <c r="B60" s="61">
        <v>1</v>
      </c>
      <c r="C60" s="62">
        <v>3</v>
      </c>
      <c r="D60" s="61">
        <v>215</v>
      </c>
      <c r="E60" s="61">
        <v>221</v>
      </c>
      <c r="F60" s="61">
        <v>2.4899999999999999E-2</v>
      </c>
      <c r="G60" s="1">
        <f>7*(0.75/0.7)</f>
        <v>7.5</v>
      </c>
      <c r="H60" s="61">
        <v>32300</v>
      </c>
      <c r="I60" s="61">
        <v>40</v>
      </c>
    </row>
    <row r="61" spans="1:9" x14ac:dyDescent="0.25">
      <c r="A61" s="61">
        <v>60</v>
      </c>
      <c r="B61" s="61">
        <v>1</v>
      </c>
      <c r="C61" s="62">
        <v>3</v>
      </c>
      <c r="D61" s="61">
        <v>215</v>
      </c>
      <c r="E61" s="61">
        <v>224</v>
      </c>
      <c r="F61" s="61">
        <v>5.2900000000000003E-2</v>
      </c>
      <c r="G61" s="1">
        <f>3.5*(0.75/0.7)</f>
        <v>3.75</v>
      </c>
      <c r="H61" s="61">
        <v>17100</v>
      </c>
      <c r="I61" s="61">
        <v>40</v>
      </c>
    </row>
    <row r="62" spans="1:9" x14ac:dyDescent="0.25">
      <c r="A62" s="61">
        <v>61</v>
      </c>
      <c r="B62" s="61">
        <v>1</v>
      </c>
      <c r="C62" s="62">
        <v>3</v>
      </c>
      <c r="D62" s="61">
        <v>216</v>
      </c>
      <c r="E62" s="61">
        <v>217</v>
      </c>
      <c r="F62" s="61">
        <v>2.63E-2</v>
      </c>
      <c r="G62" s="1">
        <f>3.5*(0.75/0.7)</f>
        <v>3.75</v>
      </c>
      <c r="H62" s="61">
        <v>15200</v>
      </c>
      <c r="I62" s="61">
        <v>40</v>
      </c>
    </row>
    <row r="63" spans="1:9" x14ac:dyDescent="0.25">
      <c r="A63" s="61">
        <v>62</v>
      </c>
      <c r="B63" s="61">
        <v>1</v>
      </c>
      <c r="C63" s="62">
        <v>3</v>
      </c>
      <c r="D63" s="61">
        <v>216</v>
      </c>
      <c r="E63" s="61">
        <v>219</v>
      </c>
      <c r="F63" s="61">
        <v>2.3400000000000001E-2</v>
      </c>
      <c r="G63" s="1">
        <f>3.5*(0.75/0.7)</f>
        <v>3.75</v>
      </c>
      <c r="H63" s="61">
        <v>9500</v>
      </c>
      <c r="I63" s="61">
        <v>40</v>
      </c>
    </row>
    <row r="64" spans="1:9" x14ac:dyDescent="0.25">
      <c r="A64" s="61">
        <v>63</v>
      </c>
      <c r="B64" s="61">
        <v>1</v>
      </c>
      <c r="C64" s="62">
        <v>3</v>
      </c>
      <c r="D64" s="61">
        <v>217</v>
      </c>
      <c r="E64" s="61">
        <v>218</v>
      </c>
      <c r="F64" s="61">
        <v>1.43E-2</v>
      </c>
      <c r="G64" s="1">
        <f>3.5*(0.75/0.7)</f>
        <v>3.75</v>
      </c>
      <c r="H64" s="61">
        <v>69350</v>
      </c>
      <c r="I64" s="61">
        <v>40</v>
      </c>
    </row>
    <row r="65" spans="1:9" x14ac:dyDescent="0.25">
      <c r="A65" s="61">
        <v>64</v>
      </c>
      <c r="B65" s="61">
        <v>1</v>
      </c>
      <c r="C65" s="61">
        <v>3</v>
      </c>
      <c r="D65" s="61">
        <v>217</v>
      </c>
      <c r="E65" s="61">
        <v>222</v>
      </c>
      <c r="F65" s="61">
        <v>0.1069</v>
      </c>
      <c r="G65" s="1">
        <f>3.5*(0.75/0.7)</f>
        <v>3.75</v>
      </c>
      <c r="H65" s="61">
        <v>17100</v>
      </c>
      <c r="I65" s="61">
        <v>40</v>
      </c>
    </row>
    <row r="66" spans="1:9" x14ac:dyDescent="0.25">
      <c r="A66" s="61">
        <v>65</v>
      </c>
      <c r="B66" s="61">
        <v>1</v>
      </c>
      <c r="C66" s="61">
        <v>3</v>
      </c>
      <c r="D66" s="61">
        <v>218</v>
      </c>
      <c r="E66" s="61">
        <v>221</v>
      </c>
      <c r="F66" s="61">
        <v>1.32E-2</v>
      </c>
      <c r="G66" s="1">
        <f>7*(0.75/0.7)</f>
        <v>7.5</v>
      </c>
      <c r="H66" s="61">
        <v>26125</v>
      </c>
      <c r="I66" s="61">
        <v>40</v>
      </c>
    </row>
    <row r="67" spans="1:9" x14ac:dyDescent="0.25">
      <c r="A67" s="61">
        <v>66</v>
      </c>
      <c r="B67" s="61">
        <v>1</v>
      </c>
      <c r="C67" s="61">
        <v>3</v>
      </c>
      <c r="D67" s="61">
        <v>219</v>
      </c>
      <c r="E67" s="61">
        <v>220</v>
      </c>
      <c r="F67" s="61">
        <v>2.0299999999999999E-2</v>
      </c>
      <c r="G67" s="1">
        <f>7*(0.75/0.7)</f>
        <v>7.5</v>
      </c>
      <c r="H67" s="61">
        <v>44650</v>
      </c>
      <c r="I67" s="61">
        <v>40</v>
      </c>
    </row>
    <row r="68" spans="1:9" x14ac:dyDescent="0.25">
      <c r="A68" s="61">
        <v>67</v>
      </c>
      <c r="B68" s="61">
        <v>1</v>
      </c>
      <c r="C68" s="61">
        <v>3</v>
      </c>
      <c r="D68" s="61">
        <v>220</v>
      </c>
      <c r="E68" s="61">
        <v>223</v>
      </c>
      <c r="F68" s="61">
        <v>1.12E-2</v>
      </c>
      <c r="G68" s="1">
        <f>7*(0.75/0.7)</f>
        <v>7.5</v>
      </c>
      <c r="H68" s="61">
        <v>31349.999999999996</v>
      </c>
      <c r="I68" s="61">
        <v>40</v>
      </c>
    </row>
    <row r="69" spans="1:9" x14ac:dyDescent="0.25">
      <c r="A69" s="61">
        <v>68</v>
      </c>
      <c r="B69" s="61">
        <v>1</v>
      </c>
      <c r="C69" s="61">
        <v>3</v>
      </c>
      <c r="D69" s="61">
        <v>221</v>
      </c>
      <c r="E69" s="61">
        <v>222</v>
      </c>
      <c r="F69" s="61">
        <v>6.9199999999999998E-2</v>
      </c>
      <c r="G69" s="1">
        <f>3.5*(0.75/0.7)</f>
        <v>3.75</v>
      </c>
      <c r="H69" s="61">
        <v>29450</v>
      </c>
      <c r="I69" s="61">
        <v>40</v>
      </c>
    </row>
    <row r="70" spans="1:9" x14ac:dyDescent="0.25">
      <c r="A70" s="61">
        <v>69</v>
      </c>
      <c r="B70" s="61">
        <v>1</v>
      </c>
      <c r="C70" s="62">
        <v>3</v>
      </c>
      <c r="D70" s="61">
        <v>301</v>
      </c>
      <c r="E70" s="61">
        <v>302</v>
      </c>
      <c r="F70" s="61">
        <v>1.46E-2</v>
      </c>
      <c r="G70" s="1">
        <f>1.225*(0.75/0.7)</f>
        <v>1.3124999999999998</v>
      </c>
      <c r="H70" s="61">
        <v>2850.0000000000005</v>
      </c>
      <c r="I70" s="61">
        <v>40</v>
      </c>
    </row>
    <row r="71" spans="1:9" x14ac:dyDescent="0.25">
      <c r="A71" s="61">
        <v>70</v>
      </c>
      <c r="B71" s="61">
        <v>1</v>
      </c>
      <c r="C71" s="62">
        <v>3</v>
      </c>
      <c r="D71" s="61">
        <v>301</v>
      </c>
      <c r="E71" s="61">
        <v>303</v>
      </c>
      <c r="F71" s="61">
        <v>0.2253</v>
      </c>
      <c r="G71" s="1">
        <f>1.225*(0.75/0.7)</f>
        <v>1.3124999999999998</v>
      </c>
      <c r="H71" s="61">
        <v>52250</v>
      </c>
      <c r="I71" s="61">
        <v>40</v>
      </c>
    </row>
    <row r="72" spans="1:9" x14ac:dyDescent="0.25">
      <c r="A72" s="73">
        <v>71</v>
      </c>
      <c r="B72" s="73">
        <v>1</v>
      </c>
      <c r="C72" s="74">
        <v>3</v>
      </c>
      <c r="D72" s="73">
        <v>301</v>
      </c>
      <c r="E72" s="73">
        <v>305</v>
      </c>
      <c r="F72" s="73">
        <v>9.0700000000000003E-2</v>
      </c>
      <c r="G72" s="27">
        <v>1.5</v>
      </c>
      <c r="H72" s="73">
        <v>20900</v>
      </c>
      <c r="I72" s="73">
        <v>40</v>
      </c>
    </row>
    <row r="73" spans="1:9" s="61" customFormat="1" x14ac:dyDescent="0.25">
      <c r="A73" s="61">
        <v>72</v>
      </c>
      <c r="B73" s="61">
        <v>1</v>
      </c>
      <c r="C73" s="62">
        <v>3</v>
      </c>
      <c r="D73" s="61">
        <v>302</v>
      </c>
      <c r="E73" s="61">
        <v>304</v>
      </c>
      <c r="F73" s="61">
        <v>0.1356</v>
      </c>
      <c r="G73" s="1">
        <f>1.225*(0.75/0.7)</f>
        <v>1.3124999999999998</v>
      </c>
      <c r="H73" s="61">
        <v>31350.000000000004</v>
      </c>
      <c r="I73" s="61">
        <v>40</v>
      </c>
    </row>
    <row r="74" spans="1:9" x14ac:dyDescent="0.25">
      <c r="A74" s="61">
        <v>73</v>
      </c>
      <c r="B74" s="61">
        <v>1</v>
      </c>
      <c r="C74" s="62">
        <v>3</v>
      </c>
      <c r="D74" s="61">
        <v>302</v>
      </c>
      <c r="E74" s="61">
        <v>306</v>
      </c>
      <c r="F74" s="61">
        <v>0.20499999999999999</v>
      </c>
      <c r="G74" s="1">
        <f>1.225*(0.75/0.7)</f>
        <v>1.3124999999999998</v>
      </c>
      <c r="H74" s="61">
        <v>47500</v>
      </c>
      <c r="I74" s="61">
        <v>40</v>
      </c>
    </row>
    <row r="75" spans="1:9" x14ac:dyDescent="0.25">
      <c r="A75" s="61">
        <v>74</v>
      </c>
      <c r="B75" s="61">
        <v>1</v>
      </c>
      <c r="C75" s="62">
        <v>3</v>
      </c>
      <c r="D75" s="61">
        <v>303</v>
      </c>
      <c r="E75" s="61">
        <v>309</v>
      </c>
      <c r="F75" s="61">
        <v>0.12709999999999999</v>
      </c>
      <c r="G75" s="1">
        <f>1.225*(0.75/0.7)</f>
        <v>1.3124999999999998</v>
      </c>
      <c r="H75" s="61">
        <v>29450</v>
      </c>
      <c r="I75" s="61">
        <v>40</v>
      </c>
    </row>
    <row r="76" spans="1:9" x14ac:dyDescent="0.25">
      <c r="A76" s="61">
        <v>75</v>
      </c>
      <c r="B76" s="61">
        <v>1</v>
      </c>
      <c r="C76" s="62">
        <v>3</v>
      </c>
      <c r="D76" s="61">
        <v>303</v>
      </c>
      <c r="E76" s="61">
        <v>324</v>
      </c>
      <c r="F76" s="61">
        <v>8.4000000000000005E-2</v>
      </c>
      <c r="G76" s="1">
        <f>2.8*(0.75/0.7)</f>
        <v>2.9999999999999996</v>
      </c>
      <c r="H76" s="61">
        <v>47500</v>
      </c>
      <c r="I76" s="61">
        <v>40</v>
      </c>
    </row>
    <row r="77" spans="1:9" s="61" customFormat="1" x14ac:dyDescent="0.25">
      <c r="A77" s="61">
        <v>76</v>
      </c>
      <c r="B77" s="61">
        <v>1</v>
      </c>
      <c r="C77" s="62">
        <v>3</v>
      </c>
      <c r="D77" s="61">
        <v>304</v>
      </c>
      <c r="E77" s="61">
        <v>309</v>
      </c>
      <c r="F77" s="61">
        <v>0.111</v>
      </c>
      <c r="G77" s="1">
        <f>1.225*(0.75/0.7)</f>
        <v>1.3124999999999998</v>
      </c>
      <c r="H77" s="61">
        <v>25650</v>
      </c>
      <c r="I77" s="61">
        <v>40</v>
      </c>
    </row>
    <row r="78" spans="1:9" x14ac:dyDescent="0.25">
      <c r="A78" s="73">
        <v>77</v>
      </c>
      <c r="B78" s="73">
        <v>1</v>
      </c>
      <c r="C78" s="74">
        <v>3</v>
      </c>
      <c r="D78" s="73">
        <v>305</v>
      </c>
      <c r="E78" s="73">
        <v>310</v>
      </c>
      <c r="F78" s="73">
        <v>9.4E-2</v>
      </c>
      <c r="G78" s="27">
        <v>1.5</v>
      </c>
      <c r="H78" s="73">
        <v>21850</v>
      </c>
      <c r="I78" s="73">
        <v>40</v>
      </c>
    </row>
    <row r="79" spans="1:9" x14ac:dyDescent="0.25">
      <c r="A79" s="61">
        <v>78</v>
      </c>
      <c r="B79" s="61">
        <v>1</v>
      </c>
      <c r="C79" s="62">
        <v>3</v>
      </c>
      <c r="D79" s="61">
        <v>306</v>
      </c>
      <c r="E79" s="61">
        <v>310</v>
      </c>
      <c r="F79" s="61">
        <v>6.4199999999999993E-2</v>
      </c>
      <c r="G79" s="1">
        <f>1.225*(0.75/0.7)</f>
        <v>1.3124999999999998</v>
      </c>
      <c r="H79" s="61">
        <v>15200</v>
      </c>
      <c r="I79" s="61">
        <v>40</v>
      </c>
    </row>
    <row r="80" spans="1:9" x14ac:dyDescent="0.25">
      <c r="A80" s="61">
        <v>79</v>
      </c>
      <c r="B80" s="63">
        <v>1</v>
      </c>
      <c r="C80" s="63">
        <v>3</v>
      </c>
      <c r="D80" s="63">
        <v>307</v>
      </c>
      <c r="E80" s="63">
        <v>308</v>
      </c>
      <c r="F80" s="64">
        <v>6.5199999999999994E-2</v>
      </c>
      <c r="G80" s="1">
        <f>2.45*(0.75/0.7)</f>
        <v>2.6249999999999996</v>
      </c>
      <c r="H80" s="65">
        <v>30400</v>
      </c>
      <c r="I80" s="63">
        <v>40</v>
      </c>
    </row>
    <row r="81" spans="1:12" x14ac:dyDescent="0.25">
      <c r="A81" s="61">
        <v>80</v>
      </c>
      <c r="B81" s="61">
        <v>1</v>
      </c>
      <c r="C81" s="62">
        <v>3</v>
      </c>
      <c r="D81" s="61">
        <v>308</v>
      </c>
      <c r="E81" s="61">
        <v>309</v>
      </c>
      <c r="F81" s="61">
        <v>0.1762</v>
      </c>
      <c r="G81" s="1">
        <f>1.225*(0.75/0.7)</f>
        <v>1.3124999999999998</v>
      </c>
      <c r="H81" s="61">
        <v>40850</v>
      </c>
      <c r="I81" s="61">
        <v>40</v>
      </c>
    </row>
    <row r="82" spans="1:12" x14ac:dyDescent="0.25">
      <c r="A82" s="61">
        <v>81</v>
      </c>
      <c r="B82" s="61">
        <v>1</v>
      </c>
      <c r="C82" s="62">
        <v>3</v>
      </c>
      <c r="D82" s="61">
        <v>308</v>
      </c>
      <c r="E82" s="61">
        <v>310</v>
      </c>
      <c r="F82" s="61">
        <v>0.1762</v>
      </c>
      <c r="G82" s="1">
        <f>1.225*(0.75/0.7)</f>
        <v>1.3124999999999998</v>
      </c>
      <c r="H82" s="61">
        <v>40850</v>
      </c>
      <c r="I82" s="61">
        <v>40</v>
      </c>
    </row>
    <row r="83" spans="1:12" s="27" customFormat="1" x14ac:dyDescent="0.25">
      <c r="A83" s="61">
        <v>82</v>
      </c>
      <c r="B83" s="61">
        <v>1</v>
      </c>
      <c r="C83" s="62">
        <v>3</v>
      </c>
      <c r="D83" s="61">
        <v>309</v>
      </c>
      <c r="E83" s="61">
        <v>311</v>
      </c>
      <c r="F83" s="61">
        <v>8.4000000000000005E-2</v>
      </c>
      <c r="G83" s="1">
        <f>2.8*(0.75/0.7)</f>
        <v>2.9999999999999996</v>
      </c>
      <c r="H83" s="61">
        <v>47500</v>
      </c>
      <c r="I83" s="61">
        <v>40</v>
      </c>
      <c r="K83" s="1"/>
      <c r="L83" s="1"/>
    </row>
    <row r="84" spans="1:12" s="27" customFormat="1" x14ac:dyDescent="0.25">
      <c r="A84" s="61">
        <v>83</v>
      </c>
      <c r="B84" s="61">
        <v>1</v>
      </c>
      <c r="C84" s="62">
        <v>3</v>
      </c>
      <c r="D84" s="61">
        <v>309</v>
      </c>
      <c r="E84" s="61">
        <v>312</v>
      </c>
      <c r="F84" s="61">
        <v>8.4000000000000005E-2</v>
      </c>
      <c r="G84" s="1">
        <f>2.8*(0.75/0.7)</f>
        <v>2.9999999999999996</v>
      </c>
      <c r="H84" s="61">
        <v>47500</v>
      </c>
      <c r="I84" s="61">
        <v>40</v>
      </c>
      <c r="K84" s="1"/>
      <c r="L84" s="1"/>
    </row>
    <row r="85" spans="1:12" s="27" customFormat="1" x14ac:dyDescent="0.25">
      <c r="A85" s="61">
        <v>84</v>
      </c>
      <c r="B85" s="61">
        <v>1</v>
      </c>
      <c r="C85" s="62">
        <v>3</v>
      </c>
      <c r="D85" s="61">
        <v>310</v>
      </c>
      <c r="E85" s="61">
        <v>311</v>
      </c>
      <c r="F85" s="61">
        <v>8.4000000000000005E-2</v>
      </c>
      <c r="G85" s="1">
        <f>2.8*(0.75/0.7)</f>
        <v>2.9999999999999996</v>
      </c>
      <c r="H85" s="61">
        <v>47500</v>
      </c>
      <c r="I85" s="61">
        <v>40</v>
      </c>
      <c r="K85" s="1"/>
      <c r="L85" s="1"/>
    </row>
    <row r="86" spans="1:12" s="27" customFormat="1" x14ac:dyDescent="0.25">
      <c r="A86" s="61">
        <v>85</v>
      </c>
      <c r="B86" s="61">
        <v>1</v>
      </c>
      <c r="C86" s="62">
        <v>3</v>
      </c>
      <c r="D86" s="61">
        <v>310</v>
      </c>
      <c r="E86" s="61">
        <v>312</v>
      </c>
      <c r="F86" s="61">
        <v>8.4000000000000005E-2</v>
      </c>
      <c r="G86" s="1">
        <f>2.8*(0.75/0.7)</f>
        <v>2.9999999999999996</v>
      </c>
      <c r="H86" s="61">
        <v>47500</v>
      </c>
      <c r="I86" s="61">
        <v>40</v>
      </c>
      <c r="K86" s="1"/>
      <c r="L86" s="1"/>
    </row>
    <row r="87" spans="1:12" s="27" customFormat="1" x14ac:dyDescent="0.25">
      <c r="A87" s="61">
        <v>86</v>
      </c>
      <c r="B87" s="61">
        <v>1</v>
      </c>
      <c r="C87" s="62">
        <v>3</v>
      </c>
      <c r="D87" s="61">
        <v>311</v>
      </c>
      <c r="E87" s="61">
        <v>313</v>
      </c>
      <c r="F87" s="61">
        <v>4.8800000000000003E-2</v>
      </c>
      <c r="G87" s="1">
        <f t="shared" ref="G87:G93" si="2">3.5*(0.75/0.7)</f>
        <v>3.75</v>
      </c>
      <c r="H87" s="61">
        <v>31350.000000000004</v>
      </c>
      <c r="I87" s="61">
        <v>40</v>
      </c>
      <c r="K87" s="1"/>
      <c r="L87" s="1"/>
    </row>
    <row r="88" spans="1:12" x14ac:dyDescent="0.25">
      <c r="A88" s="61">
        <v>87</v>
      </c>
      <c r="B88" s="61">
        <v>1</v>
      </c>
      <c r="C88" s="62">
        <v>3</v>
      </c>
      <c r="D88" s="61">
        <v>311</v>
      </c>
      <c r="E88" s="61">
        <v>314</v>
      </c>
      <c r="F88" s="61">
        <v>4.2599999999999999E-2</v>
      </c>
      <c r="G88" s="1">
        <f t="shared" si="2"/>
        <v>3.75</v>
      </c>
      <c r="H88" s="61">
        <v>27550</v>
      </c>
      <c r="I88" s="61">
        <v>40</v>
      </c>
    </row>
    <row r="89" spans="1:12" x14ac:dyDescent="0.25">
      <c r="A89" s="61">
        <v>88</v>
      </c>
      <c r="B89" s="61">
        <v>1</v>
      </c>
      <c r="C89" s="62">
        <v>3</v>
      </c>
      <c r="D89" s="61">
        <v>312</v>
      </c>
      <c r="E89" s="61">
        <v>313</v>
      </c>
      <c r="F89" s="61">
        <v>4.8800000000000003E-2</v>
      </c>
      <c r="G89" s="1">
        <f t="shared" si="2"/>
        <v>3.75</v>
      </c>
      <c r="H89" s="61">
        <v>31350.000000000004</v>
      </c>
      <c r="I89" s="61">
        <v>40</v>
      </c>
    </row>
    <row r="90" spans="1:12" x14ac:dyDescent="0.25">
      <c r="A90" s="61">
        <v>89</v>
      </c>
      <c r="B90" s="61">
        <v>1</v>
      </c>
      <c r="C90" s="62">
        <v>3</v>
      </c>
      <c r="D90" s="61">
        <v>312</v>
      </c>
      <c r="E90" s="61">
        <v>323</v>
      </c>
      <c r="F90" s="61">
        <v>9.8500000000000004E-2</v>
      </c>
      <c r="G90" s="1">
        <f t="shared" si="2"/>
        <v>3.75</v>
      </c>
      <c r="H90" s="61">
        <v>63650</v>
      </c>
      <c r="I90" s="61">
        <v>40</v>
      </c>
    </row>
    <row r="91" spans="1:12" x14ac:dyDescent="0.25">
      <c r="A91" s="61">
        <v>90</v>
      </c>
      <c r="B91" s="61">
        <v>1</v>
      </c>
      <c r="C91" s="62">
        <v>3</v>
      </c>
      <c r="D91" s="61">
        <v>313</v>
      </c>
      <c r="E91" s="61">
        <v>323</v>
      </c>
      <c r="F91" s="61">
        <v>8.8400000000000006E-2</v>
      </c>
      <c r="G91" s="1">
        <f t="shared" si="2"/>
        <v>3.75</v>
      </c>
      <c r="H91" s="61">
        <v>57000</v>
      </c>
      <c r="I91" s="61">
        <v>40</v>
      </c>
    </row>
    <row r="92" spans="1:12" x14ac:dyDescent="0.25">
      <c r="A92" s="61">
        <v>91</v>
      </c>
      <c r="B92" s="61">
        <v>1</v>
      </c>
      <c r="C92" s="62">
        <v>3</v>
      </c>
      <c r="D92" s="61">
        <v>314</v>
      </c>
      <c r="E92" s="61">
        <v>316</v>
      </c>
      <c r="F92" s="61">
        <v>5.9400000000000001E-2</v>
      </c>
      <c r="G92" s="1">
        <f t="shared" si="2"/>
        <v>3.75</v>
      </c>
      <c r="H92" s="61">
        <v>25650</v>
      </c>
      <c r="I92" s="61">
        <v>40</v>
      </c>
    </row>
    <row r="93" spans="1:12" x14ac:dyDescent="0.25">
      <c r="A93" s="61">
        <v>92</v>
      </c>
      <c r="B93" s="61">
        <v>1</v>
      </c>
      <c r="C93" s="62">
        <v>3</v>
      </c>
      <c r="D93" s="61">
        <v>315</v>
      </c>
      <c r="E93" s="61">
        <v>316</v>
      </c>
      <c r="F93" s="61">
        <v>1.72E-2</v>
      </c>
      <c r="G93" s="1">
        <f t="shared" si="2"/>
        <v>3.75</v>
      </c>
      <c r="H93" s="61">
        <v>11400.000000000002</v>
      </c>
      <c r="I93" s="61">
        <v>40</v>
      </c>
    </row>
    <row r="94" spans="1:12" x14ac:dyDescent="0.25">
      <c r="A94" s="61">
        <v>93</v>
      </c>
      <c r="B94" s="61">
        <v>1</v>
      </c>
      <c r="C94" s="62">
        <v>3</v>
      </c>
      <c r="D94" s="61">
        <v>315</v>
      </c>
      <c r="E94" s="61">
        <v>321</v>
      </c>
      <c r="F94" s="61">
        <v>2.4899999999999999E-2</v>
      </c>
      <c r="G94" s="1">
        <f>7*(0.75/0.7)</f>
        <v>7.5</v>
      </c>
      <c r="H94" s="61">
        <v>32300</v>
      </c>
      <c r="I94" s="61">
        <v>40</v>
      </c>
    </row>
    <row r="95" spans="1:12" x14ac:dyDescent="0.25">
      <c r="A95" s="61">
        <v>94</v>
      </c>
      <c r="B95" s="61">
        <v>1</v>
      </c>
      <c r="C95" s="62">
        <v>3</v>
      </c>
      <c r="D95" s="61">
        <v>315</v>
      </c>
      <c r="E95" s="61">
        <v>324</v>
      </c>
      <c r="F95" s="61">
        <v>5.2900000000000003E-2</v>
      </c>
      <c r="G95" s="1">
        <f>3.5*(0.75/0.7)</f>
        <v>3.75</v>
      </c>
      <c r="H95" s="61">
        <v>17100</v>
      </c>
      <c r="I95" s="61">
        <v>40</v>
      </c>
    </row>
    <row r="96" spans="1:12" x14ac:dyDescent="0.25">
      <c r="A96" s="61">
        <v>95</v>
      </c>
      <c r="B96" s="61">
        <v>1</v>
      </c>
      <c r="C96" s="62">
        <v>3</v>
      </c>
      <c r="D96" s="61">
        <v>316</v>
      </c>
      <c r="E96" s="61">
        <v>317</v>
      </c>
      <c r="F96" s="61">
        <v>2.63E-2</v>
      </c>
      <c r="G96" s="1">
        <f>3.5*(0.75/0.7)</f>
        <v>3.75</v>
      </c>
      <c r="H96" s="61">
        <v>15200</v>
      </c>
      <c r="I96" s="61">
        <v>40</v>
      </c>
    </row>
    <row r="97" spans="1:9" x14ac:dyDescent="0.25">
      <c r="A97" s="61">
        <v>96</v>
      </c>
      <c r="B97" s="61">
        <v>1</v>
      </c>
      <c r="C97" s="62">
        <v>3</v>
      </c>
      <c r="D97" s="61">
        <v>316</v>
      </c>
      <c r="E97" s="61">
        <v>319</v>
      </c>
      <c r="F97" s="61">
        <v>2.3400000000000001E-2</v>
      </c>
      <c r="G97" s="1">
        <f>3.5*(0.75/0.7)</f>
        <v>3.75</v>
      </c>
      <c r="H97" s="61">
        <v>9500</v>
      </c>
      <c r="I97" s="61">
        <v>40</v>
      </c>
    </row>
    <row r="98" spans="1:9" x14ac:dyDescent="0.25">
      <c r="A98" s="61">
        <v>97</v>
      </c>
      <c r="B98" s="61">
        <v>1</v>
      </c>
      <c r="C98" s="62">
        <v>3</v>
      </c>
      <c r="D98" s="61">
        <v>317</v>
      </c>
      <c r="E98" s="61">
        <v>318</v>
      </c>
      <c r="F98" s="61">
        <v>1.43E-2</v>
      </c>
      <c r="G98" s="1">
        <f>3.5*(0.75/0.7)</f>
        <v>3.75</v>
      </c>
      <c r="H98" s="61">
        <v>69350</v>
      </c>
      <c r="I98" s="61">
        <v>40</v>
      </c>
    </row>
    <row r="99" spans="1:9" x14ac:dyDescent="0.25">
      <c r="A99" s="61">
        <v>98</v>
      </c>
      <c r="B99" s="61">
        <v>1</v>
      </c>
      <c r="C99" s="61">
        <v>3</v>
      </c>
      <c r="D99" s="61">
        <v>317</v>
      </c>
      <c r="E99" s="61">
        <v>322</v>
      </c>
      <c r="F99" s="61">
        <v>0.1069</v>
      </c>
      <c r="G99" s="1">
        <f>3.5*(0.75/0.7)</f>
        <v>3.75</v>
      </c>
      <c r="H99" s="61">
        <v>17100</v>
      </c>
      <c r="I99" s="61">
        <v>40</v>
      </c>
    </row>
    <row r="100" spans="1:9" x14ac:dyDescent="0.25">
      <c r="A100" s="61">
        <v>99</v>
      </c>
      <c r="B100" s="61">
        <v>1</v>
      </c>
      <c r="C100" s="61">
        <v>3</v>
      </c>
      <c r="D100" s="61">
        <v>318</v>
      </c>
      <c r="E100" s="61">
        <v>321</v>
      </c>
      <c r="F100" s="61">
        <v>1.32E-2</v>
      </c>
      <c r="G100" s="1">
        <f>7*(0.75/0.7)</f>
        <v>7.5</v>
      </c>
      <c r="H100" s="61">
        <v>26125</v>
      </c>
      <c r="I100" s="61">
        <v>40</v>
      </c>
    </row>
    <row r="101" spans="1:9" x14ac:dyDescent="0.25">
      <c r="A101" s="61">
        <v>100</v>
      </c>
      <c r="B101" s="61">
        <v>1</v>
      </c>
      <c r="C101" s="61">
        <v>3</v>
      </c>
      <c r="D101" s="61">
        <v>319</v>
      </c>
      <c r="E101" s="61">
        <v>320</v>
      </c>
      <c r="F101" s="61">
        <v>2.0299999999999999E-2</v>
      </c>
      <c r="G101" s="1">
        <f>7*(0.75/0.7)</f>
        <v>7.5</v>
      </c>
      <c r="H101" s="61">
        <v>44650</v>
      </c>
      <c r="I101" s="61">
        <v>40</v>
      </c>
    </row>
    <row r="102" spans="1:9" x14ac:dyDescent="0.25">
      <c r="A102" s="61">
        <v>101</v>
      </c>
      <c r="B102" s="61">
        <v>1</v>
      </c>
      <c r="C102" s="61">
        <v>3</v>
      </c>
      <c r="D102" s="61">
        <v>320</v>
      </c>
      <c r="E102" s="61">
        <v>323</v>
      </c>
      <c r="F102" s="61">
        <v>1.12E-2</v>
      </c>
      <c r="G102" s="1">
        <f>7*(0.75/0.7)</f>
        <v>7.5</v>
      </c>
      <c r="H102" s="61">
        <v>31349.999999999996</v>
      </c>
      <c r="I102" s="61">
        <v>40</v>
      </c>
    </row>
    <row r="103" spans="1:9" x14ac:dyDescent="0.25">
      <c r="A103" s="61">
        <v>102</v>
      </c>
      <c r="B103" s="61">
        <v>1</v>
      </c>
      <c r="C103" s="61">
        <v>3</v>
      </c>
      <c r="D103" s="61">
        <v>321</v>
      </c>
      <c r="E103" s="61">
        <v>322</v>
      </c>
      <c r="F103" s="61">
        <v>6.9199999999999998E-2</v>
      </c>
      <c r="G103" s="1">
        <f t="shared" ref="G103:G109" si="3">3.5*(0.75/0.7)</f>
        <v>3.75</v>
      </c>
      <c r="H103" s="61">
        <v>29450</v>
      </c>
      <c r="I103" s="61">
        <v>40</v>
      </c>
    </row>
    <row r="104" spans="1:9" x14ac:dyDescent="0.25">
      <c r="A104" s="61">
        <v>103</v>
      </c>
      <c r="B104" s="61">
        <v>1</v>
      </c>
      <c r="C104" s="61">
        <v>3</v>
      </c>
      <c r="D104" s="26">
        <v>107</v>
      </c>
      <c r="E104" s="26">
        <v>203</v>
      </c>
      <c r="F104" s="61">
        <v>6.9199999999999998E-2</v>
      </c>
      <c r="G104" s="1">
        <f t="shared" si="3"/>
        <v>3.75</v>
      </c>
      <c r="H104" s="61">
        <v>29450</v>
      </c>
      <c r="I104" s="61">
        <v>40</v>
      </c>
    </row>
    <row r="105" spans="1:9" x14ac:dyDescent="0.25">
      <c r="A105" s="61">
        <v>104</v>
      </c>
      <c r="B105" s="61">
        <v>1</v>
      </c>
      <c r="C105" s="61">
        <v>3</v>
      </c>
      <c r="D105" s="26">
        <v>113</v>
      </c>
      <c r="E105" s="26">
        <v>215</v>
      </c>
      <c r="F105" s="61">
        <v>6.9199999999999998E-2</v>
      </c>
      <c r="G105" s="1">
        <f t="shared" si="3"/>
        <v>3.75</v>
      </c>
      <c r="H105" s="61">
        <v>29450</v>
      </c>
      <c r="I105" s="61">
        <v>40</v>
      </c>
    </row>
    <row r="106" spans="1:9" x14ac:dyDescent="0.25">
      <c r="A106" s="61">
        <v>105</v>
      </c>
      <c r="B106" s="61">
        <v>1</v>
      </c>
      <c r="C106" s="61">
        <v>3</v>
      </c>
      <c r="D106" s="26">
        <v>123</v>
      </c>
      <c r="E106" s="26">
        <v>217</v>
      </c>
      <c r="F106" s="61">
        <v>6.9199999999999998E-2</v>
      </c>
      <c r="G106" s="1">
        <f t="shared" si="3"/>
        <v>3.75</v>
      </c>
      <c r="H106" s="61">
        <v>29450</v>
      </c>
      <c r="I106" s="61">
        <v>40</v>
      </c>
    </row>
    <row r="107" spans="1:9" x14ac:dyDescent="0.25">
      <c r="A107" s="61">
        <v>106</v>
      </c>
      <c r="B107" s="61">
        <v>1</v>
      </c>
      <c r="C107" s="61">
        <v>3</v>
      </c>
      <c r="D107" s="26">
        <v>223</v>
      </c>
      <c r="E107" s="26">
        <v>318</v>
      </c>
      <c r="F107" s="61">
        <v>6.9199999999999998E-2</v>
      </c>
      <c r="G107" s="1">
        <f t="shared" si="3"/>
        <v>3.75</v>
      </c>
      <c r="H107" s="61">
        <v>29450</v>
      </c>
      <c r="I107" s="61">
        <v>40</v>
      </c>
    </row>
    <row r="108" spans="1:9" x14ac:dyDescent="0.25">
      <c r="A108" s="61">
        <v>107</v>
      </c>
      <c r="B108" s="61">
        <v>1</v>
      </c>
      <c r="C108" s="61">
        <v>3</v>
      </c>
      <c r="D108" s="26">
        <v>323</v>
      </c>
      <c r="E108" s="26">
        <v>325</v>
      </c>
      <c r="F108" s="61">
        <v>6.9199999999999998E-2</v>
      </c>
      <c r="G108" s="1">
        <f t="shared" si="3"/>
        <v>3.75</v>
      </c>
      <c r="H108" s="61">
        <v>29450</v>
      </c>
      <c r="I108" s="61">
        <v>40</v>
      </c>
    </row>
    <row r="109" spans="1:9" x14ac:dyDescent="0.25">
      <c r="A109" s="61">
        <v>108</v>
      </c>
      <c r="B109" s="61">
        <v>1</v>
      </c>
      <c r="C109" s="61">
        <v>3</v>
      </c>
      <c r="D109" s="26">
        <v>325</v>
      </c>
      <c r="E109" s="26">
        <v>121</v>
      </c>
      <c r="F109" s="61">
        <v>6.9199999999999998E-2</v>
      </c>
      <c r="G109" s="1">
        <f t="shared" si="3"/>
        <v>3.75</v>
      </c>
      <c r="H109" s="61">
        <v>29450</v>
      </c>
      <c r="I109" s="61">
        <v>40</v>
      </c>
    </row>
    <row r="110" spans="1:9" x14ac:dyDescent="0.25">
      <c r="A110" s="73">
        <v>3</v>
      </c>
      <c r="B110" s="73">
        <v>0</v>
      </c>
      <c r="C110" s="74">
        <v>3</v>
      </c>
      <c r="D110" s="73">
        <v>101</v>
      </c>
      <c r="E110" s="73">
        <v>105</v>
      </c>
      <c r="F110" s="73">
        <v>9.0700000000000003E-2</v>
      </c>
      <c r="G110" s="75">
        <v>1.5</v>
      </c>
      <c r="H110" s="73">
        <v>20900</v>
      </c>
      <c r="I110" s="73">
        <v>40</v>
      </c>
    </row>
    <row r="111" spans="1:9" x14ac:dyDescent="0.25">
      <c r="A111" s="73">
        <v>9</v>
      </c>
      <c r="B111" s="73">
        <v>0</v>
      </c>
      <c r="C111" s="74">
        <v>3</v>
      </c>
      <c r="D111" s="73">
        <v>105</v>
      </c>
      <c r="E111" s="73">
        <v>110</v>
      </c>
      <c r="F111" s="73">
        <v>9.4E-2</v>
      </c>
      <c r="G111" s="75">
        <v>1.5</v>
      </c>
      <c r="H111" s="73">
        <v>21850</v>
      </c>
      <c r="I111" s="73">
        <v>40</v>
      </c>
    </row>
    <row r="112" spans="1:9" x14ac:dyDescent="0.25">
      <c r="A112" s="27">
        <v>40</v>
      </c>
      <c r="B112" s="67">
        <v>0</v>
      </c>
      <c r="C112" s="27">
        <v>3</v>
      </c>
      <c r="D112" s="27">
        <v>113</v>
      </c>
      <c r="E112" s="27">
        <v>123</v>
      </c>
      <c r="F112" s="27">
        <v>8.8400000000000006E-2</v>
      </c>
      <c r="G112" s="27">
        <v>1.5</v>
      </c>
      <c r="H112" s="27">
        <v>31350.000000000004</v>
      </c>
      <c r="I112" s="68">
        <v>40</v>
      </c>
    </row>
    <row r="113" spans="1:9" x14ac:dyDescent="0.25">
      <c r="A113" s="27">
        <v>41</v>
      </c>
      <c r="B113" s="67">
        <v>0</v>
      </c>
      <c r="C113" s="27">
        <v>3</v>
      </c>
      <c r="D113" s="27">
        <v>114</v>
      </c>
      <c r="E113" s="27">
        <v>116</v>
      </c>
      <c r="F113" s="27">
        <v>5.9400000000000001E-2</v>
      </c>
      <c r="G113" s="27">
        <v>1.5</v>
      </c>
      <c r="H113" s="27">
        <v>25650</v>
      </c>
      <c r="I113" s="68">
        <v>40</v>
      </c>
    </row>
    <row r="114" spans="1:9" x14ac:dyDescent="0.25">
      <c r="A114" s="27">
        <v>40</v>
      </c>
      <c r="B114" s="67">
        <v>0</v>
      </c>
      <c r="C114" s="27">
        <v>3</v>
      </c>
      <c r="D114" s="27">
        <v>213</v>
      </c>
      <c r="E114" s="27">
        <v>223</v>
      </c>
      <c r="F114" s="27">
        <v>8.8400000000000006E-2</v>
      </c>
      <c r="G114" s="27">
        <v>1.5</v>
      </c>
      <c r="H114" s="27">
        <v>31350.000000000004</v>
      </c>
      <c r="I114" s="68">
        <v>40</v>
      </c>
    </row>
    <row r="115" spans="1:9" x14ac:dyDescent="0.25">
      <c r="A115" s="27">
        <v>41</v>
      </c>
      <c r="B115" s="67">
        <v>0</v>
      </c>
      <c r="C115" s="27">
        <v>3</v>
      </c>
      <c r="D115" s="27">
        <v>214</v>
      </c>
      <c r="E115" s="27">
        <v>216</v>
      </c>
      <c r="F115" s="27">
        <v>5.9400000000000001E-2</v>
      </c>
      <c r="G115" s="27">
        <v>1.5</v>
      </c>
      <c r="H115" s="27">
        <v>25650</v>
      </c>
      <c r="I115" s="68">
        <v>40</v>
      </c>
    </row>
    <row r="116" spans="1:9" x14ac:dyDescent="0.25">
      <c r="A116" s="27">
        <v>40</v>
      </c>
      <c r="B116" s="67">
        <v>0</v>
      </c>
      <c r="C116" s="27">
        <v>3</v>
      </c>
      <c r="D116" s="27">
        <v>313</v>
      </c>
      <c r="E116" s="27">
        <v>323</v>
      </c>
      <c r="F116" s="27">
        <v>8.8400000000000006E-2</v>
      </c>
      <c r="G116" s="27">
        <v>1.5</v>
      </c>
      <c r="H116" s="27">
        <v>31350.000000000004</v>
      </c>
      <c r="I116" s="68">
        <v>40</v>
      </c>
    </row>
    <row r="117" spans="1:9" x14ac:dyDescent="0.25">
      <c r="A117" s="27">
        <v>41</v>
      </c>
      <c r="B117" s="67">
        <v>0</v>
      </c>
      <c r="C117" s="27">
        <v>3</v>
      </c>
      <c r="D117" s="27">
        <v>314</v>
      </c>
      <c r="E117" s="27">
        <v>316</v>
      </c>
      <c r="F117" s="27">
        <v>5.9400000000000001E-2</v>
      </c>
      <c r="G117" s="27">
        <v>1.5</v>
      </c>
      <c r="H117" s="27">
        <v>25650</v>
      </c>
      <c r="I117" s="68">
        <v>40</v>
      </c>
    </row>
    <row r="118" spans="1:9" x14ac:dyDescent="0.25">
      <c r="A118" s="27"/>
      <c r="B118" s="27"/>
      <c r="C118" s="27"/>
      <c r="D118" s="27"/>
      <c r="E118" s="27"/>
      <c r="F118" s="27"/>
      <c r="G118" s="27"/>
      <c r="H118" s="27"/>
      <c r="I118" s="27"/>
    </row>
    <row r="119" spans="1:9" x14ac:dyDescent="0.25">
      <c r="A119" s="27"/>
      <c r="B119" s="27"/>
      <c r="C119" s="27"/>
      <c r="D119" s="27"/>
      <c r="E119" s="27"/>
      <c r="F119" s="27"/>
      <c r="G119" s="27"/>
      <c r="H119" s="27"/>
      <c r="I119" s="27"/>
    </row>
    <row r="120" spans="1:9" x14ac:dyDescent="0.25">
      <c r="A120" s="66" t="s">
        <v>463</v>
      </c>
    </row>
    <row r="121" spans="1:9" x14ac:dyDescent="0.25">
      <c r="A121" s="66" t="s">
        <v>457</v>
      </c>
    </row>
    <row r="124" spans="1:9" s="27" customFormat="1" x14ac:dyDescent="0.25"/>
    <row r="125" spans="1:9" s="27" customFormat="1" x14ac:dyDescent="0.25"/>
    <row r="126" spans="1:9" s="27" customFormat="1" x14ac:dyDescent="0.25"/>
    <row r="127" spans="1:9" s="27" customFormat="1" x14ac:dyDescent="0.25"/>
    <row r="128" spans="1:9" s="27" customFormat="1" x14ac:dyDescent="0.25"/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4097" r:id="rId4">
          <objectPr defaultSize="0" autoPict="0" r:id="rId5">
            <anchor moveWithCells="1">
              <from>
                <xdr:col>14</xdr:col>
                <xdr:colOff>30480</xdr:colOff>
                <xdr:row>1</xdr:row>
                <xdr:rowOff>30480</xdr:rowOff>
              </from>
              <to>
                <xdr:col>20</xdr:col>
                <xdr:colOff>22860</xdr:colOff>
                <xdr:row>29</xdr:row>
                <xdr:rowOff>0</xdr:rowOff>
              </to>
            </anchor>
          </objectPr>
        </oleObject>
      </mc:Choice>
      <mc:Fallback>
        <oleObject progId="Visio.Drawing.15" shapeId="4097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C h a r t U p d a t e I n f o F o r X m l S e r i a l i z e r   x m l n s : x s d = " h t t p : / / w w w . w 3 . o r g / 2 0 0 1 / X M L S c h e m a "   x m l n s : x s i = " h t t p : / / w w w . w 3 . o r g / 2 0 0 1 / X M L S c h e m a - i n s t a n c e " / > 
</file>

<file path=customXml/itemProps1.xml><?xml version="1.0" encoding="utf-8"?>
<ds:datastoreItem xmlns:ds="http://schemas.openxmlformats.org/officeDocument/2006/customXml" ds:itemID="{440FD6F9-2C54-441D-B590-2951DD53DD0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Readme</vt:lpstr>
      <vt:lpstr>Sheet2</vt:lpstr>
      <vt:lpstr>ControlPara</vt:lpstr>
      <vt:lpstr>Generator</vt:lpstr>
      <vt:lpstr>Wind</vt:lpstr>
      <vt:lpstr>Storage</vt:lpstr>
      <vt:lpstr>Line</vt:lpstr>
      <vt:lpstr>Line (4)</vt:lpstr>
      <vt:lpstr>Line (3)</vt:lpstr>
      <vt:lpstr>Line (2)</vt:lpstr>
      <vt:lpstr>Bus</vt:lpstr>
      <vt:lpstr>Scenario</vt:lpstr>
      <vt:lpstr>ScenPB</vt:lpstr>
      <vt:lpstr>BusLoad</vt:lpstr>
      <vt:lpstr>LoadForeCurve</vt:lpstr>
      <vt:lpstr>LoadScenarioCurve</vt:lpstr>
      <vt:lpstr>WindForeCurve</vt:lpstr>
      <vt:lpstr>LoadForeCurve (2)</vt:lpstr>
      <vt:lpstr>WindForeCurve (2)</vt:lpstr>
      <vt:lpstr>WindScenarioCurve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2022-05-17T01:29:38Z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rtUpdateInfoXmlPartId">
    <vt:lpwstr>{440FD6F9-2C54-441D-B590-2951DD53DD0B}</vt:lpwstr>
  </property>
</Properties>
</file>